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S:\Clover Apartments - Sacramento - AMCAL\3.3 CDLAC\Clover Apts - CDLAC R1\Ready For Review\"/>
    </mc:Choice>
  </mc:AlternateContent>
  <xr:revisionPtr revIDLastSave="0" documentId="13_ncr:1_{5C488808-D613-4F7A-994F-528BD0516F75}"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6" i="4" l="1"/>
  <c r="S45" i="4"/>
  <c r="S79" i="4"/>
  <c r="E103" i="4"/>
  <c r="E102" i="4"/>
  <c r="E101" i="4"/>
  <c r="E100" i="4"/>
  <c r="E95" i="4"/>
  <c r="E94" i="4"/>
  <c r="E93" i="4"/>
  <c r="E92" i="4"/>
  <c r="E91" i="4"/>
  <c r="E90" i="4"/>
  <c r="E89" i="4"/>
  <c r="E87" i="4"/>
  <c r="E86" i="4"/>
  <c r="E85" i="4"/>
  <c r="E84" i="4"/>
  <c r="E76" i="4"/>
  <c r="E74" i="4"/>
  <c r="E73" i="4"/>
  <c r="E72" i="4"/>
  <c r="E69" i="4"/>
  <c r="E68" i="4"/>
  <c r="E67" i="4"/>
  <c r="E66" i="4"/>
  <c r="E15" i="4"/>
  <c r="E14" i="4"/>
  <c r="E13" i="4"/>
  <c r="E10" i="4"/>
  <c r="E9" i="4"/>
  <c r="E7" i="4"/>
  <c r="E6" i="4"/>
  <c r="E5" i="4"/>
  <c r="E27" i="4"/>
  <c r="E25" i="4"/>
  <c r="E24" i="4"/>
  <c r="E23" i="4"/>
  <c r="E22" i="4"/>
  <c r="E21" i="4"/>
  <c r="E20" i="4"/>
  <c r="E19" i="4"/>
  <c r="E18" i="4"/>
  <c r="E17" i="4"/>
  <c r="E61" i="4"/>
  <c r="E60" i="4"/>
  <c r="E59" i="4"/>
  <c r="E58" i="4"/>
  <c r="E57" i="4"/>
  <c r="E56" i="4"/>
  <c r="E53" i="4"/>
  <c r="E52" i="4"/>
  <c r="E51" i="4"/>
  <c r="E50" i="4"/>
  <c r="E49" i="4"/>
  <c r="E48" i="4"/>
  <c r="E47" i="4"/>
  <c r="E46" i="4"/>
  <c r="E43" i="4"/>
  <c r="E41" i="4"/>
  <c r="E40" i="4"/>
  <c r="E37" i="4"/>
  <c r="E36" i="4"/>
  <c r="E35" i="4"/>
  <c r="E34" i="4"/>
  <c r="E32" i="4"/>
  <c r="E31" i="4"/>
  <c r="E29" i="4"/>
  <c r="C45" i="4"/>
  <c r="E79" i="4"/>
  <c r="C88" i="4"/>
  <c r="E88" i="4" s="1"/>
  <c r="C83" i="4"/>
  <c r="E83" i="4" s="1"/>
  <c r="AM563" i="3"/>
  <c r="W865" i="3"/>
  <c r="W867" i="3" l="1"/>
  <c r="O729" i="3" l="1"/>
  <c r="AA664" i="3"/>
  <c r="H664" i="3"/>
  <c r="AA656" i="3"/>
  <c r="H656" i="3"/>
  <c r="H598" i="3"/>
  <c r="AA590" i="3"/>
  <c r="H590" i="3"/>
  <c r="AA581" i="3"/>
  <c r="H581" i="3"/>
  <c r="Q402" i="3" l="1"/>
  <c r="AG457" i="3" l="1"/>
  <c r="AG459" i="3" s="1"/>
  <c r="BE24" i="3" s="1"/>
  <c r="Q400" i="3"/>
  <c r="A66" i="7"/>
  <c r="R29" i="4"/>
  <c r="R91" i="4"/>
  <c r="R90" i="4"/>
  <c r="R89" i="4"/>
  <c r="R88" i="4"/>
  <c r="R86" i="4"/>
  <c r="R84" i="4"/>
  <c r="R83" i="4"/>
  <c r="E80" i="4"/>
  <c r="R80" i="4" s="1"/>
  <c r="R52" i="4"/>
  <c r="R51" i="4"/>
  <c r="R50" i="4"/>
  <c r="R49" i="4"/>
  <c r="R46" i="4"/>
  <c r="R43" i="4"/>
  <c r="R35" i="4"/>
  <c r="R32" i="4"/>
  <c r="R31" i="4"/>
  <c r="R13" i="4"/>
  <c r="E4" i="4"/>
  <c r="E45" i="13"/>
  <c r="S49" i="4"/>
  <c r="E49" i="13" s="1"/>
  <c r="S99" i="4"/>
  <c r="S10" i="4"/>
  <c r="E10" i="13" s="1"/>
  <c r="C33" i="4"/>
  <c r="E33" i="4" s="1"/>
  <c r="AA940" i="3"/>
  <c r="W881" i="3"/>
  <c r="AC895" i="3"/>
  <c r="AF636" i="3"/>
  <c r="E41" i="7" s="1"/>
  <c r="AA928" i="3"/>
  <c r="V397" i="3"/>
  <c r="AC396" i="3"/>
  <c r="J395" i="3"/>
  <c r="AC395" i="3" s="1"/>
  <c r="G653" i="3"/>
  <c r="G655" i="3"/>
  <c r="G654" i="3"/>
  <c r="G652" i="3"/>
  <c r="G597" i="3"/>
  <c r="Z589" i="3" s="1"/>
  <c r="G663" i="3" s="1"/>
  <c r="Z663" i="3" s="1"/>
  <c r="G596" i="3"/>
  <c r="Z588" i="3" s="1"/>
  <c r="G662" i="3" s="1"/>
  <c r="Z662" i="3" s="1"/>
  <c r="G595" i="3"/>
  <c r="Z587" i="3" s="1"/>
  <c r="G661" i="3" s="1"/>
  <c r="Z661" i="3" s="1"/>
  <c r="G587" i="3"/>
  <c r="G586" i="3"/>
  <c r="Z580" i="3"/>
  <c r="Z579" i="3"/>
  <c r="Z578" i="3"/>
  <c r="Z577" i="3"/>
  <c r="S50" i="4"/>
  <c r="E50" i="13" s="1"/>
  <c r="C65" i="4"/>
  <c r="E65" i="4" s="1"/>
  <c r="S89" i="4"/>
  <c r="E89" i="13" s="1"/>
  <c r="S90" i="4"/>
  <c r="E90" i="13" s="1"/>
  <c r="S51" i="4"/>
  <c r="E51" i="13" s="1"/>
  <c r="S53" i="4"/>
  <c r="E53" i="13" s="1"/>
  <c r="S91" i="4"/>
  <c r="E91" i="13" s="1"/>
  <c r="S52" i="4"/>
  <c r="E52" i="13" s="1"/>
  <c r="S35" i="4"/>
  <c r="E35" i="13" s="1"/>
  <c r="S31" i="4"/>
  <c r="S30" i="4"/>
  <c r="E30" i="13" s="1"/>
  <c r="S29" i="4"/>
  <c r="E29" i="13" s="1"/>
  <c r="S43" i="4"/>
  <c r="E43" i="13" s="1"/>
  <c r="S40" i="4"/>
  <c r="S84" i="4"/>
  <c r="S86" i="4"/>
  <c r="E86" i="13" s="1"/>
  <c r="Q636" i="3"/>
  <c r="S32" i="4"/>
  <c r="E32" i="13" s="1"/>
  <c r="AA927" i="3"/>
  <c r="T635" i="3"/>
  <c r="AF635" i="3" s="1"/>
  <c r="E40" i="7" s="1"/>
  <c r="Q635" i="3"/>
  <c r="H334" i="3"/>
  <c r="H332" i="3"/>
  <c r="H331" i="3"/>
  <c r="H329" i="3"/>
  <c r="H328" i="3"/>
  <c r="AA307" i="3"/>
  <c r="AA306" i="3"/>
  <c r="M257" i="3"/>
  <c r="BE97" i="3" s="1"/>
  <c r="M256" i="3"/>
  <c r="M255" i="3"/>
  <c r="BE49" i="3" s="1"/>
  <c r="M253" i="3"/>
  <c r="H297" i="3" s="1"/>
  <c r="G594" i="3" s="1"/>
  <c r="Z586" i="3" s="1"/>
  <c r="G660" i="3" s="1"/>
  <c r="Z660" i="3" s="1"/>
  <c r="AF842" i="20"/>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BE104" i="3"/>
  <c r="AD67" i="15"/>
  <c r="Y67" i="15"/>
  <c r="BE103" i="3"/>
  <c r="W888" i="3"/>
  <c r="E21" i="7" s="1"/>
  <c r="G21" i="7" s="1"/>
  <c r="I21" i="7" s="1"/>
  <c r="K21" i="7" s="1"/>
  <c r="M21" i="7" s="1"/>
  <c r="O21" i="7" s="1"/>
  <c r="Q21" i="7" s="1"/>
  <c r="S21" i="7" s="1"/>
  <c r="U21" i="7" s="1"/>
  <c r="W21" i="7" s="1"/>
  <c r="Y21" i="7" s="1"/>
  <c r="AA21" i="7" s="1"/>
  <c r="AC21" i="7" s="1"/>
  <c r="AE21" i="7" s="1"/>
  <c r="AG21" i="7" s="1"/>
  <c r="W863" i="3"/>
  <c r="E17" i="7" s="1"/>
  <c r="G17" i="7" s="1"/>
  <c r="I17" i="7" s="1"/>
  <c r="K17" i="7" s="1"/>
  <c r="M17" i="7" s="1"/>
  <c r="O17" i="7" s="1"/>
  <c r="Q17" i="7" s="1"/>
  <c r="S17" i="7" s="1"/>
  <c r="U17" i="7" s="1"/>
  <c r="W17" i="7" s="1"/>
  <c r="Y17" i="7" s="1"/>
  <c r="AA17" i="7" s="1"/>
  <c r="AC17" i="7" s="1"/>
  <c r="AE17" i="7" s="1"/>
  <c r="AG17" i="7" s="1"/>
  <c r="W855" i="3"/>
  <c r="E15" i="7" s="1"/>
  <c r="G15" i="7" s="1"/>
  <c r="W870" i="3"/>
  <c r="E18" i="7" s="1"/>
  <c r="G18" i="7" s="1"/>
  <c r="I18" i="7" s="1"/>
  <c r="K18" i="7" s="1"/>
  <c r="M18" i="7" s="1"/>
  <c r="O18" i="7" s="1"/>
  <c r="Q18" i="7" s="1"/>
  <c r="S18" i="7" s="1"/>
  <c r="U18" i="7" s="1"/>
  <c r="W18" i="7" s="1"/>
  <c r="Y18" i="7" s="1"/>
  <c r="AA18" i="7" s="1"/>
  <c r="AC18" i="7" s="1"/>
  <c r="AE18" i="7" s="1"/>
  <c r="AG18" i="7" s="1"/>
  <c r="L44" i="21"/>
  <c r="M44" i="21"/>
  <c r="R44" i="21" s="1" a="1"/>
  <c r="R44" i="21" s="1"/>
  <c r="N44" i="21"/>
  <c r="L45" i="21"/>
  <c r="M45" i="21"/>
  <c r="N45" i="21"/>
  <c r="L46" i="21"/>
  <c r="M46" i="21"/>
  <c r="S46" i="21" s="1"/>
  <c r="N46" i="21"/>
  <c r="L47" i="21"/>
  <c r="M47" i="21"/>
  <c r="N47" i="21"/>
  <c r="L48" i="21"/>
  <c r="M48" i="21"/>
  <c r="O48" i="21" s="1"/>
  <c r="N48" i="21"/>
  <c r="L49" i="21"/>
  <c r="M49" i="21"/>
  <c r="S49" i="21" s="1"/>
  <c r="N49" i="21"/>
  <c r="L50" i="21"/>
  <c r="M50" i="21"/>
  <c r="P50" i="21" s="1" a="1"/>
  <c r="P50" i="21" s="1"/>
  <c r="N50" i="21"/>
  <c r="L51" i="21"/>
  <c r="M51" i="21"/>
  <c r="N51" i="21"/>
  <c r="L52" i="21"/>
  <c r="M52" i="21"/>
  <c r="N52" i="21"/>
  <c r="L53" i="21"/>
  <c r="M53" i="21"/>
  <c r="N53" i="21"/>
  <c r="L54" i="21"/>
  <c r="M54" i="2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63" i="3"/>
  <c r="BE100" i="3"/>
  <c r="BE99" i="3"/>
  <c r="BE98" i="3"/>
  <c r="BE96" i="3"/>
  <c r="BE95" i="3"/>
  <c r="BE94" i="3"/>
  <c r="BE93" i="3"/>
  <c r="BE92" i="3"/>
  <c r="BE91" i="3"/>
  <c r="BE90" i="3"/>
  <c r="BE89" i="3"/>
  <c r="BE88" i="3"/>
  <c r="BE87" i="3"/>
  <c r="BE86" i="3"/>
  <c r="BE85" i="3"/>
  <c r="BE84" i="3"/>
  <c r="BE67" i="3"/>
  <c r="BE66" i="3"/>
  <c r="BE61" i="3"/>
  <c r="BE60" i="3"/>
  <c r="BE59" i="3"/>
  <c r="BE57" i="3"/>
  <c r="BE56" i="3"/>
  <c r="BE55" i="3"/>
  <c r="BE54" i="3"/>
  <c r="BE53" i="3"/>
  <c r="BE52" i="3"/>
  <c r="BE51" i="3"/>
  <c r="BE50"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7" i="3" s="1"/>
  <c r="BE3" i="3"/>
  <c r="BA1050" i="3"/>
  <c r="BA1049" i="3"/>
  <c r="BA1055" i="3" s="1"/>
  <c r="CG726" i="3"/>
  <c r="CI726" i="3" s="1"/>
  <c r="BA1047" i="3"/>
  <c r="AZ1057" i="3"/>
  <c r="AZ1056" i="3"/>
  <c r="AZ1054" i="3"/>
  <c r="AZ1058" i="3" s="1"/>
  <c r="BA1061" i="3"/>
  <c r="BH256" i="3"/>
  <c r="T212" i="3"/>
  <c r="G100" i="21"/>
  <c r="B96" i="21"/>
  <c r="B81" i="21"/>
  <c r="B106" i="21"/>
  <c r="B49" i="21"/>
  <c r="B58" i="21"/>
  <c r="C5" i="7"/>
  <c r="P18" i="21"/>
  <c r="AG453" i="3"/>
  <c r="AG450" i="3"/>
  <c r="BN150" i="3"/>
  <c r="C177" i="20"/>
  <c r="U387" i="20"/>
  <c r="L90" i="21"/>
  <c r="X760" i="3"/>
  <c r="AH760" i="3"/>
  <c r="BF759" i="3"/>
  <c r="BS759" i="3"/>
  <c r="BS760" i="3"/>
  <c r="AJ1029" i="3"/>
  <c r="BF748" i="3"/>
  <c r="AH759" i="3"/>
  <c r="AH750" i="3"/>
  <c r="AY1036" i="3"/>
  <c r="G761" i="3"/>
  <c r="AX702" i="20"/>
  <c r="AJ738" i="20"/>
  <c r="AO610" i="20"/>
  <c r="AP596" i="20"/>
  <c r="BS750" i="3"/>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c r="X751" i="3"/>
  <c r="X752" i="3"/>
  <c r="X753" i="3"/>
  <c r="X754" i="3"/>
  <c r="X755" i="3"/>
  <c r="X756" i="3"/>
  <c r="X757" i="3"/>
  <c r="X758" i="3"/>
  <c r="X759" i="3"/>
  <c r="AJ179" i="20"/>
  <c r="T832" i="20" s="1"/>
  <c r="AJ165" i="20"/>
  <c r="T831" i="20" s="1"/>
  <c r="AP306" i="20"/>
  <c r="AJ1034" i="3"/>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E28" i="7"/>
  <c r="E27" i="7"/>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25" i="3"/>
  <c r="E8" i="7" s="1"/>
  <c r="G8" i="7" s="1"/>
  <c r="AC781" i="3"/>
  <c r="AC782" i="3"/>
  <c r="AC783" i="3"/>
  <c r="AC784" i="3"/>
  <c r="AC795" i="3"/>
  <c r="AC796" i="3"/>
  <c r="AC797" i="3"/>
  <c r="AC798" i="3"/>
  <c r="AC799" i="3"/>
  <c r="AC800" i="3"/>
  <c r="AC801" i="3"/>
  <c r="AC802" i="3"/>
  <c r="AC803" i="3"/>
  <c r="AC804" i="3"/>
  <c r="T25" i="15"/>
  <c r="DG122" i="3"/>
  <c r="R998" i="3" s="1"/>
  <c r="CP726" i="3"/>
  <c r="EZ726" i="3" s="1"/>
  <c r="CP727" i="3"/>
  <c r="EZ727" i="3" s="1"/>
  <c r="CP728" i="3"/>
  <c r="EZ728" i="3" s="1"/>
  <c r="CP729" i="3"/>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DU798" i="3" s="1"/>
  <c r="CP799" i="3"/>
  <c r="DU799" i="3" s="1"/>
  <c r="CP800" i="3"/>
  <c r="DU800" i="3" s="1"/>
  <c r="CP801" i="3"/>
  <c r="DU801" i="3" s="1"/>
  <c r="CP802" i="3"/>
  <c r="DU802" i="3" s="1"/>
  <c r="CP803" i="3"/>
  <c r="DU803" i="3" s="1"/>
  <c r="CP804" i="3"/>
  <c r="CU726" i="3"/>
  <c r="CU727" i="3"/>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CZ731" i="3"/>
  <c r="CZ732" i="3"/>
  <c r="FJ732" i="3" s="1"/>
  <c r="CZ733" i="3"/>
  <c r="FJ733" i="3" s="1"/>
  <c r="CZ734" i="3"/>
  <c r="FJ734" i="3" s="1"/>
  <c r="CZ735" i="3"/>
  <c r="FJ735" i="3" s="1"/>
  <c r="CZ736" i="3"/>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CZ797" i="3"/>
  <c r="EE797" i="3" s="1"/>
  <c r="CZ798" i="3"/>
  <c r="EE798" i="3" s="1"/>
  <c r="CZ799" i="3"/>
  <c r="EE799" i="3" s="1"/>
  <c r="CZ800" i="3"/>
  <c r="EE800" i="3" s="1"/>
  <c r="CZ801" i="3"/>
  <c r="EE801" i="3" s="1"/>
  <c r="CZ802" i="3"/>
  <c r="EE802" i="3" s="1"/>
  <c r="CZ803" i="3"/>
  <c r="EE803" i="3" s="1"/>
  <c r="CZ804" i="3"/>
  <c r="EE804" i="3" s="1"/>
  <c r="DE726" i="3"/>
  <c r="DE727" i="3"/>
  <c r="FO727" i="3" s="1"/>
  <c r="DE728" i="3"/>
  <c r="FO728" i="3" s="1"/>
  <c r="DE729" i="3"/>
  <c r="FO729" i="3" s="1"/>
  <c r="DE730" i="3"/>
  <c r="FO730" i="3" s="1"/>
  <c r="DE731" i="3"/>
  <c r="FO731" i="3" s="1"/>
  <c r="DE732" i="3"/>
  <c r="DE733" i="3"/>
  <c r="DE734" i="3"/>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DJ760" i="3"/>
  <c r="FT760" i="3" s="1"/>
  <c r="DJ781" i="3"/>
  <c r="DJ782" i="3"/>
  <c r="DJ783" i="3"/>
  <c r="DJ784" i="3"/>
  <c r="DJ795" i="3"/>
  <c r="EO795" i="3" s="1"/>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45" i="3" s="1"/>
  <c r="I15" i="21" s="1"/>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E69" i="3" s="1"/>
  <c r="BG235" i="3"/>
  <c r="BG236" i="3"/>
  <c r="BG237" i="3"/>
  <c r="BG238" i="3"/>
  <c r="BG239" i="3"/>
  <c r="BG241" i="3"/>
  <c r="BG242" i="3"/>
  <c r="BG243" i="3"/>
  <c r="BG245" i="3"/>
  <c r="BG246" i="3"/>
  <c r="BG247" i="3"/>
  <c r="BG248" i="3"/>
  <c r="BG249" i="3"/>
  <c r="BG250" i="3"/>
  <c r="M241"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G151" i="21"/>
  <c r="E153" i="21" s="1"/>
  <c r="S26" i="4"/>
  <c r="E26" i="13" s="1"/>
  <c r="C26" i="4"/>
  <c r="B26" i="13" s="1"/>
  <c r="G86" i="21"/>
  <c r="G92" i="21" s="1"/>
  <c r="G123" i="21"/>
  <c r="M20" i="21"/>
  <c r="M21" i="21"/>
  <c r="M22" i="21"/>
  <c r="M23" i="21"/>
  <c r="M24" i="21"/>
  <c r="M25" i="21"/>
  <c r="U25" i="21" s="1"/>
  <c r="M26" i="21"/>
  <c r="M27" i="21"/>
  <c r="M28" i="21"/>
  <c r="M29" i="21"/>
  <c r="M30" i="21"/>
  <c r="M31" i="21"/>
  <c r="M32" i="21"/>
  <c r="M33" i="21"/>
  <c r="O33" i="21" s="1"/>
  <c r="M34" i="21"/>
  <c r="M35" i="21"/>
  <c r="O35" i="21" s="1"/>
  <c r="M36" i="21"/>
  <c r="M37" i="21"/>
  <c r="M38" i="21"/>
  <c r="M39" i="21"/>
  <c r="M40" i="21"/>
  <c r="M41" i="21"/>
  <c r="M42" i="21"/>
  <c r="M43" i="21"/>
  <c r="T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5" i="11"/>
  <c r="C36" i="11"/>
  <c r="C37" i="11"/>
  <c r="C38" i="11"/>
  <c r="B31" i="11"/>
  <c r="B32" i="11"/>
  <c r="B33" i="11"/>
  <c r="B35" i="11"/>
  <c r="B36" i="11"/>
  <c r="B37" i="11"/>
  <c r="B38" i="11"/>
  <c r="C24" i="11"/>
  <c r="C25" i="11"/>
  <c r="C26" i="11"/>
  <c r="B25" i="11"/>
  <c r="B26" i="11"/>
  <c r="D70" i="4"/>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G53" i="7"/>
  <c r="A61" i="15"/>
  <c r="BA487" i="3"/>
  <c r="BA478" i="3"/>
  <c r="G24" i="7"/>
  <c r="I24" i="7" s="1"/>
  <c r="K24" i="7" s="1"/>
  <c r="M24" i="7" s="1"/>
  <c r="O24" i="7" s="1"/>
  <c r="Q24" i="7" s="1"/>
  <c r="S24" i="7" s="1"/>
  <c r="U24" i="7" s="1"/>
  <c r="W24" i="7" s="1"/>
  <c r="Y24" i="7" s="1"/>
  <c r="AA24" i="7" s="1"/>
  <c r="AC24" i="7" s="1"/>
  <c r="AE24" i="7" s="1"/>
  <c r="AG24" i="7" s="1"/>
  <c r="B100" i="4"/>
  <c r="R100" i="4"/>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5" i="3"/>
  <c r="X735"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C80" i="11"/>
  <c r="C81" i="11"/>
  <c r="B80" i="11"/>
  <c r="B81" i="11"/>
  <c r="I96" i="13"/>
  <c r="J96" i="13"/>
  <c r="J81" i="13"/>
  <c r="I81" i="13"/>
  <c r="G81" i="13"/>
  <c r="F81" i="13"/>
  <c r="D81" i="13"/>
  <c r="C81" i="13"/>
  <c r="H80" i="13"/>
  <c r="E80" i="13"/>
  <c r="B80" i="13"/>
  <c r="R79" i="4"/>
  <c r="S70" i="4"/>
  <c r="E70" i="13" s="1"/>
  <c r="D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87" i="13"/>
  <c r="E85" i="13"/>
  <c r="E79" i="13"/>
  <c r="E65" i="13"/>
  <c r="E48" i="13"/>
  <c r="E47" i="13"/>
  <c r="E46" i="13"/>
  <c r="E41"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1" i="13"/>
  <c r="B60" i="13"/>
  <c r="B59" i="13"/>
  <c r="B58" i="13"/>
  <c r="B57" i="13"/>
  <c r="B56" i="13"/>
  <c r="B53" i="13"/>
  <c r="B52" i="13"/>
  <c r="B51" i="13"/>
  <c r="B50" i="13"/>
  <c r="B49" i="13"/>
  <c r="B48" i="13"/>
  <c r="B47" i="13"/>
  <c r="B46" i="13"/>
  <c r="B45" i="13"/>
  <c r="B43" i="13"/>
  <c r="C42" i="4"/>
  <c r="B41" i="13"/>
  <c r="B40" i="13"/>
  <c r="B37" i="13"/>
  <c r="B35" i="13"/>
  <c r="B34"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87" i="4"/>
  <c r="R85" i="4"/>
  <c r="R76" i="4"/>
  <c r="R72" i="4"/>
  <c r="R73" i="4"/>
  <c r="R74" i="4"/>
  <c r="R69" i="4"/>
  <c r="R61" i="4"/>
  <c r="R60" i="4"/>
  <c r="R59" i="4"/>
  <c r="R58" i="4"/>
  <c r="R57" i="4"/>
  <c r="R53" i="4"/>
  <c r="R48" i="4"/>
  <c r="R47" i="4"/>
  <c r="R41" i="4"/>
  <c r="R37" i="4"/>
  <c r="R34" i="4"/>
  <c r="R27" i="4"/>
  <c r="R25" i="4"/>
  <c r="R23" i="4"/>
  <c r="R22" i="4"/>
  <c r="R21" i="4"/>
  <c r="R20" i="4"/>
  <c r="R19" i="4"/>
  <c r="R18" i="4"/>
  <c r="R17" i="4"/>
  <c r="R15" i="4"/>
  <c r="R14"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B62" i="13" s="1"/>
  <c r="C77" i="4"/>
  <c r="C96" i="4"/>
  <c r="D8" i="4"/>
  <c r="D11" i="4"/>
  <c r="D26" i="4"/>
  <c r="D38" i="4"/>
  <c r="D42" i="4"/>
  <c r="D54" i="4"/>
  <c r="D62" i="4"/>
  <c r="D77" i="4"/>
  <c r="D96" i="4"/>
  <c r="D104" i="4"/>
  <c r="F2" i="4"/>
  <c r="G2" i="4"/>
  <c r="H2" i="4"/>
  <c r="I2" i="4"/>
  <c r="J2" i="4"/>
  <c r="K2" i="4"/>
  <c r="L2" i="4"/>
  <c r="M2" i="4"/>
  <c r="N2" i="4"/>
  <c r="O2" i="4"/>
  <c r="P2" i="4"/>
  <c r="Q2" i="4"/>
  <c r="B4" i="4"/>
  <c r="BE23" i="3" s="1"/>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42"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4" i="4"/>
  <c r="B35" i="4"/>
  <c r="B37" i="4"/>
  <c r="H38" i="4"/>
  <c r="K38" i="4"/>
  <c r="L38" i="4"/>
  <c r="O38" i="4"/>
  <c r="P38" i="4"/>
  <c r="P42" i="4"/>
  <c r="P54" i="4"/>
  <c r="P62" i="4"/>
  <c r="P70" i="4"/>
  <c r="P77" i="4"/>
  <c r="P96" i="4"/>
  <c r="P104" i="4"/>
  <c r="Q38" i="4"/>
  <c r="B40" i="4"/>
  <c r="B41" i="4"/>
  <c r="G42" i="4"/>
  <c r="H42" i="4"/>
  <c r="K42" i="4"/>
  <c r="L42" i="4"/>
  <c r="O42" i="4"/>
  <c r="Q42" i="4"/>
  <c r="B43" i="4"/>
  <c r="B45" i="4"/>
  <c r="B46" i="4"/>
  <c r="B47" i="4"/>
  <c r="B48" i="4"/>
  <c r="B49" i="4"/>
  <c r="B50" i="4"/>
  <c r="B51" i="4"/>
  <c r="B52" i="4"/>
  <c r="B53" i="4"/>
  <c r="G54" i="4"/>
  <c r="H54" i="4"/>
  <c r="K54" i="4"/>
  <c r="L54" i="4"/>
  <c r="O54" i="4"/>
  <c r="Q54" i="4"/>
  <c r="B56" i="4"/>
  <c r="B57" i="4"/>
  <c r="B58" i="4"/>
  <c r="B60" i="4"/>
  <c r="B61" i="4"/>
  <c r="G62" i="4"/>
  <c r="H62" i="4"/>
  <c r="K62" i="4"/>
  <c r="L62" i="4"/>
  <c r="O62" i="4"/>
  <c r="O70" i="4"/>
  <c r="O77" i="4"/>
  <c r="O96" i="4"/>
  <c r="O104" i="4"/>
  <c r="Q62" i="4"/>
  <c r="F70" i="4"/>
  <c r="G70" i="4"/>
  <c r="H70" i="4"/>
  <c r="I70" i="4"/>
  <c r="K70" i="4"/>
  <c r="L70" i="4"/>
  <c r="Q70" i="4"/>
  <c r="B72" i="4"/>
  <c r="B73" i="4"/>
  <c r="B74" i="4"/>
  <c r="B75" i="4"/>
  <c r="B76" i="4"/>
  <c r="F77" i="4"/>
  <c r="G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F104" i="4"/>
  <c r="G104" i="4"/>
  <c r="K104" i="4"/>
  <c r="L104" i="4"/>
  <c r="Q104" i="4"/>
  <c r="E108" i="4"/>
  <c r="F108" i="4"/>
  <c r="G108" i="4"/>
  <c r="G30" i="4" s="1"/>
  <c r="G38" i="4" s="1"/>
  <c r="H108" i="4"/>
  <c r="H75" i="4" s="1"/>
  <c r="J108" i="4"/>
  <c r="K108" i="4"/>
  <c r="L108" i="4"/>
  <c r="M108" i="4"/>
  <c r="N108" i="4"/>
  <c r="O108" i="4"/>
  <c r="P108" i="4"/>
  <c r="Q108" i="4"/>
  <c r="B131" i="4"/>
  <c r="I184" i="3"/>
  <c r="W427" i="3"/>
  <c r="AF427" i="3"/>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Q840" i="3"/>
  <c r="U840" i="3"/>
  <c r="Y840" i="3"/>
  <c r="AC840" i="3"/>
  <c r="AG840" i="3"/>
  <c r="Z911" i="3"/>
  <c r="H104" i="4"/>
  <c r="J7" i="8"/>
  <c r="C9" i="7"/>
  <c r="C7" i="7"/>
  <c r="AJ1025" i="3"/>
  <c r="AQ114" i="20"/>
  <c r="D7" i="8"/>
  <c r="I7" i="8"/>
  <c r="BE77" i="3"/>
  <c r="AJ724" i="20"/>
  <c r="Y64" i="15"/>
  <c r="H77" i="4" l="1"/>
  <c r="E75" i="4"/>
  <c r="AO71" i="20"/>
  <c r="D26" i="11"/>
  <c r="D15" i="11"/>
  <c r="D23" i="11"/>
  <c r="D14" i="11"/>
  <c r="R56" i="4"/>
  <c r="R62" i="4" s="1"/>
  <c r="E62" i="4"/>
  <c r="R40" i="4"/>
  <c r="R42" i="4" s="1"/>
  <c r="E42" i="4"/>
  <c r="E11" i="4"/>
  <c r="R10" i="4"/>
  <c r="R11" i="4" s="1"/>
  <c r="E8" i="4"/>
  <c r="R4" i="4"/>
  <c r="R8" i="4" s="1"/>
  <c r="E99" i="13"/>
  <c r="S104" i="4"/>
  <c r="B33" i="13"/>
  <c r="R33" i="4"/>
  <c r="B33" i="4"/>
  <c r="W41" i="7"/>
  <c r="I41" i="7"/>
  <c r="Q41" i="7"/>
  <c r="S41" i="7"/>
  <c r="Y41" i="7"/>
  <c r="AE41" i="7"/>
  <c r="K41" i="7"/>
  <c r="O41" i="7"/>
  <c r="B65" i="4"/>
  <c r="B66" i="11"/>
  <c r="B71" i="11" s="1"/>
  <c r="C66" i="11"/>
  <c r="B65" i="13"/>
  <c r="D96" i="11"/>
  <c r="D31" i="11"/>
  <c r="F45" i="4"/>
  <c r="C54" i="4"/>
  <c r="S33" i="4"/>
  <c r="C38" i="4"/>
  <c r="E84" i="13"/>
  <c r="S96" i="4"/>
  <c r="E96" i="13" s="1"/>
  <c r="T45" i="21"/>
  <c r="P45" i="21" a="1"/>
  <c r="P45" i="21" s="1"/>
  <c r="T47" i="21"/>
  <c r="P47" i="21" a="1"/>
  <c r="P47" i="21" s="1"/>
  <c r="O49" i="21"/>
  <c r="U49" i="21"/>
  <c r="R52" i="21" a="1"/>
  <c r="R52" i="21" s="1"/>
  <c r="T52" i="21"/>
  <c r="T54" i="21"/>
  <c r="S54" i="21"/>
  <c r="P54" i="21" a="1"/>
  <c r="P54" i="21" s="1"/>
  <c r="O54" i="21"/>
  <c r="BA1051" i="3"/>
  <c r="BD1060" i="3" s="1" a="1"/>
  <c r="BD1060" i="3" s="1"/>
  <c r="AF1023" i="3"/>
  <c r="AX703" i="20"/>
  <c r="E103" i="20"/>
  <c r="E104" i="20"/>
  <c r="C765" i="3"/>
  <c r="D101" i="11"/>
  <c r="U52" i="21"/>
  <c r="AY1033" i="3"/>
  <c r="AF1026" i="3" s="1"/>
  <c r="P52" i="21" a="1"/>
  <c r="P52" i="21" s="1"/>
  <c r="D70" i="11"/>
  <c r="D85" i="11"/>
  <c r="D33" i="11"/>
  <c r="AV121" i="20"/>
  <c r="D35" i="11"/>
  <c r="U54" i="21"/>
  <c r="D73" i="11"/>
  <c r="R47" i="21" a="1"/>
  <c r="R47" i="21" s="1"/>
  <c r="P49" i="21" a="1"/>
  <c r="P49" i="21" s="1"/>
  <c r="B11" i="4"/>
  <c r="DE785" i="3"/>
  <c r="DI786" i="3" s="1"/>
  <c r="CP805" i="3"/>
  <c r="CT806" i="3" s="1"/>
  <c r="S45" i="21"/>
  <c r="D48" i="11"/>
  <c r="B43" i="11"/>
  <c r="U45" i="21"/>
  <c r="AO47" i="20"/>
  <c r="B77" i="4"/>
  <c r="B82" i="11"/>
  <c r="DJ785" i="3"/>
  <c r="DN786" i="3" s="1"/>
  <c r="AC785" i="3"/>
  <c r="B81" i="4"/>
  <c r="R54" i="21" a="1"/>
  <c r="R54" i="21" s="1"/>
  <c r="AC893" i="3"/>
  <c r="K40" i="7"/>
  <c r="M40" i="7"/>
  <c r="G40" i="7"/>
  <c r="W40" i="7"/>
  <c r="AE40" i="7"/>
  <c r="O40" i="7"/>
  <c r="AG40" i="7"/>
  <c r="S40" i="7"/>
  <c r="AC40" i="7"/>
  <c r="I40" i="7"/>
  <c r="Q40" i="7"/>
  <c r="E43" i="7"/>
  <c r="U40" i="7"/>
  <c r="AA40" i="7"/>
  <c r="Y40" i="7"/>
  <c r="F12" i="4"/>
  <c r="AG927" i="3"/>
  <c r="E96" i="4"/>
  <c r="D50" i="11"/>
  <c r="D7" i="11"/>
  <c r="B77" i="13"/>
  <c r="D62" i="11"/>
  <c r="E26" i="21"/>
  <c r="BG252" i="3"/>
  <c r="BO254" i="3" s="1"/>
  <c r="T276" i="3" s="1"/>
  <c r="Q12" i="4"/>
  <c r="S54" i="4"/>
  <c r="E54" i="13" s="1"/>
  <c r="AC892" i="3"/>
  <c r="D76" i="11"/>
  <c r="D59" i="11"/>
  <c r="O44" i="21"/>
  <c r="I12" i="4"/>
  <c r="D58" i="11"/>
  <c r="AP379" i="20"/>
  <c r="AQ379" i="20" s="1"/>
  <c r="AS375" i="20" s="1"/>
  <c r="AS371" i="20" s="1"/>
  <c r="AK482" i="20" s="1"/>
  <c r="T839" i="20" s="1"/>
  <c r="AF839" i="20" s="1"/>
  <c r="BE80" i="3" s="1"/>
  <c r="D102" i="11"/>
  <c r="AP308" i="20"/>
  <c r="AK351" i="20" s="1"/>
  <c r="T830" i="20"/>
  <c r="AF830" i="20" s="1"/>
  <c r="BE75" i="3" s="1"/>
  <c r="AO57" i="20"/>
  <c r="D11" i="11"/>
  <c r="DO785" i="3"/>
  <c r="DS786" i="3" s="1"/>
  <c r="U44" i="21"/>
  <c r="E81" i="4"/>
  <c r="L12" i="4"/>
  <c r="D74" i="11"/>
  <c r="D46" i="11"/>
  <c r="I63" i="13"/>
  <c r="I97" i="13" s="1"/>
  <c r="I105" i="13" s="1"/>
  <c r="I107" i="13" s="1"/>
  <c r="D92" i="11"/>
  <c r="D81" i="11"/>
  <c r="D103" i="11"/>
  <c r="K63" i="4"/>
  <c r="K97" i="4" s="1"/>
  <c r="K105" i="4" s="1"/>
  <c r="R81" i="4"/>
  <c r="D94" i="11"/>
  <c r="D20" i="11"/>
  <c r="D89" i="11"/>
  <c r="R27" i="21" a="1"/>
  <c r="R27" i="21" s="1"/>
  <c r="AG454" i="3"/>
  <c r="J40" i="8"/>
  <c r="Z817" i="3" s="1"/>
  <c r="E6" i="7" s="1"/>
  <c r="G6" i="7" s="1"/>
  <c r="AC805" i="3"/>
  <c r="CP785" i="3"/>
  <c r="CT786" i="3" s="1"/>
  <c r="BF761" i="3"/>
  <c r="R23" i="21" a="1"/>
  <c r="R23" i="21" s="1"/>
  <c r="D104" i="11"/>
  <c r="D87" i="11"/>
  <c r="D90" i="11"/>
  <c r="EO761" i="3"/>
  <c r="D93" i="11"/>
  <c r="CU785" i="3"/>
  <c r="CY786" i="3" s="1"/>
  <c r="CZ785" i="3"/>
  <c r="CZ805" i="3"/>
  <c r="DD806" i="3" s="1"/>
  <c r="D86" i="11"/>
  <c r="DO761" i="3"/>
  <c r="E28" i="21"/>
  <c r="D38" i="11"/>
  <c r="D24" i="11"/>
  <c r="D54" i="11"/>
  <c r="AK548" i="20"/>
  <c r="T835" i="20" s="1"/>
  <c r="C82" i="11"/>
  <c r="G77" i="21"/>
  <c r="G79" i="21" s="1"/>
  <c r="B12" i="11"/>
  <c r="D21" i="11"/>
  <c r="C27" i="11"/>
  <c r="D28" i="11"/>
  <c r="D42" i="11"/>
  <c r="D47" i="11"/>
  <c r="D52" i="11"/>
  <c r="D75" i="11"/>
  <c r="D77" i="11"/>
  <c r="B26" i="4"/>
  <c r="J28" i="24"/>
  <c r="B62" i="4"/>
  <c r="P63" i="4"/>
  <c r="P97" i="4" s="1"/>
  <c r="P105" i="4" s="1"/>
  <c r="N183" i="24"/>
  <c r="G63" i="4"/>
  <c r="G97" i="4" s="1"/>
  <c r="G105" i="4" s="1"/>
  <c r="Y620" i="20"/>
  <c r="EE761" i="3"/>
  <c r="E9" i="7"/>
  <c r="C34" i="11"/>
  <c r="C39" i="11" s="1"/>
  <c r="B34" i="11"/>
  <c r="B39" i="11" s="1"/>
  <c r="C70" i="4"/>
  <c r="Y29" i="7"/>
  <c r="S29" i="7"/>
  <c r="I29" i="7"/>
  <c r="M29" i="7"/>
  <c r="Q29" i="7"/>
  <c r="W29" i="7"/>
  <c r="U29" i="7"/>
  <c r="AC29" i="7"/>
  <c r="AA29" i="7"/>
  <c r="O29" i="7"/>
  <c r="AG29" i="7"/>
  <c r="AA28" i="7"/>
  <c r="Q28" i="7"/>
  <c r="I28" i="7"/>
  <c r="K28" i="7"/>
  <c r="M28" i="7"/>
  <c r="S28" i="7"/>
  <c r="G28" i="7"/>
  <c r="W28" i="7"/>
  <c r="O28" i="7"/>
  <c r="AE28" i="7"/>
  <c r="AC28" i="7"/>
  <c r="AG28" i="7"/>
  <c r="Y28" i="7"/>
  <c r="U28" i="7"/>
  <c r="G9" i="7"/>
  <c r="I8" i="7"/>
  <c r="AD7" i="15"/>
  <c r="Y7" i="15"/>
  <c r="AI7" i="15"/>
  <c r="T7" i="15"/>
  <c r="Y68" i="15"/>
  <c r="AD68" i="15"/>
  <c r="R999" i="3"/>
  <c r="R995" i="3"/>
  <c r="R996" i="3"/>
  <c r="R997" i="3"/>
  <c r="G153" i="21" s="1"/>
  <c r="G155" i="21" s="1"/>
  <c r="I16" i="21" s="1"/>
  <c r="FO726" i="3"/>
  <c r="DE761" i="3"/>
  <c r="EJ795" i="3"/>
  <c r="EJ805" i="3" s="1"/>
  <c r="DE805" i="3"/>
  <c r="DI806" i="3" s="1"/>
  <c r="AY1012" i="3"/>
  <c r="I1057" i="3" s="1"/>
  <c r="C806" i="3"/>
  <c r="U20" i="21"/>
  <c r="T20" i="21"/>
  <c r="U21" i="21"/>
  <c r="T21" i="21"/>
  <c r="U22" i="21"/>
  <c r="T22" i="21"/>
  <c r="U24" i="21"/>
  <c r="T24" i="21"/>
  <c r="U26" i="21"/>
  <c r="T26" i="21"/>
  <c r="U27" i="21"/>
  <c r="T27" i="21"/>
  <c r="T28" i="21"/>
  <c r="U28" i="21"/>
  <c r="U29" i="21"/>
  <c r="P29" i="21" a="1"/>
  <c r="P29" i="21" s="1"/>
  <c r="O30" i="21"/>
  <c r="T30" i="21"/>
  <c r="S30" i="21"/>
  <c r="P30" i="21" a="1"/>
  <c r="P30" i="21" s="1"/>
  <c r="U30" i="21"/>
  <c r="R30" i="21" a="1"/>
  <c r="R30" i="21" s="1"/>
  <c r="O31" i="21"/>
  <c r="P31" i="21" a="1"/>
  <c r="P31" i="21" s="1"/>
  <c r="U31" i="21"/>
  <c r="T31" i="21"/>
  <c r="R31" i="21" a="1"/>
  <c r="R31" i="21" s="1"/>
  <c r="O32" i="21"/>
  <c r="S32" i="21"/>
  <c r="U32" i="21"/>
  <c r="T32" i="21"/>
  <c r="P32" i="21" a="1"/>
  <c r="P32" i="21" s="1"/>
  <c r="R32" i="21" a="1"/>
  <c r="R32" i="21" s="1"/>
  <c r="P33" i="21" a="1"/>
  <c r="P33" i="21" s="1"/>
  <c r="U33" i="21"/>
  <c r="T33" i="21"/>
  <c r="O34" i="21"/>
  <c r="S34" i="21"/>
  <c r="P34" i="21" a="1"/>
  <c r="P34" i="21" s="1"/>
  <c r="R34" i="21" a="1"/>
  <c r="R34" i="21" s="1"/>
  <c r="U34" i="21"/>
  <c r="T35" i="21"/>
  <c r="P35" i="21" a="1"/>
  <c r="P35" i="21" s="1"/>
  <c r="S35" i="21"/>
  <c r="O36" i="21"/>
  <c r="P36" i="21" a="1"/>
  <c r="P36" i="21" s="1"/>
  <c r="R36" i="21" a="1"/>
  <c r="R36" i="21" s="1"/>
  <c r="P37" i="21" a="1"/>
  <c r="P37" i="21" s="1"/>
  <c r="T37" i="21"/>
  <c r="U37" i="21"/>
  <c r="S37" i="21"/>
  <c r="R37" i="21" a="1"/>
  <c r="R37" i="21" s="1"/>
  <c r="O38" i="21"/>
  <c r="U38" i="21"/>
  <c r="R38" i="21" a="1"/>
  <c r="R38" i="21" s="1"/>
  <c r="P38" i="21" a="1"/>
  <c r="P38" i="21" s="1"/>
  <c r="T38" i="21"/>
  <c r="S38" i="21"/>
  <c r="O39" i="21"/>
  <c r="S39" i="21"/>
  <c r="T39" i="21"/>
  <c r="R39" i="21" a="1"/>
  <c r="R39" i="21" s="1"/>
  <c r="P39" i="21" a="1"/>
  <c r="P39" i="21" s="1"/>
  <c r="U39" i="21"/>
  <c r="O40" i="21"/>
  <c r="U40" i="21"/>
  <c r="R40" i="21" a="1"/>
  <c r="R40" i="21" s="1"/>
  <c r="T40" i="21"/>
  <c r="P40" i="21" a="1"/>
  <c r="P40" i="21" s="1"/>
  <c r="S40" i="21"/>
  <c r="O41" i="21"/>
  <c r="P41" i="21" a="1"/>
  <c r="P41" i="21" s="1"/>
  <c r="R41" i="21" a="1"/>
  <c r="R41" i="21" s="1"/>
  <c r="T41" i="21"/>
  <c r="U41" i="21"/>
  <c r="P42" i="21" a="1"/>
  <c r="P42" i="21" s="1"/>
  <c r="T42" i="21"/>
  <c r="R42" i="21" a="1"/>
  <c r="R42" i="21" s="1"/>
  <c r="I53" i="7"/>
  <c r="K53" i="7" s="1"/>
  <c r="M53" i="7" s="1"/>
  <c r="O53" i="7" s="1"/>
  <c r="Q53" i="7" s="1"/>
  <c r="S53" i="7" s="1"/>
  <c r="U53" i="7" s="1"/>
  <c r="G58" i="7"/>
  <c r="B8" i="13"/>
  <c r="C12" i="4"/>
  <c r="B12" i="13" s="1"/>
  <c r="C12" i="13"/>
  <c r="C63" i="13"/>
  <c r="C97" i="13" s="1"/>
  <c r="C105" i="13" s="1"/>
  <c r="D63" i="13"/>
  <c r="D97" i="13" s="1"/>
  <c r="D105" i="13" s="1"/>
  <c r="D12" i="13"/>
  <c r="B96" i="13"/>
  <c r="B96" i="4"/>
  <c r="T731" i="3"/>
  <c r="O731" i="3" s="1"/>
  <c r="T730" i="3"/>
  <c r="O730" i="3" s="1"/>
  <c r="T729" i="3"/>
  <c r="X729" i="3" s="1"/>
  <c r="AH729" i="3" s="1"/>
  <c r="FY761" i="3"/>
  <c r="I15" i="7"/>
  <c r="K15" i="7" s="1"/>
  <c r="R20" i="21" a="1"/>
  <c r="R20" i="21" s="1"/>
  <c r="CU805" i="3"/>
  <c r="CY806" i="3" s="1"/>
  <c r="R21" i="21" a="1"/>
  <c r="R21" i="21" s="1"/>
  <c r="D61" i="11"/>
  <c r="B9" i="11"/>
  <c r="D36" i="11"/>
  <c r="O52" i="21"/>
  <c r="S52" i="21"/>
  <c r="AP600" i="20"/>
  <c r="G108" i="21" s="1"/>
  <c r="I63" i="4"/>
  <c r="I97" i="4" s="1"/>
  <c r="G40" i="8"/>
  <c r="O37" i="21"/>
  <c r="O45" i="21"/>
  <c r="R26" i="21" a="1"/>
  <c r="R26" i="21" s="1"/>
  <c r="M12" i="4"/>
  <c r="D16" i="11"/>
  <c r="D5" i="11"/>
  <c r="BS761" i="3"/>
  <c r="AZ1061" i="3"/>
  <c r="B63" i="11"/>
  <c r="J24" i="24"/>
  <c r="R29" i="21" a="1"/>
  <c r="R29" i="21" s="1"/>
  <c r="K29" i="7"/>
  <c r="D80" i="11"/>
  <c r="AO34" i="20"/>
  <c r="V29" i="24"/>
  <c r="J21" i="24"/>
  <c r="E25" i="21"/>
  <c r="F25" i="21" s="1"/>
  <c r="G25" i="21" s="1"/>
  <c r="AE29" i="7"/>
  <c r="T29" i="21"/>
  <c r="T36" i="21"/>
  <c r="R28" i="21" a="1"/>
  <c r="R28" i="21" s="1"/>
  <c r="E20" i="7"/>
  <c r="U23" i="21"/>
  <c r="T34" i="21"/>
  <c r="D22" i="11"/>
  <c r="DJ805" i="3"/>
  <c r="DN806" i="3" s="1"/>
  <c r="DO805" i="3"/>
  <c r="DS806" i="3" s="1"/>
  <c r="T23" i="21"/>
  <c r="D60" i="11"/>
  <c r="K12" i="4"/>
  <c r="H63" i="4"/>
  <c r="H97" i="4" s="1"/>
  <c r="H105" i="4" s="1"/>
  <c r="B104" i="4"/>
  <c r="G113" i="21"/>
  <c r="DU804" i="3"/>
  <c r="DU805" i="3" s="1"/>
  <c r="S50" i="21"/>
  <c r="AH29" i="24"/>
  <c r="R24" i="21" a="1"/>
  <c r="R24" i="21" s="1"/>
  <c r="R22" i="21" a="1"/>
  <c r="R22" i="21" s="1"/>
  <c r="G12" i="4"/>
  <c r="C12" i="11"/>
  <c r="CM761" i="3"/>
  <c r="X1061" i="3" s="1"/>
  <c r="EO805" i="3"/>
  <c r="ET805" i="3"/>
  <c r="CI761" i="3"/>
  <c r="R25" i="21" a="1"/>
  <c r="R25" i="21" s="1"/>
  <c r="S31" i="21"/>
  <c r="R33" i="21" a="1"/>
  <c r="R33" i="21" s="1"/>
  <c r="G29" i="7"/>
  <c r="S33" i="21"/>
  <c r="D63" i="4"/>
  <c r="D97" i="4" s="1"/>
  <c r="D105" i="4" s="1"/>
  <c r="BE68" i="3" s="1"/>
  <c r="AB233" i="20"/>
  <c r="AB249" i="20" s="1"/>
  <c r="AB251" i="20" s="1"/>
  <c r="AB253" i="20" s="1"/>
  <c r="AB259" i="20" s="1"/>
  <c r="AD208" i="20" s="1"/>
  <c r="AD210" i="20" s="1"/>
  <c r="EE796" i="3"/>
  <c r="EE805" i="3" s="1"/>
  <c r="R48" i="21" a="1"/>
  <c r="R48" i="21" s="1"/>
  <c r="S48" i="21"/>
  <c r="S41" i="21"/>
  <c r="T63" i="4"/>
  <c r="B78" i="11"/>
  <c r="D44" i="11"/>
  <c r="F63" i="13"/>
  <c r="F97" i="13" s="1"/>
  <c r="F105" i="13" s="1"/>
  <c r="F107" i="13" s="1"/>
  <c r="G51" i="21"/>
  <c r="S29" i="21"/>
  <c r="H12" i="4"/>
  <c r="U36" i="21"/>
  <c r="D51" i="11"/>
  <c r="D8" i="11"/>
  <c r="D25" i="11"/>
  <c r="D32" i="11"/>
  <c r="D95" i="11"/>
  <c r="O29" i="21"/>
  <c r="AK182" i="20"/>
  <c r="D12" i="4"/>
  <c r="D19" i="11"/>
  <c r="G63" i="13"/>
  <c r="G97" i="13" s="1"/>
  <c r="G105" i="13" s="1"/>
  <c r="G107" i="13" s="1"/>
  <c r="T25" i="21"/>
  <c r="S36" i="21"/>
  <c r="L63" i="4"/>
  <c r="L97" i="4" s="1"/>
  <c r="L105" i="4" s="1"/>
  <c r="B105" i="11"/>
  <c r="D84" i="11"/>
  <c r="C97" i="11"/>
  <c r="D30" i="11"/>
  <c r="D18" i="11"/>
  <c r="B27" i="11"/>
  <c r="N12" i="4"/>
  <c r="N63" i="4"/>
  <c r="N97" i="4" s="1"/>
  <c r="N105" i="4" s="1"/>
  <c r="J12" i="4"/>
  <c r="J63" i="4"/>
  <c r="J97" i="4" s="1"/>
  <c r="J105" i="4" s="1"/>
  <c r="T734" i="3"/>
  <c r="O734" i="3" s="1"/>
  <c r="T733" i="3"/>
  <c r="O733" i="3" s="1"/>
  <c r="T732" i="3"/>
  <c r="O732" i="3" s="1"/>
  <c r="DZ761" i="3"/>
  <c r="B42" i="13"/>
  <c r="B42" i="4"/>
  <c r="T726" i="3"/>
  <c r="O726" i="3" s="1"/>
  <c r="T727" i="3"/>
  <c r="O727" i="3" s="1"/>
  <c r="T728" i="3"/>
  <c r="O728" i="3" s="1"/>
  <c r="EJ761" i="3"/>
  <c r="ET761" i="3"/>
  <c r="DZ805" i="3"/>
  <c r="M57" i="7"/>
  <c r="O57" i="7" s="1"/>
  <c r="Q57" i="7" s="1"/>
  <c r="CP761" i="3"/>
  <c r="DX673" i="3" s="1"/>
  <c r="EZ729" i="3"/>
  <c r="FT748" i="3"/>
  <c r="FT761" i="3" s="1"/>
  <c r="DJ761" i="3"/>
  <c r="ER671" i="3" s="1"/>
  <c r="FJ736" i="3"/>
  <c r="CZ761" i="3"/>
  <c r="EH646" i="3" s="1"/>
  <c r="G27" i="7"/>
  <c r="I27" i="7" s="1"/>
  <c r="K27" i="7" s="1"/>
  <c r="M27" i="7" s="1"/>
  <c r="O27" i="7" s="1"/>
  <c r="Q27" i="7" s="1"/>
  <c r="S27" i="7" s="1"/>
  <c r="U27" i="7" s="1"/>
  <c r="W27" i="7" s="1"/>
  <c r="Y27" i="7" s="1"/>
  <c r="AA27" i="7" s="1"/>
  <c r="AC27" i="7" s="1"/>
  <c r="AE27" i="7" s="1"/>
  <c r="AG27" i="7" s="1"/>
  <c r="FE757" i="3"/>
  <c r="CU761" i="3"/>
  <c r="U43" i="21"/>
  <c r="P43" i="21" a="1"/>
  <c r="P43" i="21" s="1"/>
  <c r="O43" i="21"/>
  <c r="R43" i="21" a="1"/>
  <c r="R43" i="21" s="1"/>
  <c r="M18" i="21"/>
  <c r="S43" i="21"/>
  <c r="E27" i="21"/>
  <c r="E24" i="21"/>
  <c r="D100" i="11"/>
  <c r="C105" i="11"/>
  <c r="D49" i="11"/>
  <c r="C55" i="11"/>
  <c r="C43" i="11"/>
  <c r="D41" i="11"/>
  <c r="R26" i="4"/>
  <c r="O63" i="4"/>
  <c r="O97" i="4" s="1"/>
  <c r="O105" i="4" s="1"/>
  <c r="O12" i="4"/>
  <c r="S51" i="21"/>
  <c r="T51" i="21"/>
  <c r="R51" i="21" a="1"/>
  <c r="R51" i="21" s="1"/>
  <c r="P51" i="21" a="1"/>
  <c r="P51" i="21" s="1"/>
  <c r="U46" i="21"/>
  <c r="P46" i="21" a="1"/>
  <c r="P46" i="21" s="1"/>
  <c r="T46" i="21"/>
  <c r="O46" i="21"/>
  <c r="R46" i="21" a="1"/>
  <c r="R46" i="21" s="1"/>
  <c r="DU761" i="3"/>
  <c r="D10" i="11"/>
  <c r="B97" i="11"/>
  <c r="AB29" i="24"/>
  <c r="P29" i="24"/>
  <c r="J19" i="24"/>
  <c r="O50" i="21"/>
  <c r="U50" i="21"/>
  <c r="R50" i="21" a="1"/>
  <c r="R50" i="21" s="1"/>
  <c r="T50" i="21"/>
  <c r="BE58" i="3"/>
  <c r="AA305" i="3"/>
  <c r="C63" i="11"/>
  <c r="D57" i="11"/>
  <c r="B8" i="4"/>
  <c r="AP388" i="20"/>
  <c r="AQ388" i="20" s="1"/>
  <c r="U35" i="21"/>
  <c r="R35" i="21" a="1"/>
  <c r="R35" i="21" s="1"/>
  <c r="AN29" i="24"/>
  <c r="D53" i="11"/>
  <c r="J63" i="13"/>
  <c r="J97" i="13" s="1"/>
  <c r="J105" i="13" s="1"/>
  <c r="J107" i="13" s="1"/>
  <c r="O51" i="21"/>
  <c r="C78" i="11"/>
  <c r="S42" i="4"/>
  <c r="E42" i="13" s="1"/>
  <c r="E40" i="13"/>
  <c r="Q63" i="4"/>
  <c r="Q97" i="4" s="1"/>
  <c r="Q105" i="4" s="1"/>
  <c r="O53" i="21"/>
  <c r="U53" i="21"/>
  <c r="R53" i="21" a="1"/>
  <c r="R53" i="21" s="1"/>
  <c r="T53" i="21"/>
  <c r="P53" i="21" a="1"/>
  <c r="P53" i="21" s="1"/>
  <c r="S53" i="21"/>
  <c r="J20" i="24"/>
  <c r="D6" i="11"/>
  <c r="C9" i="11"/>
  <c r="D91" i="11"/>
  <c r="O42" i="21"/>
  <c r="U42" i="21"/>
  <c r="S42" i="21"/>
  <c r="AA41" i="7"/>
  <c r="AC41" i="7"/>
  <c r="AG41" i="7"/>
  <c r="G41" i="7"/>
  <c r="M41" i="7"/>
  <c r="U41" i="7"/>
  <c r="J22" i="24"/>
  <c r="E31" i="13"/>
  <c r="O47" i="21"/>
  <c r="S47" i="21"/>
  <c r="U47" i="21"/>
  <c r="M63" i="4"/>
  <c r="M97" i="4" s="1"/>
  <c r="M105" i="4" s="1"/>
  <c r="R96" i="4"/>
  <c r="D88" i="11"/>
  <c r="J23" i="24"/>
  <c r="B55" i="11"/>
  <c r="U51" i="21"/>
  <c r="T44" i="21"/>
  <c r="T48" i="21"/>
  <c r="R49" i="21" a="1"/>
  <c r="R49" i="21" s="1"/>
  <c r="S44" i="21"/>
  <c r="P44" i="21" a="1"/>
  <c r="P44" i="21" s="1"/>
  <c r="BE8" i="3"/>
  <c r="BE9" i="3" s="1"/>
  <c r="R45" i="21" a="1"/>
  <c r="R45" i="21" s="1"/>
  <c r="U48" i="21"/>
  <c r="P48" i="21" a="1"/>
  <c r="P48" i="21" s="1"/>
  <c r="T49" i="21"/>
  <c r="E12" i="4" l="1"/>
  <c r="F30" i="4"/>
  <c r="E30" i="4" s="1"/>
  <c r="E45" i="4"/>
  <c r="E54" i="4" s="1"/>
  <c r="AA43" i="7"/>
  <c r="AC43" i="7"/>
  <c r="G43" i="7"/>
  <c r="M43" i="7"/>
  <c r="BT758" i="3"/>
  <c r="BU758" i="3" s="1"/>
  <c r="BT727" i="3"/>
  <c r="K43" i="7"/>
  <c r="S43" i="7"/>
  <c r="W43" i="7"/>
  <c r="AE43" i="7"/>
  <c r="O43" i="7"/>
  <c r="I43" i="7"/>
  <c r="Q43" i="7"/>
  <c r="Y43" i="7"/>
  <c r="AC894" i="3"/>
  <c r="D82" i="11"/>
  <c r="D43" i="11"/>
  <c r="E104" i="13"/>
  <c r="BA1067" i="3"/>
  <c r="C71" i="11"/>
  <c r="D71" i="11" s="1"/>
  <c r="D66" i="11"/>
  <c r="E33" i="13"/>
  <c r="S38" i="4"/>
  <c r="X731" i="3"/>
  <c r="AH731" i="3" s="1"/>
  <c r="AQ116" i="20"/>
  <c r="D9" i="8"/>
  <c r="FJ731" i="3"/>
  <c r="EH648" i="3" s="1"/>
  <c r="X730" i="3"/>
  <c r="AH730" i="3" s="1"/>
  <c r="AQ115" i="20"/>
  <c r="D8" i="8"/>
  <c r="FJ730" i="3"/>
  <c r="X734" i="3"/>
  <c r="AH734" i="3" s="1"/>
  <c r="D12" i="8"/>
  <c r="AQ119" i="20"/>
  <c r="FO734" i="3"/>
  <c r="EM651" i="3" s="1"/>
  <c r="X733" i="3"/>
  <c r="AH733" i="3" s="1"/>
  <c r="AQ118" i="20"/>
  <c r="D11" i="8"/>
  <c r="FO733" i="3"/>
  <c r="EM650" i="3" s="1"/>
  <c r="X732" i="3"/>
  <c r="AH732" i="3" s="1"/>
  <c r="D10" i="8"/>
  <c r="AQ117" i="20"/>
  <c r="FO732" i="3"/>
  <c r="EM649" i="3" s="1"/>
  <c r="X726" i="3"/>
  <c r="AH726" i="3" s="1"/>
  <c r="FE726" i="3"/>
  <c r="EC643" i="3" s="1"/>
  <c r="AQ111" i="20"/>
  <c r="O761" i="3"/>
  <c r="D40" i="8" s="1"/>
  <c r="D4" i="8"/>
  <c r="X727" i="3"/>
  <c r="AH727" i="3" s="1"/>
  <c r="D5" i="8"/>
  <c r="FE727" i="3"/>
  <c r="EC644" i="3" s="1"/>
  <c r="AQ112" i="20"/>
  <c r="X728" i="3"/>
  <c r="AH728" i="3" s="1"/>
  <c r="FE728" i="3"/>
  <c r="D6" i="8"/>
  <c r="AQ113" i="20"/>
  <c r="F54" i="4"/>
  <c r="R45" i="4"/>
  <c r="R54" i="4" s="1"/>
  <c r="AO60" i="20"/>
  <c r="AK61" i="20" s="1"/>
  <c r="B13" i="11"/>
  <c r="R12" i="4"/>
  <c r="D78" i="11"/>
  <c r="B54" i="13"/>
  <c r="B54" i="4"/>
  <c r="B38" i="4"/>
  <c r="C63" i="4"/>
  <c r="B38" i="13"/>
  <c r="AW116" i="20"/>
  <c r="AW120" i="20"/>
  <c r="AW119" i="20"/>
  <c r="AW117" i="20"/>
  <c r="AW118" i="20"/>
  <c r="AW115" i="20"/>
  <c r="T837" i="20"/>
  <c r="AF837" i="20" s="1"/>
  <c r="BE79" i="3" s="1"/>
  <c r="T838" i="20"/>
  <c r="F38" i="4"/>
  <c r="EW666" i="3"/>
  <c r="EW669" i="3"/>
  <c r="EW646" i="3"/>
  <c r="EM652" i="3"/>
  <c r="EM677" i="3"/>
  <c r="EM672" i="3"/>
  <c r="EM675" i="3"/>
  <c r="EM648" i="3"/>
  <c r="EM653" i="3"/>
  <c r="EM655" i="3"/>
  <c r="EM647" i="3"/>
  <c r="AX704" i="20"/>
  <c r="EM659" i="3"/>
  <c r="EM671" i="3"/>
  <c r="EM658" i="3"/>
  <c r="EM673" i="3"/>
  <c r="EM644" i="3"/>
  <c r="EM654" i="3"/>
  <c r="EM660" i="3"/>
  <c r="AG43" i="7"/>
  <c r="EM674" i="3"/>
  <c r="EM676" i="3"/>
  <c r="U43" i="7"/>
  <c r="AS373" i="20"/>
  <c r="EM667" i="3"/>
  <c r="EM643" i="3"/>
  <c r="I58" i="7"/>
  <c r="K58" i="7"/>
  <c r="DE810" i="3"/>
  <c r="AB998" i="3" s="1"/>
  <c r="AJ998" i="3" s="1"/>
  <c r="Y69" i="15"/>
  <c r="I1061" i="3"/>
  <c r="AY1015" i="3" s="1"/>
  <c r="EM661" i="3"/>
  <c r="EM668" i="3"/>
  <c r="AX706" i="20"/>
  <c r="EW673" i="3"/>
  <c r="EW658" i="3"/>
  <c r="EW651" i="3"/>
  <c r="E70" i="4"/>
  <c r="R65" i="4"/>
  <c r="R70" i="4" s="1"/>
  <c r="EW667" i="3"/>
  <c r="EW665" i="3"/>
  <c r="B64" i="11"/>
  <c r="B98" i="11" s="1"/>
  <c r="B106" i="11" s="1"/>
  <c r="EW649" i="3"/>
  <c r="EM657" i="3"/>
  <c r="EW675" i="3"/>
  <c r="EW674" i="3"/>
  <c r="EW660" i="3"/>
  <c r="EW657" i="3"/>
  <c r="DS763" i="3"/>
  <c r="EM656" i="3"/>
  <c r="EM669" i="3"/>
  <c r="EW655" i="3"/>
  <c r="EW664" i="3"/>
  <c r="EW668" i="3"/>
  <c r="EW670" i="3"/>
  <c r="EW643" i="3"/>
  <c r="AJ634" i="20"/>
  <c r="AK816" i="20" s="1"/>
  <c r="T841" i="20" s="1"/>
  <c r="AF841" i="20" s="1"/>
  <c r="BE82" i="3" s="1"/>
  <c r="EM662" i="3"/>
  <c r="EW671" i="3"/>
  <c r="EW676" i="3"/>
  <c r="E7" i="7"/>
  <c r="EM646" i="3"/>
  <c r="D63" i="11"/>
  <c r="EM666" i="3"/>
  <c r="EW677" i="3"/>
  <c r="EW672" i="3"/>
  <c r="EW662" i="3"/>
  <c r="EW661" i="3"/>
  <c r="EW659" i="3"/>
  <c r="EW656" i="3"/>
  <c r="EW650" i="3"/>
  <c r="EW648" i="3"/>
  <c r="EW647" i="3"/>
  <c r="EW645" i="3"/>
  <c r="I9" i="7"/>
  <c r="K8" i="7"/>
  <c r="DU808" i="3"/>
  <c r="ET807" i="3"/>
  <c r="D12" i="11"/>
  <c r="D105" i="11"/>
  <c r="D34" i="11"/>
  <c r="Y27" i="15"/>
  <c r="T27" i="15"/>
  <c r="AD27" i="15"/>
  <c r="AI27" i="15"/>
  <c r="BG730" i="3"/>
  <c r="BH730" i="3" s="1"/>
  <c r="BG747" i="3"/>
  <c r="BH747" i="3" s="1"/>
  <c r="BG736" i="3"/>
  <c r="BH736" i="3" s="1"/>
  <c r="BG738" i="3"/>
  <c r="BH738" i="3" s="1"/>
  <c r="BG744" i="3"/>
  <c r="BH744" i="3" s="1"/>
  <c r="BG755" i="3"/>
  <c r="BH755" i="3" s="1"/>
  <c r="BG733" i="3"/>
  <c r="BH733" i="3" s="1"/>
  <c r="BG749" i="3"/>
  <c r="BH749" i="3" s="1"/>
  <c r="BG741" i="3"/>
  <c r="BH741" i="3" s="1"/>
  <c r="BG727" i="3"/>
  <c r="BH727" i="3" s="1"/>
  <c r="BG752" i="3"/>
  <c r="BH752" i="3" s="1"/>
  <c r="BG743" i="3"/>
  <c r="BH743" i="3" s="1"/>
  <c r="BG726" i="3"/>
  <c r="BH726" i="3" s="1"/>
  <c r="BG742" i="3"/>
  <c r="BH742" i="3" s="1"/>
  <c r="BG757" i="3"/>
  <c r="BH757" i="3" s="1"/>
  <c r="BG737" i="3"/>
  <c r="BH737" i="3" s="1"/>
  <c r="BG734" i="3"/>
  <c r="BH734" i="3" s="1"/>
  <c r="BG751" i="3"/>
  <c r="BH751" i="3" s="1"/>
  <c r="BG753" i="3"/>
  <c r="BH753" i="3" s="1"/>
  <c r="BG759" i="3"/>
  <c r="BH759" i="3" s="1"/>
  <c r="BG729" i="3"/>
  <c r="BH729" i="3" s="1"/>
  <c r="BG760" i="3"/>
  <c r="BH760" i="3" s="1"/>
  <c r="BG745" i="3"/>
  <c r="BH745" i="3" s="1"/>
  <c r="BG740" i="3"/>
  <c r="BH740" i="3" s="1"/>
  <c r="BG735" i="3"/>
  <c r="BH735" i="3" s="1"/>
  <c r="BG750" i="3"/>
  <c r="BH750" i="3" s="1"/>
  <c r="BG754" i="3"/>
  <c r="BH754" i="3" s="1"/>
  <c r="BG746" i="3"/>
  <c r="BH746" i="3" s="1"/>
  <c r="BG731" i="3"/>
  <c r="BH731" i="3" s="1"/>
  <c r="BG758" i="3"/>
  <c r="BH758" i="3" s="1"/>
  <c r="BG756" i="3"/>
  <c r="BH756" i="3" s="1"/>
  <c r="BG748" i="3"/>
  <c r="BH748" i="3" s="1"/>
  <c r="BG732" i="3"/>
  <c r="BH732" i="3" s="1"/>
  <c r="BG728" i="3"/>
  <c r="BG739" i="3"/>
  <c r="BH739" i="3" s="1"/>
  <c r="DD786" i="3"/>
  <c r="DU786" i="3" s="1"/>
  <c r="DU785" i="3"/>
  <c r="EW654" i="3"/>
  <c r="EW663" i="3"/>
  <c r="EW652" i="3"/>
  <c r="EW644" i="3"/>
  <c r="EW653" i="3"/>
  <c r="B70" i="13"/>
  <c r="B70" i="4"/>
  <c r="EM663" i="3"/>
  <c r="EM670" i="3"/>
  <c r="EM664" i="3"/>
  <c r="DI763" i="3"/>
  <c r="EM665" i="3"/>
  <c r="EM645" i="3"/>
  <c r="BT735" i="3"/>
  <c r="BU735" i="3" s="1"/>
  <c r="BT729" i="3"/>
  <c r="BU729" i="3" s="1"/>
  <c r="BT734" i="3"/>
  <c r="BT759" i="3"/>
  <c r="BU759" i="3" s="1"/>
  <c r="BT730" i="3"/>
  <c r="BT750" i="3"/>
  <c r="BU750" i="3" s="1"/>
  <c r="BT743" i="3"/>
  <c r="BU743" i="3" s="1"/>
  <c r="BT738" i="3"/>
  <c r="BU738" i="3" s="1"/>
  <c r="BT737" i="3"/>
  <c r="BU737" i="3" s="1"/>
  <c r="BT733" i="3"/>
  <c r="BT751" i="3"/>
  <c r="BU751" i="3" s="1"/>
  <c r="BT746" i="3"/>
  <c r="BU746" i="3" s="1"/>
  <c r="BT741" i="3"/>
  <c r="BU741" i="3" s="1"/>
  <c r="BT760" i="3"/>
  <c r="BU760" i="3" s="1"/>
  <c r="BT754" i="3"/>
  <c r="BU754" i="3" s="1"/>
  <c r="BT749" i="3"/>
  <c r="BU749" i="3" s="1"/>
  <c r="BT739" i="3"/>
  <c r="BU739" i="3" s="1"/>
  <c r="BT740" i="3"/>
  <c r="BU740" i="3" s="1"/>
  <c r="BT745" i="3"/>
  <c r="BU745" i="3" s="1"/>
  <c r="AG1058" i="3"/>
  <c r="X1057" i="3"/>
  <c r="AG1054" i="3" s="1"/>
  <c r="BA1048" i="3"/>
  <c r="BA1057" i="3" s="1" a="1"/>
  <c r="BA1057" i="3" s="1"/>
  <c r="EC653" i="3"/>
  <c r="EC672" i="3"/>
  <c r="DU807" i="3"/>
  <c r="D27" i="11"/>
  <c r="G42" i="21" a="1"/>
  <c r="G42" i="21" s="1"/>
  <c r="G43" i="21" s="1"/>
  <c r="T97" i="4"/>
  <c r="H63" i="13"/>
  <c r="T18" i="21"/>
  <c r="G60" i="21" s="1"/>
  <c r="DO810" i="3"/>
  <c r="E22" i="7"/>
  <c r="E35" i="7" s="1"/>
  <c r="G20" i="7"/>
  <c r="BT728" i="3"/>
  <c r="BT748" i="3"/>
  <c r="BU748" i="3" s="1"/>
  <c r="BT736" i="3"/>
  <c r="BU736" i="3" s="1"/>
  <c r="BT757" i="3"/>
  <c r="BU757" i="3" s="1"/>
  <c r="BT744" i="3"/>
  <c r="BU744" i="3" s="1"/>
  <c r="BT752" i="3"/>
  <c r="BU752" i="3" s="1"/>
  <c r="BT747" i="3"/>
  <c r="BU747" i="3" s="1"/>
  <c r="BT726" i="3"/>
  <c r="BT753" i="3"/>
  <c r="BU753" i="3" s="1"/>
  <c r="BT731" i="3"/>
  <c r="BT756" i="3"/>
  <c r="BU756" i="3" s="1"/>
  <c r="BT742" i="3"/>
  <c r="BU742" i="3" s="1"/>
  <c r="BT755" i="3"/>
  <c r="BU755" i="3" s="1"/>
  <c r="BT732" i="3"/>
  <c r="N184" i="24"/>
  <c r="N190" i="24" s="1"/>
  <c r="B12" i="4"/>
  <c r="R75" i="4"/>
  <c r="R77" i="4" s="1"/>
  <c r="E77" i="4"/>
  <c r="EH650" i="3"/>
  <c r="EH674" i="3"/>
  <c r="EH654" i="3"/>
  <c r="EH669" i="3"/>
  <c r="EH659" i="3"/>
  <c r="EH664" i="3"/>
  <c r="EH643" i="3"/>
  <c r="EH676" i="3"/>
  <c r="EH655" i="3"/>
  <c r="EH671" i="3"/>
  <c r="EH649" i="3"/>
  <c r="EH675" i="3"/>
  <c r="EH658" i="3"/>
  <c r="EH661" i="3"/>
  <c r="EH673" i="3"/>
  <c r="EH652" i="3"/>
  <c r="EH667" i="3"/>
  <c r="EH665" i="3"/>
  <c r="EH672" i="3"/>
  <c r="EH666" i="3"/>
  <c r="EH645" i="3"/>
  <c r="CZ810" i="3"/>
  <c r="AB997" i="3" s="1"/>
  <c r="AJ997" i="3" s="1"/>
  <c r="EH662" i="3"/>
  <c r="EH651" i="3"/>
  <c r="EH657" i="3"/>
  <c r="EH677" i="3"/>
  <c r="EH660" i="3"/>
  <c r="EH656" i="3"/>
  <c r="DD763" i="3"/>
  <c r="EH644" i="3"/>
  <c r="EH663" i="3"/>
  <c r="M58" i="7"/>
  <c r="EH653" i="3"/>
  <c r="D39" i="11"/>
  <c r="E29" i="21"/>
  <c r="F24" i="21"/>
  <c r="ER677" i="3"/>
  <c r="DN763" i="3"/>
  <c r="ER676" i="3"/>
  <c r="DJ810" i="3"/>
  <c r="ER653" i="3"/>
  <c r="ER644" i="3"/>
  <c r="ER657" i="3"/>
  <c r="AX705" i="20"/>
  <c r="ER673" i="3"/>
  <c r="ER655" i="3"/>
  <c r="ER645" i="3"/>
  <c r="ER668" i="3"/>
  <c r="ER659" i="3"/>
  <c r="ER664" i="3"/>
  <c r="ER670" i="3"/>
  <c r="ER648" i="3"/>
  <c r="ER662" i="3"/>
  <c r="ER672" i="3"/>
  <c r="ER647" i="3"/>
  <c r="ER656" i="3"/>
  <c r="ER650" i="3"/>
  <c r="ER660" i="3"/>
  <c r="ER654" i="3"/>
  <c r="ER649" i="3"/>
  <c r="ER651" i="3"/>
  <c r="ER675" i="3"/>
  <c r="ER652" i="3"/>
  <c r="ER667" i="3"/>
  <c r="ER663" i="3"/>
  <c r="ER661" i="3"/>
  <c r="ER643" i="3"/>
  <c r="ER646" i="3"/>
  <c r="ER669" i="3"/>
  <c r="ER658" i="3"/>
  <c r="ER674" i="3"/>
  <c r="ER666" i="3"/>
  <c r="DX675" i="3"/>
  <c r="DX655" i="3"/>
  <c r="DX653" i="3"/>
  <c r="DX656" i="3"/>
  <c r="DX669" i="3"/>
  <c r="DO762" i="3"/>
  <c r="CT763" i="3"/>
  <c r="DX659" i="3"/>
  <c r="CP810" i="3"/>
  <c r="AB995" i="3" s="1"/>
  <c r="DX647" i="3"/>
  <c r="DX658" i="3"/>
  <c r="DX672" i="3"/>
  <c r="DX661" i="3"/>
  <c r="DX674" i="3"/>
  <c r="DX665" i="3"/>
  <c r="DX667" i="3"/>
  <c r="DX644" i="3"/>
  <c r="DX648" i="3"/>
  <c r="DX650" i="3"/>
  <c r="DX649" i="3"/>
  <c r="DX664" i="3"/>
  <c r="DX663" i="3"/>
  <c r="DX660" i="3"/>
  <c r="DX652" i="3"/>
  <c r="DX662" i="3"/>
  <c r="DX668" i="3"/>
  <c r="DX651" i="3"/>
  <c r="DX666" i="3"/>
  <c r="DX654" i="3"/>
  <c r="DX670" i="3"/>
  <c r="DX645" i="3"/>
  <c r="DX671" i="3"/>
  <c r="DX643" i="3"/>
  <c r="DX657" i="3"/>
  <c r="C64" i="11"/>
  <c r="D9" i="11"/>
  <c r="C13" i="11"/>
  <c r="ER665" i="3"/>
  <c r="D97" i="11"/>
  <c r="D55" i="11"/>
  <c r="O58" i="7"/>
  <c r="G7" i="7"/>
  <c r="I6" i="7"/>
  <c r="DX677" i="3"/>
  <c r="S57" i="7"/>
  <c r="Q58" i="7"/>
  <c r="EH668" i="3"/>
  <c r="EC674" i="3"/>
  <c r="BE10" i="3"/>
  <c r="BE11" i="3" s="1"/>
  <c r="J29" i="24"/>
  <c r="AT23" i="24" s="1"/>
  <c r="BB6" i="24" a="1"/>
  <c r="BB6" i="24" s="1"/>
  <c r="M15" i="7"/>
  <c r="EH670" i="3"/>
  <c r="W53" i="7"/>
  <c r="DX676" i="3"/>
  <c r="EC667" i="3"/>
  <c r="EC665" i="3"/>
  <c r="EC677" i="3"/>
  <c r="EC675" i="3"/>
  <c r="EC654" i="3"/>
  <c r="EC650" i="3"/>
  <c r="EC666" i="3"/>
  <c r="EC659" i="3"/>
  <c r="EC648" i="3"/>
  <c r="EC661" i="3"/>
  <c r="EC663" i="3"/>
  <c r="EC657" i="3"/>
  <c r="EC671" i="3"/>
  <c r="EC658" i="3"/>
  <c r="EC668" i="3"/>
  <c r="CU810" i="3"/>
  <c r="AB996" i="3" s="1"/>
  <c r="AJ996" i="3" s="1"/>
  <c r="EC664" i="3"/>
  <c r="EC647" i="3"/>
  <c r="EC651" i="3"/>
  <c r="EC676" i="3"/>
  <c r="EC660" i="3"/>
  <c r="EC652" i="3"/>
  <c r="EC662" i="3"/>
  <c r="EC649" i="3"/>
  <c r="CY763" i="3"/>
  <c r="EC656" i="3"/>
  <c r="EC655" i="3"/>
  <c r="EC669" i="3"/>
  <c r="EC646" i="3"/>
  <c r="EC673" i="3"/>
  <c r="EC670" i="3"/>
  <c r="DX646" i="3"/>
  <c r="EZ761" i="3"/>
  <c r="BB5" i="24" l="1" a="1"/>
  <c r="BB5" i="24" s="1"/>
  <c r="F63" i="4"/>
  <c r="F97" i="4" s="1"/>
  <c r="F105" i="4" s="1"/>
  <c r="G37" i="21"/>
  <c r="T826" i="20"/>
  <c r="AF826" i="20" s="1"/>
  <c r="BE71" i="3" s="1"/>
  <c r="AK83" i="20"/>
  <c r="BU727" i="3"/>
  <c r="BU726" i="3"/>
  <c r="BU731" i="3"/>
  <c r="BU732" i="3"/>
  <c r="E38" i="13"/>
  <c r="S63" i="4"/>
  <c r="EH647" i="3"/>
  <c r="EH678" i="3" s="1"/>
  <c r="O129" i="20" s="1"/>
  <c r="O132" i="20" s="1"/>
  <c r="O135" i="20" s="1"/>
  <c r="FJ761" i="3"/>
  <c r="FE761" i="3"/>
  <c r="EC645" i="3"/>
  <c r="EC678" i="3" s="1"/>
  <c r="J129" i="20" s="1"/>
  <c r="J132" i="20" s="1"/>
  <c r="J135" i="20" s="1"/>
  <c r="AW121" i="20"/>
  <c r="BU730" i="3"/>
  <c r="D13" i="11"/>
  <c r="AX707" i="20"/>
  <c r="BU728" i="3"/>
  <c r="BU734" i="3"/>
  <c r="Y808" i="3"/>
  <c r="Y809" i="3"/>
  <c r="E4" i="7" s="1"/>
  <c r="FO761" i="3"/>
  <c r="B63" i="4"/>
  <c r="BU733" i="3"/>
  <c r="B63" i="13"/>
  <c r="C97" i="4"/>
  <c r="R30" i="4"/>
  <c r="R38" i="4" s="1"/>
  <c r="R63" i="4" s="1"/>
  <c r="R97" i="4" s="1"/>
  <c r="E38" i="4"/>
  <c r="E63" i="4" s="1"/>
  <c r="E97" i="4" s="1"/>
  <c r="EM678" i="3"/>
  <c r="T129" i="20" s="1"/>
  <c r="T132" i="20" s="1"/>
  <c r="T135" i="20" s="1"/>
  <c r="AY1014" i="3"/>
  <c r="EW678" i="3"/>
  <c r="AD129" i="20" s="1"/>
  <c r="AD132" i="20" s="1"/>
  <c r="AD135" i="20" s="1"/>
  <c r="K9" i="7"/>
  <c r="M8" i="7"/>
  <c r="AB999" i="3"/>
  <c r="AJ999" i="3" s="1"/>
  <c r="BH728" i="3"/>
  <c r="BH761" i="3" s="1"/>
  <c r="AC761" i="3" s="1"/>
  <c r="E102" i="20" s="1"/>
  <c r="E105" i="20" s="1"/>
  <c r="BG761" i="3"/>
  <c r="O27" i="21"/>
  <c r="P27" i="21" s="1" a="1"/>
  <c r="P27" i="21" s="1"/>
  <c r="O20" i="21"/>
  <c r="P20" i="21" s="1" a="1"/>
  <c r="P20" i="21" s="1"/>
  <c r="O21" i="21"/>
  <c r="P21" i="21" s="1" a="1"/>
  <c r="P21" i="21" s="1"/>
  <c r="O25" i="21"/>
  <c r="P25" i="21" s="1" a="1"/>
  <c r="P25" i="21" s="1"/>
  <c r="O26" i="21"/>
  <c r="P26" i="21" s="1" a="1"/>
  <c r="P26" i="21" s="1"/>
  <c r="O28" i="21"/>
  <c r="P28" i="21" s="1" a="1"/>
  <c r="P28" i="21" s="1"/>
  <c r="O23" i="21"/>
  <c r="P23" i="21" s="1" a="1"/>
  <c r="P23" i="21" s="1"/>
  <c r="O24" i="21"/>
  <c r="P24" i="21" s="1" a="1"/>
  <c r="P24" i="21" s="1"/>
  <c r="AT19" i="24"/>
  <c r="AT20" i="24"/>
  <c r="AT22" i="24"/>
  <c r="I20" i="7"/>
  <c r="G22" i="7"/>
  <c r="G35" i="7" s="1"/>
  <c r="BT761" i="3"/>
  <c r="DU763" i="3"/>
  <c r="O764" i="3" s="1"/>
  <c r="O22" i="21"/>
  <c r="P22" i="21" s="1" a="1"/>
  <c r="P22" i="21" s="1"/>
  <c r="H97" i="13"/>
  <c r="T105" i="4"/>
  <c r="Y53" i="7"/>
  <c r="BE12" i="3"/>
  <c r="BE13" i="3" s="1"/>
  <c r="BE14" i="3" s="1"/>
  <c r="AJ995" i="3"/>
  <c r="K6" i="7"/>
  <c r="I7" i="7"/>
  <c r="D64" i="11"/>
  <c r="C98" i="11"/>
  <c r="DX678" i="3"/>
  <c r="E129" i="20" s="1"/>
  <c r="E132" i="20" s="1"/>
  <c r="E135" i="20" s="1"/>
  <c r="U57" i="7"/>
  <c r="S58" i="7"/>
  <c r="O15" i="7"/>
  <c r="AY38" i="24"/>
  <c r="AT27" i="24"/>
  <c r="AY46" i="24"/>
  <c r="AT26" i="24"/>
  <c r="AT25" i="24"/>
  <c r="AY42" i="24"/>
  <c r="AT29" i="24"/>
  <c r="AY45" i="24"/>
  <c r="AY37" i="24"/>
  <c r="AY47" i="24"/>
  <c r="AY43" i="24"/>
  <c r="AT28" i="24"/>
  <c r="AY40" i="24"/>
  <c r="AY36" i="24"/>
  <c r="AY41" i="24"/>
  <c r="AY44" i="24"/>
  <c r="AY39" i="24"/>
  <c r="AT24" i="24"/>
  <c r="AT21" i="24"/>
  <c r="G24" i="21"/>
  <c r="ER678" i="3"/>
  <c r="Y129" i="20" s="1"/>
  <c r="Y132" i="20" s="1"/>
  <c r="Y135" i="20" s="1"/>
  <c r="F28" i="21"/>
  <c r="G28" i="21" s="1"/>
  <c r="F27" i="21"/>
  <c r="G52" i="21"/>
  <c r="G54" i="21" s="1"/>
  <c r="G56" i="21" s="1"/>
  <c r="E12" i="21" s="1"/>
  <c r="G61" i="21"/>
  <c r="G63" i="21" s="1"/>
  <c r="G65" i="21" s="1"/>
  <c r="E13" i="21" s="1"/>
  <c r="BB4" i="24" a="1"/>
  <c r="BB4" i="24" s="1"/>
  <c r="S27" i="21" l="1"/>
  <c r="S25" i="21"/>
  <c r="S20" i="21"/>
  <c r="S21" i="21"/>
  <c r="S26" i="21"/>
  <c r="S28" i="21"/>
  <c r="S23" i="21"/>
  <c r="S24" i="21"/>
  <c r="S22" i="21"/>
  <c r="G159" i="21"/>
  <c r="I17" i="21" s="1"/>
  <c r="C39" i="21"/>
  <c r="T827" i="20"/>
  <c r="AF827" i="20" s="1"/>
  <c r="BE72" i="3" s="1"/>
  <c r="AK190" i="20"/>
  <c r="T833" i="20" s="1"/>
  <c r="AF833" i="20" s="1"/>
  <c r="BE76" i="3" s="1"/>
  <c r="AY708" i="20"/>
  <c r="AX708" i="20"/>
  <c r="AO708" i="20" s="1"/>
  <c r="AP719" i="20" s="1"/>
  <c r="BU761" i="3"/>
  <c r="AH761" i="3" s="1"/>
  <c r="BE43" i="3" s="1"/>
  <c r="S97" i="4"/>
  <c r="E63" i="13"/>
  <c r="Z826" i="3"/>
  <c r="B97" i="4"/>
  <c r="B97" i="13"/>
  <c r="C105" i="4"/>
  <c r="AJ1001" i="3"/>
  <c r="AJ1054" i="3" s="1"/>
  <c r="AP565" i="20" s="1"/>
  <c r="E5" i="7"/>
  <c r="E11" i="7" s="1"/>
  <c r="E37" i="7" s="1"/>
  <c r="G4" i="7"/>
  <c r="BE42" i="3"/>
  <c r="AB1000" i="3"/>
  <c r="E92" i="20"/>
  <c r="E93" i="20" s="1"/>
  <c r="E94" i="20" s="1"/>
  <c r="AP94" i="20" s="1"/>
  <c r="AK108" i="20" s="1"/>
  <c r="T828" i="20" s="1"/>
  <c r="AF828" i="20" s="1"/>
  <c r="BE73" i="3" s="1"/>
  <c r="O8" i="7"/>
  <c r="M9" i="7"/>
  <c r="T107" i="4"/>
  <c r="H107" i="13" s="1"/>
  <c r="H105" i="13"/>
  <c r="P430" i="3"/>
  <c r="DU810" i="3"/>
  <c r="U386" i="20" s="1"/>
  <c r="K20" i="7"/>
  <c r="I22" i="7"/>
  <c r="I35" i="7" s="1"/>
  <c r="M6" i="7"/>
  <c r="K7" i="7"/>
  <c r="W57" i="7"/>
  <c r="U58" i="7"/>
  <c r="D98" i="11"/>
  <c r="C106" i="11"/>
  <c r="D106" i="11" s="1"/>
  <c r="BE15" i="3"/>
  <c r="E137" i="20"/>
  <c r="E138" i="20" s="1"/>
  <c r="AK142" i="20" s="1"/>
  <c r="T829" i="20" s="1"/>
  <c r="AF829" i="20" s="1"/>
  <c r="AA53" i="7"/>
  <c r="E11" i="21"/>
  <c r="G27" i="21"/>
  <c r="F26" i="21"/>
  <c r="Q15" i="7"/>
  <c r="AP718" i="20" l="1"/>
  <c r="G45" i="21"/>
  <c r="G47" i="21" s="1"/>
  <c r="E10" i="21" s="1"/>
  <c r="AG268" i="20"/>
  <c r="AC464" i="3"/>
  <c r="B105" i="4"/>
  <c r="BE101" i="3"/>
  <c r="AM566" i="3"/>
  <c r="AM574" i="3" s="1"/>
  <c r="AZ1055" i="3"/>
  <c r="E97" i="13"/>
  <c r="S105" i="4"/>
  <c r="B105" i="13"/>
  <c r="G5" i="7"/>
  <c r="G11" i="7" s="1"/>
  <c r="G37" i="7" s="1"/>
  <c r="I4" i="7"/>
  <c r="E49" i="7"/>
  <c r="E45" i="7"/>
  <c r="AP563" i="20"/>
  <c r="AJ1058" i="3"/>
  <c r="O9" i="7"/>
  <c r="Q8" i="7"/>
  <c r="M20" i="7"/>
  <c r="K22" i="7"/>
  <c r="K35" i="7" s="1"/>
  <c r="AD11" i="15"/>
  <c r="AD23" i="15" s="1"/>
  <c r="AD26" i="15" s="1"/>
  <c r="AD28" i="15" s="1"/>
  <c r="AI11" i="15"/>
  <c r="AI23" i="15" s="1"/>
  <c r="AI26" i="15" s="1"/>
  <c r="AI28" i="15" s="1"/>
  <c r="M7" i="7"/>
  <c r="O6" i="7"/>
  <c r="AC53" i="7"/>
  <c r="S15" i="7"/>
  <c r="Y57" i="7"/>
  <c r="W58" i="7"/>
  <c r="I9" i="21"/>
  <c r="G26" i="21"/>
  <c r="G29" i="21"/>
  <c r="F29" i="21"/>
  <c r="BE74" i="3"/>
  <c r="BA1065" i="3" l="1"/>
  <c r="AZ1060" i="3"/>
  <c r="AC463" i="3"/>
  <c r="BE44" i="3" s="1"/>
  <c r="AB47" i="15"/>
  <c r="BE22" i="3"/>
  <c r="AB265" i="20"/>
  <c r="AG267" i="20" s="1"/>
  <c r="AG269" i="20" s="1"/>
  <c r="AK272" i="20" s="1"/>
  <c r="T834" i="20" s="1"/>
  <c r="N180" i="24"/>
  <c r="E105" i="13"/>
  <c r="S107" i="4"/>
  <c r="I108" i="4"/>
  <c r="I99" i="4" s="1"/>
  <c r="E99" i="4" s="1"/>
  <c r="AO647" i="3"/>
  <c r="G49" i="7"/>
  <c r="G45" i="7"/>
  <c r="G47" i="7" s="1"/>
  <c r="K4" i="7"/>
  <c r="I5" i="7"/>
  <c r="I11" i="7" s="1"/>
  <c r="I37" i="7" s="1"/>
  <c r="E47" i="7"/>
  <c r="E60" i="7"/>
  <c r="E48" i="7"/>
  <c r="AP566" i="20"/>
  <c r="AP567" i="20" s="1"/>
  <c r="AJ1062" i="3"/>
  <c r="Q9" i="7"/>
  <c r="S8" i="7"/>
  <c r="O20" i="7"/>
  <c r="M22" i="7"/>
  <c r="M35" i="7" s="1"/>
  <c r="AA57" i="7"/>
  <c r="Y58" i="7"/>
  <c r="O7" i="7"/>
  <c r="Q6" i="7"/>
  <c r="G166" i="21"/>
  <c r="G165" i="21"/>
  <c r="U15" i="7"/>
  <c r="AE53" i="7"/>
  <c r="G93" i="21"/>
  <c r="G94" i="21" s="1"/>
  <c r="E15" i="21" s="1"/>
  <c r="G102" i="21"/>
  <c r="G104" i="21" s="1"/>
  <c r="E16" i="21" s="1"/>
  <c r="G125" i="21"/>
  <c r="G110" i="21"/>
  <c r="G31" i="21"/>
  <c r="G33" i="21" s="1"/>
  <c r="E9" i="21" s="1"/>
  <c r="BA1064" i="3" l="1"/>
  <c r="BA1068" i="3" s="1"/>
  <c r="N181" i="24"/>
  <c r="N191" i="24"/>
  <c r="AE707" i="3"/>
  <c r="AF564" i="20"/>
  <c r="AC465" i="3"/>
  <c r="AA1065" i="3"/>
  <c r="E107" i="13"/>
  <c r="T24" i="15"/>
  <c r="AP570" i="20"/>
  <c r="AP569" i="20" s="1"/>
  <c r="AP572" i="20" s="1"/>
  <c r="AF565" i="20" s="1"/>
  <c r="I104" i="4"/>
  <c r="I105" i="4" s="1"/>
  <c r="AO649" i="3"/>
  <c r="AB48" i="15"/>
  <c r="AB49" i="15" s="1"/>
  <c r="M4" i="7"/>
  <c r="K5" i="7"/>
  <c r="K11" i="7" s="1"/>
  <c r="K37" i="7" s="1"/>
  <c r="G60" i="7"/>
  <c r="G48" i="7"/>
  <c r="I45" i="7"/>
  <c r="I49" i="7"/>
  <c r="E67" i="7"/>
  <c r="E62" i="7"/>
  <c r="E66" i="7"/>
  <c r="U8" i="7"/>
  <c r="S9" i="7"/>
  <c r="Q20" i="7"/>
  <c r="O22" i="7"/>
  <c r="O35" i="7" s="1"/>
  <c r="Q7" i="7"/>
  <c r="S6" i="7"/>
  <c r="G127" i="21"/>
  <c r="G115" i="21"/>
  <c r="G111" i="21"/>
  <c r="AG53" i="7"/>
  <c r="AC57" i="7"/>
  <c r="AA58" i="7"/>
  <c r="W15" i="7"/>
  <c r="AA1066" i="3" l="1"/>
  <c r="G1067" i="3" s="1"/>
  <c r="T11" i="15"/>
  <c r="T23" i="15" s="1"/>
  <c r="T26" i="15" s="1"/>
  <c r="T28" i="15" s="1"/>
  <c r="Y11" i="15"/>
  <c r="Y23" i="15" s="1"/>
  <c r="AF566" i="20"/>
  <c r="AK572" i="20" s="1"/>
  <c r="T840" i="20" s="1"/>
  <c r="AF840" i="20" s="1"/>
  <c r="R99" i="4"/>
  <c r="R104" i="4" s="1"/>
  <c r="R105" i="4" s="1"/>
  <c r="E104" i="4"/>
  <c r="E105" i="4" s="1"/>
  <c r="M5" i="7"/>
  <c r="M11" i="7" s="1"/>
  <c r="M37" i="7" s="1"/>
  <c r="O4" i="7"/>
  <c r="K45" i="7"/>
  <c r="K49" i="7"/>
  <c r="G62" i="7"/>
  <c r="G66" i="7"/>
  <c r="G67" i="7"/>
  <c r="E70" i="7"/>
  <c r="E72" i="7" s="1"/>
  <c r="I47" i="7"/>
  <c r="I60" i="7"/>
  <c r="I48" i="7"/>
  <c r="W8" i="7"/>
  <c r="U9" i="7"/>
  <c r="S20" i="7"/>
  <c r="Q22" i="7"/>
  <c r="Q35" i="7" s="1"/>
  <c r="U6" i="7"/>
  <c r="S7" i="7"/>
  <c r="Y15" i="7"/>
  <c r="G129" i="21"/>
  <c r="E17" i="21" s="1"/>
  <c r="E14" i="21" s="1"/>
  <c r="E18" i="21" s="1"/>
  <c r="H3" i="21" s="1"/>
  <c r="AE57" i="7"/>
  <c r="AC58" i="7"/>
  <c r="Y26" i="15" l="1"/>
  <c r="Y28" i="15" s="1"/>
  <c r="AD38" i="15"/>
  <c r="AD40" i="15" s="1"/>
  <c r="BE81" i="3"/>
  <c r="AF843" i="20"/>
  <c r="BE70" i="3" s="1"/>
  <c r="G70" i="7"/>
  <c r="G72" i="7" s="1"/>
  <c r="K48" i="7"/>
  <c r="K60" i="7"/>
  <c r="K47" i="7"/>
  <c r="M49" i="7"/>
  <c r="M45" i="7"/>
  <c r="O5" i="7"/>
  <c r="O11" i="7" s="1"/>
  <c r="O37" i="7" s="1"/>
  <c r="Q4" i="7"/>
  <c r="I67" i="7"/>
  <c r="I62" i="7"/>
  <c r="I66" i="7"/>
  <c r="Y8" i="7"/>
  <c r="W9" i="7"/>
  <c r="U20" i="7"/>
  <c r="S22" i="7"/>
  <c r="S35" i="7" s="1"/>
  <c r="AG57" i="7"/>
  <c r="AG58" i="7" s="1"/>
  <c r="AE58" i="7"/>
  <c r="AA15" i="7"/>
  <c r="W6" i="7"/>
  <c r="U7" i="7"/>
  <c r="T29" i="15" l="1"/>
  <c r="Y38" i="15"/>
  <c r="Y40" i="15" s="1"/>
  <c r="Y41" i="15" s="1"/>
  <c r="AB50" i="15" s="1"/>
  <c r="I70" i="7"/>
  <c r="I72" i="7" s="1"/>
  <c r="K62" i="7"/>
  <c r="K66" i="7"/>
  <c r="K67" i="7"/>
  <c r="M47" i="7"/>
  <c r="M60" i="7"/>
  <c r="M48" i="7"/>
  <c r="O49" i="7"/>
  <c r="O45" i="7"/>
  <c r="Q5" i="7"/>
  <c r="Q11" i="7" s="1"/>
  <c r="Q37" i="7" s="1"/>
  <c r="S4" i="7"/>
  <c r="AA8" i="7"/>
  <c r="Y9" i="7"/>
  <c r="W20" i="7"/>
  <c r="U22" i="7"/>
  <c r="U35" i="7" s="1"/>
  <c r="AC15" i="7"/>
  <c r="Y6" i="7"/>
  <c r="W7" i="7"/>
  <c r="BE62" i="3" l="1"/>
  <c r="AB54" i="15"/>
  <c r="AB55" i="15" s="1"/>
  <c r="AB56" i="15" s="1"/>
  <c r="K70" i="7"/>
  <c r="K72" i="7" s="1"/>
  <c r="U4" i="7"/>
  <c r="S5" i="7"/>
  <c r="S11" i="7" s="1"/>
  <c r="S37" i="7" s="1"/>
  <c r="M66" i="7"/>
  <c r="M62" i="7"/>
  <c r="M67" i="7"/>
  <c r="O60" i="7"/>
  <c r="O66" i="7" s="1"/>
  <c r="O48" i="7"/>
  <c r="O47" i="7"/>
  <c r="Q45" i="7"/>
  <c r="Q49" i="7"/>
  <c r="AC8" i="7"/>
  <c r="AA9" i="7"/>
  <c r="Y20" i="7"/>
  <c r="W22" i="7"/>
  <c r="W35" i="7" s="1"/>
  <c r="AE15" i="7"/>
  <c r="AA6" i="7"/>
  <c r="Y7" i="7"/>
  <c r="M26" i="3" l="1"/>
  <c r="AB57" i="15"/>
  <c r="AB59" i="15" s="1"/>
  <c r="AB77" i="15" s="1"/>
  <c r="AB78" i="15" s="1"/>
  <c r="M70" i="7"/>
  <c r="M72" i="7" s="1"/>
  <c r="U5" i="7"/>
  <c r="U11" i="7" s="1"/>
  <c r="U37" i="7" s="1"/>
  <c r="W4" i="7"/>
  <c r="S45" i="7"/>
  <c r="S49" i="7"/>
  <c r="O62" i="7"/>
  <c r="O67" i="7"/>
  <c r="O70" i="7" s="1"/>
  <c r="Q60" i="7"/>
  <c r="Q48" i="7"/>
  <c r="Q47" i="7"/>
  <c r="AC9" i="7"/>
  <c r="AE8" i="7"/>
  <c r="AA20" i="7"/>
  <c r="Y22" i="7"/>
  <c r="Y35" i="7" s="1"/>
  <c r="AA7" i="7"/>
  <c r="AC6" i="7"/>
  <c r="AG15" i="7"/>
  <c r="O72" i="7" l="1"/>
  <c r="BE19" i="3"/>
  <c r="P204" i="3"/>
  <c r="W5" i="7"/>
  <c r="W11" i="7" s="1"/>
  <c r="W37" i="7" s="1"/>
  <c r="Y4" i="7"/>
  <c r="S48" i="7"/>
  <c r="S60" i="7"/>
  <c r="S47" i="7"/>
  <c r="U45" i="7"/>
  <c r="U49" i="7"/>
  <c r="Q62" i="7"/>
  <c r="Q67" i="7"/>
  <c r="Q66" i="7"/>
  <c r="AG8" i="7"/>
  <c r="AG9" i="7" s="1"/>
  <c r="AE9" i="7"/>
  <c r="AC20" i="7"/>
  <c r="AA22" i="7"/>
  <c r="AA35" i="7" s="1"/>
  <c r="AE6" i="7"/>
  <c r="AC7" i="7"/>
  <c r="I10" i="21"/>
  <c r="I11" i="21" s="1"/>
  <c r="I18" i="21" s="1"/>
  <c r="H4" i="21" s="1"/>
  <c r="H5" i="21" s="1"/>
  <c r="BE83" i="3" s="1"/>
  <c r="AB79" i="15"/>
  <c r="AB81" i="15" s="1"/>
  <c r="J82" i="15" s="1"/>
  <c r="M27" i="3"/>
  <c r="W49" i="7" l="1"/>
  <c r="W45" i="7"/>
  <c r="Y5" i="7"/>
  <c r="Y11" i="7" s="1"/>
  <c r="Y37" i="7" s="1"/>
  <c r="AA4" i="7"/>
  <c r="S67" i="7"/>
  <c r="S62" i="7"/>
  <c r="S66" i="7"/>
  <c r="U60" i="7"/>
  <c r="U47" i="7"/>
  <c r="U48" i="7"/>
  <c r="Q70" i="7"/>
  <c r="Q72" i="7" s="1"/>
  <c r="AE20" i="7"/>
  <c r="AC22" i="7"/>
  <c r="AC35" i="7" s="1"/>
  <c r="BE20" i="3"/>
  <c r="P205" i="3"/>
  <c r="AG6" i="7"/>
  <c r="AG7" i="7" s="1"/>
  <c r="AE7" i="7"/>
  <c r="W60" i="7" l="1"/>
  <c r="W47" i="7"/>
  <c r="W48" i="7"/>
  <c r="S70" i="7"/>
  <c r="S72" i="7" s="1"/>
  <c r="U67" i="7"/>
  <c r="U66" i="7"/>
  <c r="U62" i="7"/>
  <c r="Y45" i="7"/>
  <c r="Y49" i="7"/>
  <c r="AC4" i="7"/>
  <c r="AA5" i="7"/>
  <c r="AA11" i="7" s="1"/>
  <c r="AA37" i="7" s="1"/>
  <c r="AG20" i="7"/>
  <c r="AG22" i="7" s="1"/>
  <c r="AG35" i="7" s="1"/>
  <c r="AE22" i="7"/>
  <c r="AE35" i="7" s="1"/>
  <c r="U70" i="7" l="1"/>
  <c r="U72" i="7" s="1"/>
  <c r="W66" i="7"/>
  <c r="W62" i="7"/>
  <c r="W67" i="7"/>
  <c r="Y47" i="7"/>
  <c r="Y48" i="7"/>
  <c r="Y60" i="7"/>
  <c r="AE4" i="7"/>
  <c r="AC5" i="7"/>
  <c r="AC11" i="7" s="1"/>
  <c r="AC37" i="7" s="1"/>
  <c r="AA49" i="7"/>
  <c r="AA45" i="7"/>
  <c r="W70" i="7" l="1"/>
  <c r="W72" i="7" s="1"/>
  <c r="Y66" i="7"/>
  <c r="Y62" i="7"/>
  <c r="Y67" i="7"/>
  <c r="AE5" i="7"/>
  <c r="AE11" i="7" s="1"/>
  <c r="AE37" i="7" s="1"/>
  <c r="AG4" i="7"/>
  <c r="AG5" i="7" s="1"/>
  <c r="AG11" i="7" s="1"/>
  <c r="AG37" i="7" s="1"/>
  <c r="AC45" i="7"/>
  <c r="AC49" i="7"/>
  <c r="AA60" i="7"/>
  <c r="AA48" i="7"/>
  <c r="AA47" i="7"/>
  <c r="Y70" i="7" l="1"/>
  <c r="Y72" i="7" s="1"/>
  <c r="AE49" i="7"/>
  <c r="AE45" i="7"/>
  <c r="AC60" i="7"/>
  <c r="AC47" i="7"/>
  <c r="AC48" i="7"/>
  <c r="AA62" i="7"/>
  <c r="AA67" i="7"/>
  <c r="AA66" i="7"/>
  <c r="AG45" i="7"/>
  <c r="AG49" i="7"/>
  <c r="AA70" i="7" l="1"/>
  <c r="AA72" i="7" s="1"/>
  <c r="AE60" i="7"/>
  <c r="AE48" i="7"/>
  <c r="AE47" i="7"/>
  <c r="AC62" i="7"/>
  <c r="AC67" i="7"/>
  <c r="AC66" i="7"/>
  <c r="AG60" i="7"/>
  <c r="AG47" i="7"/>
  <c r="AG48" i="7"/>
  <c r="AC70" i="7" l="1"/>
  <c r="AC72" i="7" s="1"/>
  <c r="AE67" i="7"/>
  <c r="AE62" i="7"/>
  <c r="AE66" i="7"/>
  <c r="AG67" i="7"/>
  <c r="AG66" i="7"/>
  <c r="AG62" i="7"/>
  <c r="AE70" i="7" l="1"/>
  <c r="AE72" i="7" s="1"/>
  <c r="AG70"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<sst xmlns="http://schemas.openxmlformats.org/spreadsheetml/2006/main" count="5075" uniqueCount="2750">
  <si>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</si>
  <si>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</si>
  <si>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</si>
  <si>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</si>
  <si>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</si>
  <si>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</si>
  <si>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</si>
  <si>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</si>
  <si>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</si>
  <si>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</si>
  <si>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</si>
  <si>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</si>
  <si>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</si>
  <si>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</si>
  <si>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</si>
  <si>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</si>
  <si>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</si>
  <si>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</si>
  <si>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</si>
  <si>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</si>
  <si>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</si>
  <si>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</si>
  <si>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</si>
  <si>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</si>
  <si>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</si>
  <si>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</si>
  <si>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</si>
  <si>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</si>
  <si>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</si>
  <si>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</si>
  <si>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</si>
  <si>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</si>
  <si>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</si>
  <si>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</si>
  <si>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</si>
  <si>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</si>
  <si>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</si>
  <si>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</si>
  <si>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</si>
  <si>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</si>
  <si>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</si>
  <si>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</si>
  <si>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</si>
  <si>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</si>
  <si>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</si>
  <si>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</si>
  <si>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</si>
  <si>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</si>
  <si>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</si>
  <si>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</si>
  <si>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</si>
  <si>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</si>
  <si>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</si>
  <si>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</si>
  <si>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</si>
  <si>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</si>
  <si>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</si>
  <si>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</si>
  <si>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</si>
  <si>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</si>
  <si>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</si>
  <si>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</si>
  <si>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</si>
  <si>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</si>
  <si>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</si>
  <si>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</si>
  <si>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</si>
  <si>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</si>
  <si>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</si>
  <si>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</si>
  <si>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</si>
  <si>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</si>
  <si>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</si>
  <si>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</si>
  <si>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</si>
  <si>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</si>
  <si>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</si>
  <si>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</si>
  <si>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</si>
  <si>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</si>
  <si>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</si>
  <si>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</si>
  <si>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</si>
  <si>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</si>
  <si>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</si>
  <si>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</si>
  <si>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</si>
  <si>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</si>
  <si>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</si>
  <si>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</si>
  <si>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</si>
  <si>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</si>
  <si>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</si>
  <si>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</si>
  <si>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</si>
  <si>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</si>
  <si>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</si>
  <si>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</si>
  <si>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</si>
  <si>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</si>
  <si>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</si>
  <si>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</si>
  <si>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</si>
  <si>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</si>
  <si>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</si>
  <si>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</si>
  <si>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</si>
  <si>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</si>
  <si>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</si>
  <si>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</si>
  <si>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</si>
  <si>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</si>
  <si>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</si>
  <si>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</si>
  <si>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</si>
  <si>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</si>
  <si>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</si>
  <si>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</si>
  <si>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</si>
  <si>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</si>
  <si>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</si>
  <si>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</si>
  <si>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</si>
  <si>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</si>
  <si>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</si>
  <si>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</si>
  <si>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</si>
  <si>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</si>
  <si>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</si>
  <si>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</si>
  <si>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</si>
  <si>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</si>
  <si>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</si>
  <si>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</si>
  <si>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</si>
  <si>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</si>
  <si>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</si>
  <si>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</si>
  <si>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</si>
  <si>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</si>
  <si>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</si>
  <si>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</si>
  <si>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</si>
  <si>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</si>
  <si>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</si>
  <si>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</si>
  <si>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</si>
  <si>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</si>
  <si>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</si>
  <si>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</si>
  <si>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</si>
  <si>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</si>
  <si>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</si>
  <si>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</si>
  <si>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</si>
  <si>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</si>
  <si>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</si>
  <si>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</si>
  <si>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</si>
  <si>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</si>
  <si>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</si>
  <si>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</si>
  <si>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</si>
  <si>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</si>
  <si>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</si>
  <si>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</si>
  <si>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</si>
  <si>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</si>
  <si>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</si>
  <si>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</si>
  <si>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</si>
  <si>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</si>
  <si>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</si>
  <si>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</si>
  <si>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</si>
  <si>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</si>
  <si>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</si>
  <si>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</si>
  <si>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</si>
  <si>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</si>
  <si>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</si>
  <si>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</si>
  <si>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</si>
  <si>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</si>
  <si>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</si>
  <si>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</si>
  <si>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</si>
  <si>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</si>
  <si>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</si>
  <si>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</si>
  <si>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</si>
  <si>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</si>
  <si>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</si>
  <si>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</si>
  <si>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</si>
  <si>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</si>
  <si>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</si>
  <si>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</si>
  <si>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</si>
  <si>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</si>
  <si>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</si>
  <si>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</si>
  <si>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</si>
  <si>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</si>
  <si>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</si>
  <si>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</si>
  <si>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</si>
  <si>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</si>
  <si>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</si>
  <si>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</si>
  <si>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</si>
  <si>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</si>
  <si>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</si>
  <si>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</si>
  <si>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</si>
  <si>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</si>
  <si>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</si>
  <si>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</si>
  <si>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</si>
  <si>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</si>
  <si>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</si>
  <si>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</si>
  <si>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</si>
  <si>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</si>
  <si>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</si>
  <si>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</si>
  <si>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</si>
  <si>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</si>
  <si>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</si>
  <si>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</si>
  <si>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</si>
  <si>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</si>
  <si>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</si>
  <si>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</si>
  <si>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</si>
  <si>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</si>
  <si>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</si>
  <si>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</si>
  <si>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</si>
  <si>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</si>
  <si>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</si>
  <si>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</si>
  <si>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</si>
  <si>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</si>
  <si>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</si>
  <si>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</si>
  <si>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</si>
  <si>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</si>
  <si>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</si>
  <si>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</si>
  <si>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</si>
  <si>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</si>
  <si>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</si>
  <si>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</si>
  <si>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</si>
  <si>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</si>
  <si>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</si>
  <si>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</si>
  <si>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</si>
  <si>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</si>
  <si>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</si>
  <si>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</si>
  <si>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</si>
  <si>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</si>
  <si>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</si>
  <si>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</si>
  <si>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</si>
  <si>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</si>
  <si>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</si>
  <si>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</si>
  <si>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</si>
  <si>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</si>
  <si>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</si>
  <si>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</si>
  <si>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</si>
  <si>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</si>
  <si>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</si>
  <si>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</si>
  <si>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</si>
  <si>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</si>
  <si>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</si>
  <si>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</si>
  <si>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</si>
  <si>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</si>
  <si>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</si>
  <si>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</si>
  <si>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</si>
  <si>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</si>
  <si>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</si>
  <si>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</si>
  <si>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</si>
  <si>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</si>
  <si>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</si>
  <si>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</si>
  <si>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</si>
  <si>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</si>
  <si>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</si>
  <si>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</si>
  <si>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</si>
  <si>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</si>
  <si>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</si>
  <si>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</si>
  <si>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</si>
  <si>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</si>
  <si>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</si>
  <si>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</si>
  <si>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</si>
  <si>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</si>
  <si>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</si>
  <si>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</si>
  <si>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</si>
  <si>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</si>
  <si>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</si>
  <si>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</si>
  <si>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</si>
  <si>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</si>
  <si>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</si>
  <si>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</si>
  <si>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</si>
  <si>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</si>
  <si>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</si>
  <si>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</si>
  <si>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</si>
  <si>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</si>
  <si>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</si>
  <si>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</si>
  <si>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</si>
  <si>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</si>
  <si>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</si>
  <si>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</si>
  <si>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</si>
  <si>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</si>
  <si>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</si>
  <si>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</si>
  <si>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</si>
  <si>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</si>
  <si>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</si>
  <si>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</si>
  <si>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</si>
  <si>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</si>
  <si>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</si>
  <si>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</si>
  <si>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</si>
  <si>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</si>
  <si>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</si>
  <si>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</si>
  <si>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</si>
  <si>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</si>
  <si>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</si>
  <si>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</si>
  <si>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</si>
  <si>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</si>
  <si>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</si>
  <si>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</si>
  <si>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</si>
  <si>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</si>
  <si>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</si>
  <si>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</si>
  <si>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</si>
  <si>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</si>
  <si>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</si>
  <si>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</si>
  <si>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</si>
  <si>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</si>
  <si>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</si>
  <si>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</si>
  <si>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</si>
  <si>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</si>
  <si>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</si>
  <si>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</si>
  <si>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</si>
  <si>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</si>
  <si>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</si>
  <si>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</si>
  <si>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</si>
  <si>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</si>
  <si>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</si>
  <si>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</si>
  <si>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</si>
  <si>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</si>
  <si>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</si>
  <si>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</si>
  <si>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</si>
  <si>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</si>
  <si>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</si>
  <si>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</si>
  <si>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</si>
  <si>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</si>
  <si>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</si>
  <si>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</si>
  <si>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</si>
  <si>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</si>
  <si>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</si>
  <si>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</si>
  <si>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</si>
  <si>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</si>
  <si>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</si>
  <si>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</si>
  <si>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</si>
  <si>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</si>
  <si>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</si>
  <si>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</si>
  <si>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</si>
  <si>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</si>
  <si>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</si>
  <si>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</si>
  <si>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</si>
  <si>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</si>
  <si>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</si>
  <si>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</si>
  <si>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</si>
  <si>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</si>
  <si>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</si>
  <si>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</si>
  <si>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</si>
  <si>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</si>
  <si>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</si>
  <si>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</si>
  <si>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</si>
  <si>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</si>
  <si>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</si>
  <si>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</si>
  <si>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</si>
  <si>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</si>
  <si>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</si>
  <si>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</si>
  <si>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</si>
  <si>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</si>
  <si>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</si>
  <si>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</si>
  <si>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</si>
  <si>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</si>
  <si>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</si>
  <si>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</si>
  <si>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</si>
  <si>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</si>
  <si>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</si>
  <si>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</si>
  <si>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</si>
  <si>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</si>
  <si>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</si>
  <si>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</si>
  <si>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</si>
  <si>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</si>
  <si>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</si>
  <si>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</si>
  <si>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</si>
  <si>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</si>
  <si>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</si>
  <si>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</si>
  <si>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</si>
  <si>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</si>
  <si>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</si>
  <si>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</si>
  <si>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</si>
  <si>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</si>
  <si>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</si>
  <si>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</si>
  <si>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</si>
  <si>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</si>
  <si>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</si>
  <si>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</si>
  <si>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</si>
  <si>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</si>
  <si>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</si>
  <si>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</si>
  <si>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</si>
  <si>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</si>
  <si>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</si>
  <si>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</si>
  <si>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</si>
  <si>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</si>
  <si>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</si>
  <si>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</si>
  <si>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</si>
  <si>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</si>
  <si>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</si>
  <si>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</si>
  <si>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</si>
  <si>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</si>
  <si>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</si>
  <si>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</si>
  <si>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</si>
  <si>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</si>
  <si>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</si>
  <si>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</si>
  <si>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</si>
  <si>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</si>
  <si>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</si>
  <si>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</si>
  <si>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</si>
  <si>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</si>
  <si>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</si>
  <si>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</si>
  <si>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</si>
  <si>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</si>
  <si>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</si>
  <si>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</si>
  <si>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</si>
  <si>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</si>
  <si>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</si>
  <si>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</si>
  <si>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</si>
  <si>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</si>
  <si>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</si>
  <si>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</si>
  <si>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</si>
  <si>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</si>
  <si>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</si>
  <si>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</si>
  <si>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</si>
  <si>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</si>
  <si>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</si>
  <si>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</si>
  <si>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</si>
  <si>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</si>
  <si>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</si>
  <si>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</si>
  <si>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</si>
  <si>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</si>
  <si>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</si>
  <si>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</si>
  <si>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</si>
  <si>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</si>
  <si>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</si>
  <si>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</si>
  <si>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</si>
  <si>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</si>
  <si>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</si>
  <si>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</si>
  <si>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</si>
  <si>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</si>
  <si>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</si>
  <si>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</si>
  <si>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</si>
  <si>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</si>
  <si>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</si>
  <si>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</si>
  <si>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</si>
  <si>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</si>
  <si>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</si>
  <si>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</si>
  <si>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</si>
  <si>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</si>
  <si>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</si>
  <si>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</si>
  <si>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</si>
  <si>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</si>
  <si>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</si>
  <si>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</si>
  <si>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</si>
  <si>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</si>
  <si>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</si>
  <si>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</si>
  <si>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</si>
  <si>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</si>
  <si>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</si>
  <si>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</si>
  <si>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</si>
  <si>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</si>
  <si>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</si>
  <si>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</si>
  <si>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</si>
  <si>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</si>
  <si>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</si>
  <si>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</si>
  <si>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</si>
  <si>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</si>
  <si>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</si>
  <si>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</si>
  <si>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</si>
  <si>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</si>
  <si>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</si>
  <si>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</si>
  <si>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</si>
  <si>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</si>
  <si>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</si>
  <si>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</si>
  <si>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</si>
  <si>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</si>
  <si>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</si>
  <si>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</si>
  <si>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</si>
  <si>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</si>
  <si>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</si>
  <si>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</si>
  <si>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</si>
  <si>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</si>
  <si>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</si>
  <si>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</si>
  <si>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</si>
  <si>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</si>
  <si>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</si>
  <si>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</si>
  <si>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</si>
  <si>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</si>
  <si>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</si>
  <si>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</si>
  <si>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</si>
  <si>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</si>
  <si>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</si>
  <si>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</si>
  <si>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</si>
  <si>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</si>
  <si>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</si>
  <si>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</si>
  <si>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</si>
  <si>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</si>
  <si>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</si>
  <si>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</si>
  <si>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</si>
  <si>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</si>
  <si>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</si>
  <si>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</si>
  <si>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</si>
  <si>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</si>
  <si>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</si>
  <si>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</si>
  <si>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</si>
  <si>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</si>
  <si>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</si>
  <si>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</si>
  <si>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</si>
  <si>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</si>
  <si>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</si>
  <si>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</si>
  <si>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</si>
  <si>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</si>
  <si>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</si>
  <si>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</si>
  <si>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</si>
  <si>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</si>
  <si>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</si>
  <si>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</si>
  <si>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</si>
  <si>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</si>
  <si>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</si>
  <si>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</si>
  <si>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</si>
  <si>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</si>
  <si>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</si>
  <si>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</si>
  <si>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</si>
  <si>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</si>
  <si>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</si>
  <si>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</si>
  <si>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</si>
  <si>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</si>
  <si>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</si>
  <si>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</si>
  <si>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</si>
  <si>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</si>
  <si>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</si>
  <si>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</si>
  <si>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</si>
  <si>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</si>
  <si>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</si>
  <si>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</si>
  <si>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</si>
  <si>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</si>
  <si>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</si>
  <si>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</si>
  <si>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</si>
  <si>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</si>
  <si>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</si>
  <si>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</si>
  <si>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</si>
  <si>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</si>
  <si>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</si>
  <si>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</si>
  <si>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</si>
  <si>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</si>
  <si>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</si>
  <si>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</si>
  <si>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</si>
  <si>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</si>
  <si>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</si>
  <si>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</si>
  <si>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</si>
  <si>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</si>
  <si>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</si>
  <si>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</si>
  <si>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</si>
  <si>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</si>
  <si>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</si>
  <si>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</si>
  <si>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</si>
  <si>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</si>
  <si>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</si>
  <si>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</si>
  <si>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</si>
  <si>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</si>
  <si>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</si>
  <si>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</si>
  <si>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</si>
  <si>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</si>
  <si>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</si>
  <si>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</si>
  <si>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</si>
  <si>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</si>
  <si>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</si>
  <si>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</si>
  <si>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</si>
  <si>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</si>
  <si>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</si>
  <si>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</si>
  <si>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</si>
  <si>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</si>
  <si>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</si>
  <si>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</si>
  <si>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</si>
  <si>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</si>
  <si>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</si>
  <si>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</si>
  <si>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</si>
  <si>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</si>
  <si>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</si>
  <si>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</si>
  <si>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</si>
  <si>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</si>
  <si>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</si>
  <si>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</si>
  <si>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</si>
  <si>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</si>
  <si>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</si>
  <si>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</si>
  <si>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</si>
  <si>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</si>
  <si>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</si>
  <si>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</si>
  <si>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</si>
  <si>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</si>
  <si>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</si>
  <si>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</si>
  <si>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</si>
  <si>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</si>
  <si>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</si>
  <si>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</si>
  <si>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</si>
  <si>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</si>
  <si>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</si>
  <si>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</si>
  <si>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</si>
  <si>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</si>
  <si>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</si>
  <si>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</si>
  <si>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</si>
  <si>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</si>
  <si>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</si>
  <si>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</si>
  <si>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</si>
  <si>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</si>
  <si>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</si>
  <si>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</si>
  <si>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</si>
  <si>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</si>
  <si>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</si>
  <si>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</si>
  <si>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</si>
  <si>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</si>
  <si>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</si>
  <si>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</si>
  <si>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</si>
  <si>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</si>
  <si>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</si>
  <si>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</si>
  <si>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</si>
  <si>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</si>
  <si>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</si>
  <si>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</si>
  <si>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</si>
  <si>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</si>
  <si>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</si>
  <si>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</si>
  <si>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</si>
  <si>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</si>
  <si>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</si>
  <si>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</si>
  <si>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</si>
  <si>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</si>
  <si>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</si>
  <si>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</si>
  <si>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</si>
  <si>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</si>
  <si>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</si>
  <si>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</si>
  <si>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</si>
  <si>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</si>
  <si>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</si>
  <si>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</si>
  <si>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</si>
  <si>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</si>
  <si>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</si>
  <si>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</si>
  <si>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</si>
  <si>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</si>
  <si>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</si>
  <si>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</si>
  <si>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</si>
  <si>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</si>
  <si>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</si>
  <si>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</si>
  <si>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</si>
  <si>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</si>
  <si>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</si>
  <si>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</si>
  <si>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</si>
  <si>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</si>
  <si>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</si>
  <si>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</si>
  <si>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</si>
  <si>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</si>
  <si>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</si>
  <si>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</si>
  <si>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</si>
  <si>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</si>
  <si>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</si>
  <si>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</si>
  <si>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</si>
  <si>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</si>
  <si>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</si>
  <si>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</si>
  <si>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</si>
  <si>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</si>
  <si>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</si>
  <si>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</si>
  <si>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</si>
  <si>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</si>
  <si>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</si>
  <si>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</si>
  <si>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</si>
  <si>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</si>
  <si>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</si>
  <si>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</si>
  <si>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</si>
  <si>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</si>
  <si>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</si>
  <si>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</si>
  <si>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</si>
  <si>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</si>
  <si>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</si>
  <si>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</si>
  <si>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</si>
  <si>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</si>
  <si>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</si>
  <si>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</si>
  <si>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</si>
  <si>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</si>
  <si>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</si>
  <si>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</si>
  <si>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</si>
  <si>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</si>
  <si>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</si>
  <si>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</si>
  <si>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</si>
  <si>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</si>
  <si>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</si>
  <si>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</si>
  <si>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</si>
  <si>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</si>
  <si>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</si>
  <si>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</si>
  <si>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</si>
  <si>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</si>
  <si>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</si>
  <si>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</si>
  <si>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</si>
  <si>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</si>
  <si>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</si>
  <si>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</si>
  <si>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</si>
  <si>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</si>
  <si>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</si>
  <si>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</si>
  <si>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</si>
  <si>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</si>
  <si>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</si>
  <si>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</si>
  <si>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</si>
  <si>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</si>
  <si>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</si>
  <si>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</si>
  <si>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</si>
  <si>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</si>
  <si>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</si>
  <si>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</si>
  <si>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</si>
  <si>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</si>
  <si>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</si>
  <si>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</si>
  <si>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</si>
  <si>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</si>
  <si>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</si>
  <si>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</si>
  <si>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</si>
  <si>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</si>
  <si>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</si>
  <si>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</si>
  <si>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</si>
  <si>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</si>
  <si>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</si>
  <si>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</si>
  <si>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</si>
  <si>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</si>
  <si>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</si>
  <si>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</si>
  <si>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</si>
  <si>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</si>
  <si>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</si>
  <si>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</si>
  <si>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</si>
  <si>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</si>
  <si>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</si>
  <si>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</si>
  <si>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</si>
  <si>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</si>
  <si>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</si>
  <si>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</si>
  <si>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</si>
  <si>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</si>
  <si>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</si>
  <si>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</si>
  <si>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</si>
  <si>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</si>
  <si>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</si>
  <si>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</si>
  <si>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</si>
  <si>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</si>
  <si>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</si>
  <si>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</si>
  <si>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</si>
  <si>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</si>
  <si>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</si>
  <si>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</si>
  <si>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</si>
  <si>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</si>
  <si>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</si>
  <si>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</si>
  <si>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</si>
  <si>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</si>
  <si>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</si>
  <si>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</si>
  <si>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</si>
  <si>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</si>
  <si>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</si>
  <si>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</si>
  <si>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</si>
  <si>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</si>
  <si>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</si>
  <si>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</si>
  <si>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</si>
  <si>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</si>
  <si>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</si>
  <si>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</si>
  <si>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</si>
  <si>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</si>
  <si>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</si>
  <si>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</si>
  <si>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</si>
  <si>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</si>
  <si>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</si>
  <si>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</si>
  <si>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</si>
  <si>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</si>
  <si>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</si>
  <si>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</si>
  <si>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</si>
  <si>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</si>
  <si>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</si>
  <si>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</si>
  <si>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</si>
  <si>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</si>
  <si>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</si>
  <si>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</si>
  <si>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</si>
  <si>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</si>
  <si>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</si>
  <si>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</si>
  <si>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</si>
  <si>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</si>
  <si>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</si>
  <si>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</si>
  <si>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</si>
  <si>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</si>
  <si>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</si>
  <si>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</si>
  <si>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</si>
  <si>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</si>
  <si>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</si>
  <si>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</si>
  <si>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</si>
  <si>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</si>
  <si>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</si>
  <si>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</si>
  <si>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</si>
  <si>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</si>
  <si>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</si>
  <si>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</si>
  <si>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</si>
  <si>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</si>
  <si>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</si>
  <si>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</si>
  <si>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</si>
  <si>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</si>
  <si>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</si>
  <si>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</si>
  <si>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</si>
  <si>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</si>
  <si>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</si>
  <si>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</si>
  <si>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</si>
  <si>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</si>
  <si>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</si>
  <si>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</si>
  <si>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</si>
  <si>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</si>
  <si>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</si>
  <si>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</si>
  <si>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</si>
  <si>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</si>
  <si>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</si>
  <si>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</si>
  <si>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</si>
  <si>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</si>
  <si>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</si>
  <si>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</si>
  <si>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</si>
  <si>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</si>
  <si>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</si>
  <si>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</si>
  <si>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</si>
  <si>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</si>
  <si>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</si>
  <si>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</si>
  <si>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</si>
  <si>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</si>
  <si>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</si>
  <si>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</si>
  <si>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</si>
  <si>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</si>
  <si>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</si>
  <si>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</si>
  <si>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</si>
  <si>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</si>
  <si>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</si>
  <si>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</si>
  <si>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</si>
  <si>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</si>
  <si>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</si>
  <si>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</si>
  <si>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</si>
  <si>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</si>
  <si>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</si>
  <si>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</si>
  <si>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</si>
  <si>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</si>
  <si>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</si>
  <si>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</si>
  <si>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</si>
  <si>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</si>
  <si>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</si>
  <si>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</si>
  <si>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</si>
  <si>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</si>
  <si>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</si>
  <si>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</si>
  <si>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</si>
  <si>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</si>
  <si>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</si>
  <si>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</si>
  <si>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</si>
  <si>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</si>
  <si>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</si>
  <si>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</si>
  <si>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</si>
  <si>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</si>
  <si>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</si>
  <si>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</si>
  <si>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</si>
  <si>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</si>
  <si>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</si>
  <si>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</si>
  <si>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</si>
  <si>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</si>
  <si>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</si>
  <si>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</si>
  <si>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</si>
  <si>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</si>
  <si>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</si>
  <si>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</si>
  <si>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</si>
  <si>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</si>
  <si>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</si>
  <si>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</si>
  <si>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</si>
  <si>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</si>
  <si>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</si>
  <si>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</si>
  <si>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</si>
  <si>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</si>
  <si>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</si>
  <si>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</si>
  <si>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</si>
  <si>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</si>
  <si>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</si>
  <si>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</si>
  <si>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</si>
  <si>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</si>
  <si>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</si>
  <si>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</si>
  <si>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</si>
  <si>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</si>
  <si>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</si>
  <si>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</si>
  <si>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</si>
  <si>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</si>
  <si>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</si>
  <si>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</si>
  <si>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</si>
  <si>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</si>
  <si>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</si>
  <si>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</si>
  <si>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</si>
  <si>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</si>
  <si>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</si>
  <si>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</si>
  <si>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</si>
  <si>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</si>
  <si>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</si>
  <si>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</si>
  <si>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</si>
  <si>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</si>
  <si>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</si>
  <si>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</si>
  <si>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</si>
  <si>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</si>
  <si>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</si>
  <si>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</si>
  <si>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</si>
  <si>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</si>
  <si>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</si>
  <si>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</si>
  <si>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</si>
  <si>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</si>
  <si>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</si>
  <si>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</si>
  <si>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</si>
  <si>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</si>
  <si>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</si>
  <si>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</si>
  <si>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</si>
  <si>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</si>
  <si>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</si>
  <si>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</si>
  <si>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</si>
  <si>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</si>
  <si>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</si>
  <si>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</si>
  <si>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</si>
  <si>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</si>
  <si>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</si>
  <si>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</si>
  <si>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</si>
  <si>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</si>
  <si>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</si>
  <si>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</si>
  <si>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</si>
  <si>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</si>
  <si>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</si>
  <si>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</si>
  <si>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</si>
  <si>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</si>
  <si>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</si>
  <si>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</si>
  <si>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</si>
  <si>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</si>
  <si>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</si>
  <si>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</si>
  <si>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</si>
  <si>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</si>
  <si>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</si>
  <si>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</si>
  <si>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</si>
  <si>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</si>
  <si>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</si>
  <si>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</si>
  <si>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</si>
  <si>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</si>
  <si>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</si>
  <si>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</si>
  <si>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</si>
  <si>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</si>
  <si>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</si>
  <si>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</si>
  <si>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</si>
  <si>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</si>
  <si>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</si>
  <si>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</si>
  <si>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</si>
  <si>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</si>
  <si>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</si>
  <si>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</si>
  <si>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</si>
  <si>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</si>
  <si>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</si>
  <si>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</si>
  <si>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</si>
  <si>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</si>
  <si>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</si>
  <si>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</si>
  <si>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</si>
  <si>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</si>
  <si>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</si>
  <si>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</si>
  <si>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</si>
  <si>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</si>
  <si>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</si>
  <si>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</si>
  <si>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</si>
  <si>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</si>
  <si>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</si>
  <si>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</si>
  <si>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</si>
  <si>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</si>
  <si>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</si>
  <si>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</si>
  <si>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</si>
  <si>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</si>
  <si>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</si>
  <si>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</si>
  <si>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</si>
  <si>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</si>
  <si>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</si>
  <si>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</si>
  <si>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</si>
  <si>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</si>
  <si>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</si>
  <si>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</si>
  <si>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</si>
  <si>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</si>
  <si>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</si>
  <si>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</si>
  <si>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</si>
  <si>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</si>
  <si>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</si>
  <si>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</si>
  <si>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</si>
  <si>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</si>
  <si>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</si>
  <si>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</si>
  <si>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</si>
  <si>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</si>
  <si>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</si>
  <si>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</si>
  <si>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</si>
  <si>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</si>
  <si>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</si>
  <si>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</si>
  <si>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</si>
  <si>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</si>
  <si>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</si>
  <si>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</si>
  <si>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</si>
  <si>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</si>
  <si>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</si>
  <si>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</si>
  <si>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</si>
  <si>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</si>
  <si>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</si>
  <si>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</si>
  <si>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</si>
  <si>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</si>
  <si>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</si>
  <si>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</si>
  <si>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</si>
  <si>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</si>
  <si>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</si>
  <si>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</si>
  <si>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</si>
  <si>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</si>
  <si>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</si>
  <si>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</si>
  <si>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</si>
  <si>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</si>
  <si>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</si>
  <si>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</si>
  <si>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</si>
  <si>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</si>
  <si>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</si>
  <si>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</si>
  <si>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</si>
  <si>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</si>
  <si>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</si>
  <si>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</si>
  <si>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</si>
  <si>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</si>
  <si>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</si>
  <si>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</si>
  <si>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</si>
  <si>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</si>
  <si>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</si>
  <si>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</si>
  <si>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</si>
  <si>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</si>
  <si>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</si>
  <si>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</si>
  <si>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</si>
  <si>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</si>
  <si>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</si>
  <si>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</si>
  <si>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</si>
  <si>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</si>
  <si>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</si>
  <si>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</si>
  <si>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</si>
  <si>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</si>
  <si>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</si>
  <si>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</si>
  <si>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</si>
  <si>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</si>
  <si>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</si>
  <si>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</si>
  <si>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</si>
  <si>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</si>
  <si>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</si>
  <si>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</si>
  <si>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</si>
  <si>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</si>
  <si>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</si>
  <si>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</si>
  <si>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</si>
  <si>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</si>
  <si>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</si>
  <si>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</si>
  <si>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</si>
  <si>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</si>
  <si>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</si>
  <si>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</si>
  <si>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</si>
  <si>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</si>
  <si>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</si>
  <si>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</si>
  <si>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</si>
  <si>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</si>
  <si>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</si>
  <si>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</si>
  <si>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</si>
  <si>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</si>
  <si>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</si>
  <si>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</si>
  <si>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</si>
  <si>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</si>
  <si>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</si>
  <si>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</si>
  <si>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</si>
  <si>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</si>
  <si>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</si>
  <si>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</si>
  <si>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</si>
  <si>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</si>
  <si>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</si>
  <si>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</si>
  <si>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</si>
  <si>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</si>
  <si>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</si>
  <si>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</si>
  <si>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</si>
  <si>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</si>
  <si>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</si>
  <si>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</si>
  <si>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</si>
  <si>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</si>
  <si>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</si>
  <si>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</si>
  <si>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</si>
  <si>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</si>
  <si>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</si>
  <si>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</si>
  <si>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</si>
  <si>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</si>
  <si>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</si>
  <si>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</si>
  <si>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</si>
  <si>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</si>
  <si>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</si>
  <si>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</si>
  <si>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</si>
  <si>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</si>
  <si>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</si>
  <si>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</si>
  <si>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</si>
  <si>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</si>
  <si>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</si>
  <si>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</si>
  <si>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</si>
  <si>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</si>
  <si>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</si>
  <si>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</si>
  <si>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</si>
  <si>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</si>
  <si>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</si>
  <si>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</si>
  <si>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</si>
  <si>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</si>
  <si>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</si>
  <si>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</si>
  <si>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</si>
  <si>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</si>
  <si>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</si>
  <si>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</si>
  <si>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</si>
  <si>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</si>
  <si>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</si>
  <si>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</si>
  <si>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</si>
  <si>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</si>
  <si>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</si>
  <si>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</si>
  <si>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</si>
  <si>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</si>
  <si>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</si>
  <si>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</si>
  <si>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</si>
  <si>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</si>
  <si>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</si>
  <si>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</si>
  <si>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</si>
  <si>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</si>
  <si>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</si>
  <si>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</si>
  <si>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</si>
  <si>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</si>
  <si>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</si>
  <si>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</si>
  <si>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</si>
  <si>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</si>
  <si>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</si>
  <si>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</si>
  <si>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</si>
  <si>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</si>
  <si>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</si>
  <si>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</si>
  <si>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</si>
  <si>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</si>
  <si>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</si>
  <si>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</si>
  <si>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</si>
  <si>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</si>
  <si>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</si>
  <si>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</si>
  <si>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</si>
  <si>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</si>
  <si>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</si>
  <si>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</si>
  <si>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</si>
  <si>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</si>
  <si>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</si>
  <si>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</si>
  <si>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</si>
  <si>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</si>
  <si>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</si>
  <si>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</si>
  <si>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</si>
  <si>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</si>
  <si>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</si>
  <si>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</si>
  <si>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</si>
  <si>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</si>
  <si>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</si>
  <si>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</si>
  <si>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</si>
  <si>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</si>
  <si>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</si>
  <si>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</si>
  <si>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</si>
  <si>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</si>
  <si>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</si>
  <si>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</si>
  <si>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</si>
  <si>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</si>
  <si>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</si>
  <si>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</si>
  <si>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</si>
  <si>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</si>
  <si>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</si>
  <si>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</si>
  <si>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</si>
  <si>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</si>
  <si>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</si>
  <si>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</si>
  <si>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</si>
  <si>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</si>
  <si>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</si>
  <si>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</si>
  <si>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</si>
  <si>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</si>
  <si>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</si>
  <si>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</si>
  <si>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</si>
  <si>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</si>
  <si>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</si>
  <si>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</si>
  <si>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</si>
  <si>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</si>
  <si>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</si>
  <si>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</si>
  <si>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</si>
  <si>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</si>
  <si>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</si>
  <si>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</si>
  <si>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</si>
  <si>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</si>
  <si>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</si>
  <si>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</si>
  <si>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</si>
  <si>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</si>
  <si>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</si>
  <si>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</si>
  <si>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</si>
  <si>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</si>
  <si>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</si>
  <si>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</si>
  <si>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</si>
  <si>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</si>
  <si>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</si>
  <si>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</si>
  <si>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</si>
  <si>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</si>
  <si>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</si>
  <si>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</si>
  <si>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</si>
  <si>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</si>
  <si>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</si>
  <si>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</si>
  <si>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</si>
  <si>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</si>
  <si>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</si>
  <si>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</si>
  <si>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</si>
  <si>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</si>
  <si>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</si>
  <si>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</si>
  <si>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</si>
  <si>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</si>
  <si>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</si>
  <si>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</si>
  <si>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</si>
  <si>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</si>
  <si>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</si>
  <si>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</si>
  <si>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</si>
  <si>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</si>
  <si>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</si>
  <si>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</si>
  <si>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</si>
  <si>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</si>
  <si>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</si>
  <si>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</si>
  <si>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</si>
  <si>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</si>
  <si>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</si>
  <si>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</si>
  <si>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</si>
  <si>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</si>
  <si>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</si>
  <si>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</si>
  <si>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</si>
  <si>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</si>
  <si>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</si>
  <si>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</si>
  <si>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</si>
  <si>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</si>
  <si>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</si>
  <si>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</si>
  <si>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</si>
  <si>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</si>
  <si>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</si>
  <si>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</si>
  <si>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</si>
  <si>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</si>
  <si>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</si>
  <si>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</si>
  <si>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</si>
  <si>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</si>
  <si>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</si>
  <si>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</si>
  <si>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</si>
  <si>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</si>
  <si>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</si>
  <si>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</si>
  <si>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</si>
  <si>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</si>
  <si>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</si>
  <si>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</si>
  <si>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</si>
  <si>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</si>
  <si>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</si>
  <si>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</si>
  <si>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</si>
  <si>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</si>
  <si>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</si>
  <si>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</si>
  <si>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</si>
  <si>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</si>
  <si>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</si>
  <si>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</si>
  <si>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</si>
  <si>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</si>
  <si>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</si>
  <si>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</si>
  <si>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</si>
  <si>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</si>
  <si>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</si>
  <si>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</si>
  <si>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</si>
  <si>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</si>
  <si>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</si>
  <si>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</si>
  <si>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</si>
  <si>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</si>
  <si>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</si>
  <si>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</si>
  <si>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</si>
  <si>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</si>
  <si>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</si>
  <si>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</si>
  <si>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</si>
  <si>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</si>
  <si>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</si>
  <si>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</si>
  <si>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</si>
  <si>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</si>
  <si>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</si>
  <si>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</si>
  <si>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</si>
  <si>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</si>
  <si>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</si>
  <si>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</si>
  <si>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</si>
  <si>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</si>
  <si>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</si>
  <si>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</si>
  <si>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</si>
  <si>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</si>
  <si>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</si>
  <si>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</si>
  <si>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</si>
  <si>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</si>
  <si>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</si>
  <si>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</si>
  <si>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</si>
  <si>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</si>
  <si>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</si>
  <si>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</si>
  <si>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</si>
  <si>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</si>
  <si>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</si>
  <si>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</si>
  <si>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</si>
  <si>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</si>
  <si>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</si>
  <si>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</si>
  <si>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</si>
  <si>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</si>
  <si>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</si>
  <si>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</si>
  <si>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</si>
  <si>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</si>
  <si>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</si>
  <si>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</si>
  <si>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</si>
  <si>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</si>
  <si>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</si>
  <si>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</si>
  <si>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</si>
  <si>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</si>
  <si>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</si>
  <si>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</si>
  <si>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</si>
  <si>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</si>
  <si>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</si>
  <si>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</si>
  <si>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</si>
  <si>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</si>
  <si>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</si>
  <si>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</si>
  <si>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</si>
  <si>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</si>
  <si>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</si>
  <si>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</si>
  <si>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</si>
  <si>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</si>
  <si>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</si>
  <si>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</si>
  <si>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</si>
  <si>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</si>
  <si>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</si>
  <si>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</si>
  <si>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</si>
  <si>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</si>
  <si>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</si>
  <si>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</si>
  <si>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</si>
  <si>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</si>
  <si>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</si>
  <si>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</si>
  <si>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</si>
  <si>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</si>
  <si>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</si>
  <si>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</si>
  <si>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</si>
  <si>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</si>
  <si>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</si>
  <si>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</si>
  <si>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</si>
  <si>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</si>
  <si>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</si>
  <si>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</si>
  <si>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</si>
  <si>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</si>
  <si>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</si>
  <si>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</si>
  <si>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</si>
  <si>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</si>
  <si>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</si>
  <si>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</si>
  <si>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</si>
  <si>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</si>
  <si>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</si>
  <si>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</si>
  <si>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</si>
  <si>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</si>
  <si>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</si>
  <si>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</si>
  <si>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</si>
  <si>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</si>
  <si>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</si>
  <si>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</si>
  <si>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</si>
  <si>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</si>
  <si>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</si>
  <si>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</si>
  <si>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</si>
  <si>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</si>
  <si>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</si>
  <si>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</si>
  <si>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</si>
  <si>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</si>
  <si>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</si>
  <si>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</si>
  <si>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</si>
  <si>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</si>
  <si>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</si>
  <si>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</si>
  <si>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</si>
  <si>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</si>
  <si>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</si>
  <si>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</si>
  <si>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</si>
  <si>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</si>
  <si>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</si>
  <si>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</si>
  <si>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</si>
  <si>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</si>
  <si>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</si>
  <si>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</si>
  <si>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</si>
  <si>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</si>
  <si>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</si>
  <si>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</si>
  <si>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</si>
  <si>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</si>
  <si>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</si>
  <si>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</si>
  <si>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</si>
  <si>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</si>
  <si>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</si>
  <si>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</si>
  <si>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</si>
  <si>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</si>
  <si>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</si>
  <si>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</si>
  <si>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</si>
  <si>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</si>
  <si>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</si>
  <si>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</si>
  <si>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</si>
  <si>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</si>
  <si>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</si>
  <si>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</si>
  <si>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</si>
  <si>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</si>
  <si>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</si>
  <si>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</si>
  <si>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</si>
  <si>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</si>
  <si>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</si>
  <si>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</si>
  <si>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</si>
  <si>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</si>
  <si>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</si>
  <si>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</si>
  <si>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</si>
  <si>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</si>
  <si>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</si>
  <si>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</si>
  <si>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</si>
  <si>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</si>
  <si>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</si>
  <si>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</si>
  <si>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</si>
  <si>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</si>
  <si>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</si>
  <si>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</si>
  <si>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</si>
  <si>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</si>
  <si>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</si>
  <si>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</si>
  <si>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</si>
  <si>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</si>
  <si>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</si>
  <si>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</si>
  <si>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</si>
  <si>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</si>
  <si>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</si>
  <si>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</si>
  <si>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</si>
  <si>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</si>
  <si>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</si>
  <si>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</si>
  <si>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</si>
  <si>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</si>
  <si>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</si>
  <si>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</si>
  <si>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</si>
  <si>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</si>
  <si>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</si>
  <si>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</si>
  <si>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</si>
  <si>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</si>
  <si>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</si>
  <si>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</si>
  <si>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</si>
  <si>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</si>
  <si>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</si>
  <si>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</si>
  <si>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</si>
  <si>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</si>
  <si>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</si>
  <si>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</si>
  <si>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</si>
  <si>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</si>
  <si>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</si>
  <si>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</si>
  <si>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</si>
  <si>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</si>
  <si>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</si>
  <si>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</si>
  <si>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</si>
  <si>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</si>
  <si>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</si>
  <si>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</si>
  <si>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</si>
  <si>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</si>
  <si>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</si>
  <si>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</si>
  <si>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</si>
  <si>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</si>
  <si>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</si>
  <si>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</si>
  <si>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</si>
  <si>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</si>
  <si>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</si>
  <si>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</si>
  <si>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</si>
  <si>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</si>
  <si>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</si>
  <si>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</si>
  <si>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</si>
  <si>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</si>
  <si>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</si>
  <si>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</si>
  <si>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</si>
  <si>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</si>
  <si>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</si>
  <si>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</si>
  <si>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</si>
  <si>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</si>
  <si>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</si>
  <si>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</si>
  <si>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</si>
  <si>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</si>
  <si>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</si>
  <si>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</si>
  <si>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</si>
  <si>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</si>
  <si>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</si>
  <si>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</si>
  <si>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</si>
  <si>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</si>
  <si>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</si>
  <si>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</si>
  <si>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</si>
  <si>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</si>
  <si>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</si>
  <si>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</si>
  <si>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</si>
  <si>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</si>
  <si>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</si>
  <si>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</si>
  <si>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</si>
  <si>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</si>
  <si>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</si>
  <si>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</si>
  <si>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</si>
  <si>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</si>
  <si>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</si>
  <si>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</si>
  <si>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</si>
  <si>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</si>
  <si>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</si>
  <si>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</si>
  <si>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</si>
  <si>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</si>
  <si>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</si>
  <si>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</si>
  <si>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</si>
  <si>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</si>
  <si>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</si>
  <si>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</si>
  <si>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</si>
  <si>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</si>
  <si>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</si>
  <si>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</si>
  <si>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</si>
  <si>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</si>
  <si>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</si>
  <si>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</si>
  <si>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</si>
  <si>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</si>
  <si>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</si>
  <si>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</si>
  <si>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</si>
  <si>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</si>
  <si>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</si>
  <si>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</si>
  <si>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</si>
  <si>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</si>
  <si>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</si>
  <si>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</si>
  <si>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</si>
  <si>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</si>
  <si>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</si>
  <si>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</si>
  <si>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</si>
  <si>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</si>
  <si>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</si>
  <si>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</si>
  <si>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</si>
  <si>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</si>
  <si>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</si>
  <si>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</si>
  <si>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</si>
  <si>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</si>
  <si>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</si>
  <si>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</si>
  <si>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</si>
  <si>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</si>
  <si>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</si>
  <si>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</si>
  <si>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</si>
  <si>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</si>
  <si>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</si>
  <si>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</si>
  <si>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</si>
  <si>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</si>
  <si>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</si>
  <si>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</si>
  <si>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</si>
  <si>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</si>
  <si>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</si>
  <si>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</si>
  <si>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</si>
  <si>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</si>
  <si>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</si>
  <si>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</si>
  <si>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</si>
  <si>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</si>
  <si>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</si>
  <si>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</si>
  <si>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</si>
  <si>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</si>
  <si>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</si>
  <si>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</si>
  <si>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</si>
  <si>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</si>
  <si>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</si>
  <si>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</si>
  <si>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</si>
  <si>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</si>
  <si>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</si>
  <si>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</si>
  <si>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</si>
  <si>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</si>
  <si>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</si>
  <si>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</si>
  <si>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</si>
  <si>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</si>
  <si>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</si>
  <si>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</si>
  <si>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</si>
  <si>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</si>
  <si>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</si>
  <si>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</si>
  <si>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</si>
  <si>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</si>
  <si>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</si>
  <si>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</si>
  <si>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</si>
  <si>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</si>
  <si>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</si>
  <si>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</si>
  <si>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</si>
  <si>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</si>
  <si>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</si>
  <si>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</si>
  <si>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</si>
  <si>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</si>
  <si>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</si>
  <si>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</si>
  <si>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</si>
  <si>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</si>
  <si>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</si>
  <si>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</si>
  <si>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</si>
  <si>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</si>
  <si>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</si>
  <si>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</si>
  <si>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</si>
  <si>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</si>
  <si>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</si>
  <si>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</si>
  <si>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</si>
  <si>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</si>
  <si>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</si>
  <si>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</si>
  <si>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</si>
  <si>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</si>
  <si>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</si>
  <si>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</si>
  <si>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</si>
  <si>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</si>
  <si>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</si>
  <si>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</si>
  <si>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</si>
  <si>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</si>
  <si>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</si>
  <si>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</si>
  <si>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</si>
  <si>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</si>
  <si>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</si>
  <si>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</si>
  <si>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</si>
  <si>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</si>
  <si>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</si>
  <si>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</si>
  <si>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</si>
  <si>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</si>
  <si>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</si>
  <si>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</si>
  <si>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</si>
  <si>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</si>
  <si>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</si>
  <si>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</si>
  <si>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</si>
  <si>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</si>
  <si>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</si>
  <si>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</si>
  <si>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</si>
  <si>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</si>
  <si>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</si>
  <si>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</si>
  <si>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</si>
  <si>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</si>
  <si>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</si>
  <si>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</si>
  <si>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</si>
  <si>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</si>
  <si>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</si>
  <si>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</si>
  <si>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</si>
  <si>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</si>
  <si>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</si>
  <si>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</si>
  <si>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</si>
  <si>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</si>
  <si>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</si>
  <si>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</si>
  <si>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</si>
  <si>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</si>
  <si>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</si>
  <si>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</si>
  <si>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</si>
  <si>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</si>
  <si>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</si>
  <si>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</si>
  <si>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</si>
  <si>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</si>
  <si>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</si>
  <si>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</si>
  <si>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</si>
  <si>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</si>
  <si>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</si>
  <si>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</si>
  <si>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</si>
  <si>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</si>
  <si>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</si>
  <si>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</si>
  <si>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</si>
  <si>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</si>
  <si>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</si>
  <si>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</si>
  <si>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</si>
  <si>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</si>
  <si>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</si>
  <si>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</si>
  <si>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</si>
  <si>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</si>
  <si>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</si>
  <si>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</si>
  <si>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</si>
  <si>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</si>
  <si>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</si>
  <si>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</si>
  <si>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</si>
  <si>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</si>
  <si>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</si>
  <si>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</si>
  <si>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</si>
  <si>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</si>
  <si>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</si>
  <si>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</si>
  <si>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</si>
  <si>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</si>
  <si>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</si>
  <si>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</si>
  <si>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</si>
  <si>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</si>
  <si>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</si>
  <si>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</si>
  <si>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</si>
  <si>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</si>
  <si>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</si>
  <si>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</si>
  <si>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</si>
  <si>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</si>
  <si>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</si>
  <si>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</si>
  <si>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</si>
  <si>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</si>
  <si>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</si>
  <si>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</si>
  <si>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</si>
  <si>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</si>
  <si>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</si>
  <si>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</si>
  <si>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</si>
  <si>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</si>
  <si>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</si>
  <si>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</si>
  <si>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</si>
  <si>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</si>
  <si>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</si>
  <si>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</si>
  <si>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</si>
  <si>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</si>
  <si>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</si>
  <si>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</si>
  <si>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</si>
  <si>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</si>
  <si>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</si>
  <si>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</si>
  <si>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</si>
  <si>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</si>
  <si>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</si>
  <si>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</si>
  <si>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</si>
  <si>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</si>
  <si>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</si>
  <si>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</si>
  <si>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</si>
  <si>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</si>
  <si>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</si>
  <si>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</si>
  <si>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</si>
  <si>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</si>
  <si>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</si>
  <si>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</si>
  <si>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</si>
  <si>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</si>
  <si>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</si>
  <si>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</si>
  <si>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</si>
  <si>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</si>
  <si>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</si>
  <si>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</si>
  <si>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</si>
  <si>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</si>
  <si>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</si>
  <si>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</si>
  <si>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</si>
  <si>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</si>
  <si>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</si>
  <si>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</si>
  <si>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</si>
  <si>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</si>
  <si>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</si>
  <si>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</si>
  <si>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</si>
  <si>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</si>
  <si>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</si>
  <si>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</si>
  <si>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</si>
  <si>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</si>
  <si>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</si>
  <si>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</si>
  <si>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</si>
  <si>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</si>
  <si>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</si>
  <si>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</si>
  <si>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</si>
  <si>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</si>
  <si>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</si>
  <si>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</si>
  <si>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</si>
  <si>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</si>
  <si>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</si>
  <si>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</si>
  <si>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</si>
  <si>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</si>
  <si>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</si>
  <si>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</si>
  <si>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</si>
  <si>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</si>
  <si>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</si>
  <si>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</si>
  <si>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</si>
  <si>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</si>
  <si>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</si>
  <si>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</si>
  <si>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</si>
  <si>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</si>
  <si>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</si>
  <si>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</si>
  <si>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</si>
  <si>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</si>
  <si>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</si>
  <si>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</si>
  <si>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</si>
  <si>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</si>
  <si>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</si>
  <si>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</si>
  <si>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</si>
  <si>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</si>
  <si>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</si>
  <si>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</si>
  <si>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</si>
  <si>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</si>
  <si>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</si>
  <si>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</si>
  <si>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</si>
  <si>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</si>
  <si>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</si>
  <si>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</si>
  <si>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</si>
  <si>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</si>
  <si>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</si>
  <si>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</si>
  <si>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</si>
  <si>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</si>
  <si>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</si>
  <si>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</si>
  <si>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</si>
  <si>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</si>
  <si>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</si>
  <si>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</si>
  <si>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</si>
  <si>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</si>
  <si>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</si>
  <si>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</si>
  <si>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</si>
  <si>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</si>
  <si>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</si>
  <si>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</si>
  <si>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</si>
  <si>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</si>
  <si>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</si>
  <si>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</si>
  <si>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</si>
  <si>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</si>
  <si>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</si>
  <si>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</si>
  <si>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</si>
  <si>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</si>
  <si>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</si>
  <si>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</si>
  <si>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</si>
  <si>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</si>
  <si>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</si>
  <si>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</si>
  <si>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</si>
  <si>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</si>
  <si>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</si>
  <si>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</si>
  <si>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</si>
  <si>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</si>
  <si>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</si>
  <si>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</si>
  <si>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</si>
  <si>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</si>
  <si>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</si>
  <si>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</si>
  <si>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</si>
  <si>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</si>
  <si>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</si>
  <si>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</si>
  <si>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</si>
  <si>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</si>
  <si>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</si>
  <si>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</si>
  <si>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</si>
  <si>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</si>
  <si>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</si>
  <si>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</si>
  <si>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</si>
  <si>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</si>
  <si>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</si>
  <si>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</si>
  <si>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</si>
  <si>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</si>
  <si>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</si>
  <si>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</si>
  <si>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</si>
  <si>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</si>
  <si>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</si>
  <si>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</si>
  <si>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</si>
  <si>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</si>
  <si>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</si>
  <si>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</si>
  <si>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</si>
  <si>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</si>
  <si>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</si>
  <si>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</si>
  <si>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</si>
  <si>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</si>
  <si>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</si>
  <si>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</si>
  <si>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</si>
  <si>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</si>
  <si>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</si>
  <si>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</si>
  <si>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</si>
  <si>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</si>
  <si>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</si>
  <si>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</si>
  <si>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</si>
  <si>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</si>
  <si>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</si>
  <si>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</si>
  <si>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</si>
  <si>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</si>
  <si>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</si>
  <si>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</si>
  <si>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</si>
  <si>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</si>
  <si>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</si>
  <si>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</si>
  <si>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</si>
  <si>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</si>
  <si>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</si>
  <si>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</si>
  <si>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</si>
  <si>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</si>
  <si>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</si>
  <si>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</si>
  <si>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</si>
  <si>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</si>
  <si>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</si>
  <si>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</si>
  <si>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</si>
  <si>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</si>
  <si>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</si>
  <si>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</si>
  <si>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</si>
  <si>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</si>
  <si>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</si>
  <si>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</si>
  <si>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</si>
  <si>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</si>
  <si>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</si>
  <si>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</si>
  <si>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</si>
  <si>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</si>
  <si>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</si>
  <si>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</si>
  <si>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</si>
  <si>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</si>
  <si>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</si>
  <si>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</si>
  <si>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</si>
  <si>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</si>
  <si>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</si>
  <si>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</si>
  <si>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</si>
  <si>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</si>
  <si>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</si>
  <si>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</si>
  <si>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</si>
  <si>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</si>
  <si>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</si>
  <si>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</si>
  <si>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</si>
  <si>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</si>
  <si>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</si>
  <si>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</si>
  <si>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</si>
  <si>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</si>
  <si>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</si>
  <si>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</si>
  <si>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</si>
  <si>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</si>
  <si>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</si>
  <si>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</si>
  <si>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</si>
  <si>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</si>
  <si>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</si>
  <si>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</si>
  <si>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</si>
  <si>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</si>
  <si>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</si>
  <si>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</si>
  <si>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</si>
  <si>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</si>
  <si>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</si>
  <si>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</si>
  <si>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</si>
  <si>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</si>
  <si>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</si>
  <si>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</si>
  <si>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</si>
  <si>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</si>
  <si>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</si>
  <si>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</si>
  <si>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</si>
  <si>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</si>
  <si>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</si>
  <si>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</si>
  <si>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</si>
  <si>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</si>
  <si>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</si>
  <si>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</si>
  <si>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</si>
  <si>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</si>
  <si>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</si>
  <si>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</si>
  <si>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</si>
  <si>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</si>
  <si>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</si>
  <si>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</si>
  <si>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</si>
  <si>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</si>
  <si>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</si>
  <si>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</si>
  <si>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</si>
  <si>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</si>
  <si>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</si>
  <si>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</si>
  <si>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</si>
  <si>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</si>
  <si>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</si>
  <si>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</si>
  <si>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</si>
  <si>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</si>
  <si>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</si>
  <si>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</si>
  <si>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</si>
  <si>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</si>
  <si>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</si>
  <si>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</si>
  <si>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</si>
  <si>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</si>
  <si>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</si>
  <si>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</si>
  <si>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</si>
  <si>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</si>
  <si>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</si>
  <si>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</si>
  <si>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</si>
  <si>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</si>
  <si>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</si>
  <si>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</si>
  <si>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</si>
  <si>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</si>
  <si>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</si>
  <si>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</si>
  <si>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</si>
  <si>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</si>
  <si>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</si>
  <si>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</si>
  <si>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</si>
  <si>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</si>
  <si>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</si>
  <si>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</si>
  <si>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</si>
  <si>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</si>
  <si>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</si>
  <si>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</si>
  <si>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</si>
  <si>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</si>
  <si>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</si>
  <si>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</si>
  <si>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</si>
  <si>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</si>
  <si>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</si>
  <si>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</si>
  <si>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</si>
  <si>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</si>
  <si>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</si>
  <si>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</si>
  <si>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</si>
  <si>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</si>
  <si>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</si>
  <si>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</si>
  <si>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</si>
  <si>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</si>
  <si>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</si>
  <si>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</si>
  <si>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</si>
  <si>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</si>
  <si>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</si>
  <si>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</si>
  <si>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</si>
  <si>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</si>
  <si>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</si>
  <si>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</si>
  <si>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</si>
  <si>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</si>
  <si>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</si>
  <si>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</si>
  <si>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</si>
  <si>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</si>
  <si>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</si>
  <si>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</si>
  <si>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</si>
  <si>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</si>
  <si>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</si>
  <si>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</si>
  <si>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</si>
  <si>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</si>
  <si>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</si>
  <si>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</si>
  <si>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</si>
  <si>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</si>
  <si>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</si>
  <si>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</si>
  <si>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</si>
  <si>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</si>
  <si>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</si>
  <si>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</si>
  <si>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</si>
  <si>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</si>
  <si>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</si>
  <si>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</si>
  <si>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</si>
  <si>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</si>
  <si>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</si>
  <si>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</si>
  <si>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</si>
  <si>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</si>
  <si>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</si>
  <si>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</si>
  <si>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</si>
  <si>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</si>
  <si>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</si>
  <si>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</si>
  <si>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</si>
  <si>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</si>
  <si>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</si>
  <si>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</si>
  <si>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</si>
  <si>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</si>
  <si>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</si>
  <si>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</si>
  <si>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</si>
  <si>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</si>
  <si>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</si>
  <si>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</si>
  <si>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</si>
  <si>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</si>
  <si>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</si>
  <si>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</si>
  <si>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</si>
  <si>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</si>
  <si>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</si>
  <si>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</si>
  <si>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</si>
  <si>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</si>
  <si>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</si>
  <si>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</si>
  <si>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</si>
  <si>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</si>
  <si>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</si>
  <si>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</si>
  <si>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</si>
  <si>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</si>
  <si>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</si>
  <si>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</si>
  <si>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</si>
  <si>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</si>
  <si>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</si>
  <si>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</si>
  <si>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</si>
  <si>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</si>
  <si>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</si>
  <si>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</si>
  <si>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</si>
  <si>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</si>
  <si>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</si>
  <si>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</si>
  <si>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</si>
  <si>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</si>
  <si>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</si>
  <si>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</si>
  <si>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</si>
  <si>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</si>
  <si>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</si>
  <si>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</si>
  <si>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</si>
  <si>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</si>
  <si>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</si>
  <si>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</si>
  <si>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</si>
  <si>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</si>
  <si>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 xml:space="preserve">AMCAL Clover Fund, LP </t>
  </si>
  <si>
    <t xml:space="preserve">Clover Apartments </t>
  </si>
  <si>
    <t>Sacramento Housing and Redevelopment Agency</t>
  </si>
  <si>
    <t>Ms. Christina Weichert, Assistant Director</t>
  </si>
  <si>
    <t>801 12th St., 12 Floor</t>
  </si>
  <si>
    <t xml:space="preserve">Sacramento   </t>
  </si>
  <si>
    <t>cweichert@shra.org</t>
  </si>
  <si>
    <t>7543-7595 Wainscott Way</t>
  </si>
  <si>
    <t>049-0570-001; 049-0570-002;049-0570-003; 049-0570-004;  049-0570-005; 049-0570-006</t>
  </si>
  <si>
    <t>40%/60%</t>
  </si>
  <si>
    <t>30141 Agoura Rd Ste 100</t>
  </si>
  <si>
    <t>Agoura</t>
  </si>
  <si>
    <t>CA</t>
  </si>
  <si>
    <t>Arjun Nagarkatti</t>
  </si>
  <si>
    <t>rkianfar@amcalhousing.com</t>
  </si>
  <si>
    <t>AMCAL Multi-Housing, Inc.</t>
  </si>
  <si>
    <t>Administrative GP</t>
  </si>
  <si>
    <t>Brandon Affordable Housing, LLC</t>
  </si>
  <si>
    <t>Managing GP</t>
  </si>
  <si>
    <t>531 Encinitas Boulevard, Suite 206</t>
  </si>
  <si>
    <t>Encinitas</t>
  </si>
  <si>
    <t>Joseph M. Michaels</t>
  </si>
  <si>
    <t>jmichaels@laspalmashousing.com</t>
  </si>
  <si>
    <t xml:space="preserve">Kingdom Development, Inc. </t>
  </si>
  <si>
    <t>6451 Box Springs Road</t>
  </si>
  <si>
    <t>William Leach</t>
  </si>
  <si>
    <t>William@kingdomdevelopment.net</t>
  </si>
  <si>
    <t>Consultant</t>
  </si>
  <si>
    <t xml:space="preserve">AMCAL Enterprises, Inc. </t>
  </si>
  <si>
    <t>BSB Design, Inc.</t>
  </si>
  <si>
    <t>4601 Westown Parkway, Suite 208</t>
  </si>
  <si>
    <t>Agoura Hills, CA 91301</t>
  </si>
  <si>
    <t>West Des Moines, IA 50266</t>
  </si>
  <si>
    <t>Ramir Kianfar</t>
  </si>
  <si>
    <t>Dirk D. Thelen</t>
  </si>
  <si>
    <t>Bocarsly Emden Cowan Esmail &amp; Arndt LLP</t>
  </si>
  <si>
    <t>AMCAL General Contractors, Inc.</t>
  </si>
  <si>
    <t>633 West Fifth Street, Suite 5880</t>
  </si>
  <si>
    <t>Los Angeles, CA 90071</t>
  </si>
  <si>
    <t>Kyle Arndt</t>
  </si>
  <si>
    <t>karndt@bocarsly.com</t>
  </si>
  <si>
    <t>Novogradac</t>
  </si>
  <si>
    <t>211 E. Ocean Blvd. SE Suite 240</t>
  </si>
  <si>
    <t>Bellevue, WA 98004</t>
  </si>
  <si>
    <t>Craig Staswick</t>
  </si>
  <si>
    <t>craig.staswick@novoco.com</t>
  </si>
  <si>
    <t>Hudson Housing Capital</t>
  </si>
  <si>
    <t>45 Rockefeller Plaza #2580</t>
  </si>
  <si>
    <t>New York, NY 10111</t>
  </si>
  <si>
    <t>Blake Davis</t>
  </si>
  <si>
    <t>blake.davis@hudsonhousing.com</t>
  </si>
  <si>
    <t>Riverside, CA 92507</t>
  </si>
  <si>
    <t>Market Insights</t>
  </si>
  <si>
    <t>30021 Tomas St., Suite 300</t>
  </si>
  <si>
    <t>Rancho Santa Margarita, CA 92688</t>
  </si>
  <si>
    <t>Buck Panchal</t>
  </si>
  <si>
    <t>panchal@marketinsights.info</t>
  </si>
  <si>
    <t>FPI Management, Inc.</t>
  </si>
  <si>
    <t>3187 Red Hill Avenue, Suite 220</t>
  </si>
  <si>
    <t>Costa Mesa, CA 92626</t>
  </si>
  <si>
    <t>Michelle Scoullar</t>
  </si>
  <si>
    <t>michelle.scoullar@fpimgt.com</t>
  </si>
  <si>
    <t>Other (Specify below)</t>
  </si>
  <si>
    <t>RMX-TO</t>
  </si>
  <si>
    <t>30.55 DU/Acre</t>
  </si>
  <si>
    <t>RMX-TO 30.55 DU/Acre</t>
  </si>
  <si>
    <t>no</t>
  </si>
  <si>
    <t>45'</t>
  </si>
  <si>
    <t>AC</t>
  </si>
  <si>
    <t>CUAC</t>
  </si>
  <si>
    <t>Provided</t>
  </si>
  <si>
    <t>Not Applicable</t>
  </si>
  <si>
    <t xml:space="preserve">AMCAL Multi-Housing Inc. </t>
  </si>
  <si>
    <t>Citi Community Capital - TE</t>
  </si>
  <si>
    <t>Citi Community Capital - Taxable</t>
  </si>
  <si>
    <t>NOI</t>
  </si>
  <si>
    <t>Deferred Costs</t>
  </si>
  <si>
    <t>Fixed</t>
  </si>
  <si>
    <t xml:space="preserve">CMFA </t>
  </si>
  <si>
    <t>2111 Palomar Airport Rd, Suite 320</t>
  </si>
  <si>
    <t>Carlsbad, CA 92011</t>
  </si>
  <si>
    <t>Anthony Stubbs</t>
  </si>
  <si>
    <t>astubbs@cmfa-ca.com</t>
  </si>
  <si>
    <t>Bond Isuer Fees</t>
  </si>
  <si>
    <t>2700 Post Oak Boulevard, Suite 510</t>
  </si>
  <si>
    <t>Houston, TX 77056</t>
  </si>
  <si>
    <t>Fisher Sutterfield</t>
  </si>
  <si>
    <t>Office supplies, postage, expenses, copier, software licensing, toner</t>
  </si>
  <si>
    <t>Fire safety, Supplies, HVAC, Tools, &amp; Appliances</t>
  </si>
  <si>
    <t>555 Capitol Mall, Suite 900, Sacramento, CA 95814</t>
  </si>
  <si>
    <t>651 Bannon Street</t>
  </si>
  <si>
    <t>Lena Victoria Howell</t>
  </si>
  <si>
    <t>Kevin F Ramos</t>
  </si>
  <si>
    <t>Chief Investment Officer</t>
  </si>
  <si>
    <t>n/a</t>
  </si>
  <si>
    <t>Payroll tax and benefits</t>
  </si>
  <si>
    <t>Above residual receipts line for cash flow</t>
  </si>
  <si>
    <t>HCD AHSC-AHD</t>
  </si>
  <si>
    <t>January</t>
  </si>
  <si>
    <t>Agoura Hills</t>
  </si>
  <si>
    <t>President of Sole Member of the AGP</t>
  </si>
  <si>
    <t>11 courtyard walk up plus 1 single story community building</t>
  </si>
  <si>
    <t>Citi Community Capital - Perm Loan</t>
  </si>
  <si>
    <t>Las Palmas Foundation</t>
  </si>
  <si>
    <t>Buzz Oates Development, LP, a California limited partnership, as to an undivided ½ interest;Buzz Oates LLC, a California limited liability company, as to an undivided ½ interest</t>
  </si>
  <si>
    <t>dthelen@BSBDesign.com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</si>
</sst>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912">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cellStyleXfs>
  <cellXfs count="2691">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168" fontId="55" fillId="5" borderId="11" xfId="569" applyNumberFormat="1" applyFont="1" applyFill="1" applyBorder="1" applyAlignment="1" applyProtection="1">
      <alignment vertical="top" wrapText="1"/>
      <protection locked="0"/>
    </xf>
    <xf numFmtId="0" fontId="58" fillId="0" borderId="0" xfId="0" applyFont="1" applyAlignment="1" applyProtection="1">
      <alignment vertical="top" wrapText="1"/>
      <protection locked="0"/>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9" fillId="0" borderId="0" xfId="0" applyFont="1" applyAlignment="1">
      <alignment horizontal="left" vertical="top"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19"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28" fillId="0" borderId="0" xfId="543" applyFont="1" applyAlignment="1">
      <alignment horizontal="center"/>
    </xf>
    <xf numFmtId="0" fontId="0" fillId="0" borderId="0" xfId="0" applyAlignment="1">
      <alignment horizontal="center"/>
    </xf>
    <xf numFmtId="0" fontId="19" fillId="0" borderId="0" xfId="543" applyAlignment="1">
      <alignment wrapText="1"/>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19" fillId="0" borderId="11" xfId="543" applyNumberFormat="1" applyBorder="1" applyAlignment="1">
      <alignment horizontal="center"/>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7" fillId="0" borderId="0" xfId="0" applyFont="1" applyAlignment="1">
      <alignment horizontal="center"/>
    </xf>
    <xf numFmtId="168" fontId="28" fillId="0" borderId="4" xfId="0" applyNumberFormat="1" applyFont="1" applyBorder="1" applyAlignment="1">
      <alignment horizontal="center"/>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5" xfId="0" applyNumberFormat="1" applyFont="1" applyBorder="1" applyAlignment="1">
      <alignment horizontal="center"/>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0" fontId="28" fillId="5" borderId="4" xfId="0" applyFont="1" applyFill="1" applyBorder="1" applyAlignment="1" applyProtection="1">
      <alignment horizontal="left"/>
      <protection locked="0"/>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8" fillId="5" borderId="4" xfId="0" applyFont="1" applyFill="1" applyBorder="1" applyAlignment="1" applyProtection="1">
      <alignment wrapText="1"/>
      <protection locked="0"/>
    </xf>
    <xf numFmtId="1" fontId="28" fillId="5" borderId="11" xfId="0" applyNumberFormat="1" applyFont="1" applyFill="1" applyBorder="1" applyAlignment="1" applyProtection="1">
      <alignment horizontal="center"/>
      <protection locked="0"/>
    </xf>
    <xf numFmtId="0" fontId="2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6" fillId="0" borderId="11" xfId="0" applyFont="1" applyBorder="1" applyAlignment="1">
      <alignment horizontal="center" vertical="center" wrapText="1"/>
    </xf>
    <xf numFmtId="0" fontId="19" fillId="5" borderId="11" xfId="0" applyFont="1" applyFill="1" applyBorder="1" applyAlignment="1" applyProtection="1">
      <alignment vertical="center" wrapText="1"/>
      <protection locked="0"/>
    </xf>
    <xf numFmtId="0" fontId="19" fillId="0" borderId="1" xfId="0" applyFont="1" applyBorder="1" applyAlignment="1">
      <alignment horizontal="center" vertical="top" wrapText="1"/>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28" fillId="0" borderId="0" xfId="0" applyFont="1" applyAlignment="1">
      <alignment horizontal="left" vertical="top" wrapText="1"/>
    </xf>
    <xf numFmtId="0" fontId="19" fillId="5" borderId="6" xfId="0" applyFont="1" applyFill="1" applyBorder="1" applyAlignment="1" applyProtection="1">
      <alignment horizontal="left"/>
      <protection locked="0"/>
    </xf>
    <xf numFmtId="0" fontId="28" fillId="5" borderId="6" xfId="0" applyFont="1" applyFill="1" applyBorder="1" applyAlignment="1" applyProtection="1">
      <alignment horizontal="left"/>
      <protection locked="0"/>
    </xf>
    <xf numFmtId="168" fontId="28"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19" fillId="5" borderId="11" xfId="0" applyFont="1" applyFill="1" applyBorder="1" applyAlignment="1" applyProtection="1">
      <alignment horizontal="left" vertical="center" wrapText="1"/>
      <protection locked="0"/>
    </xf>
    <xf numFmtId="166" fontId="28"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5" fillId="3" borderId="0" xfId="0" applyFont="1" applyFill="1" applyAlignment="1">
      <alignment horizontal="center" vertical="center"/>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0" fontId="19"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6" fillId="0" borderId="11" xfId="0" applyFont="1" applyBorder="1" applyAlignment="1">
      <alignment horizontal="center" vertical="center"/>
    </xf>
    <xf numFmtId="0" fontId="28" fillId="2" borderId="11" xfId="0" applyFont="1" applyFill="1" applyBorder="1" applyAlignment="1">
      <alignment horizontal="center"/>
    </xf>
    <xf numFmtId="0" fontId="0" fillId="0" borderId="11" xfId="0" applyBorder="1" applyAlignment="1">
      <alignment horizontal="center"/>
    </xf>
    <xf numFmtId="0" fontId="28" fillId="45" borderId="11" xfId="0" applyFont="1" applyFill="1" applyBorder="1" applyAlignment="1">
      <alignment horizontal="center"/>
    </xf>
    <xf numFmtId="0" fontId="19" fillId="0" borderId="11" xfId="543"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28" fillId="0" borderId="3" xfId="0" applyFont="1" applyBorder="1" applyAlignment="1">
      <alignment horizontal="center"/>
    </xf>
    <xf numFmtId="0" fontId="28" fillId="0" borderId="5" xfId="0" applyFont="1"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19" fillId="0" borderId="4" xfId="0" applyFont="1" applyBorder="1" applyAlignment="1">
      <alignment horizontal="center"/>
    </xf>
    <xf numFmtId="0" fontId="19" fillId="0" borderId="11"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9" fillId="0" borderId="3" xfId="0" applyFont="1" applyBorder="1"/>
    <xf numFmtId="0" fontId="19" fillId="0" borderId="4" xfId="0" applyFont="1" applyBorder="1"/>
    <xf numFmtId="0" fontId="19" fillId="0" borderId="5" xfId="0" applyFont="1" applyBorder="1"/>
    <xf numFmtId="0" fontId="28" fillId="5" borderId="6" xfId="271" applyFill="1" applyBorder="1" applyProtection="1">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6" fillId="0" borderId="6" xfId="0" applyFont="1" applyBorder="1" applyAlignment="1">
      <alignment horizontal="center"/>
    </xf>
    <xf numFmtId="9" fontId="19" fillId="5" borderId="3" xfId="0" applyNumberFormat="1" applyFont="1" applyFill="1" applyBorder="1" applyAlignment="1" applyProtection="1">
      <alignment horizontal="right"/>
      <protection locked="0"/>
    </xf>
    <xf numFmtId="0" fontId="19" fillId="0" borderId="0" xfId="543" applyAlignment="1">
      <alignment horizontal="center"/>
    </xf>
    <xf numFmtId="2" fontId="19" fillId="0" borderId="0" xfId="543" applyNumberFormat="1" applyAlignment="1">
      <alignment horizontal="center"/>
    </xf>
    <xf numFmtId="168" fontId="0" fillId="0" borderId="11" xfId="0" applyNumberFormat="1" applyBorder="1" applyAlignment="1">
      <alignment horizontal="center"/>
    </xf>
    <xf numFmtId="0" fontId="26" fillId="0" borderId="7" xfId="0" applyFont="1" applyBorder="1" applyAlignment="1">
      <alignment horizontal="center" wrapText="1"/>
    </xf>
    <xf numFmtId="168" fontId="0" fillId="5" borderId="11" xfId="0" applyNumberFormat="1" applyFill="1" applyBorder="1" applyProtection="1">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0" fillId="0" borderId="11" xfId="0" applyNumberFormat="1" applyBorder="1" applyAlignment="1">
      <alignment horizontal="right"/>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71" fontId="19" fillId="0" borderId="0" xfId="543" applyNumberFormat="1" applyAlignment="1">
      <alignment horizontal="center"/>
    </xf>
    <xf numFmtId="0" fontId="26" fillId="0" borderId="11" xfId="0" applyFont="1" applyBorder="1" applyAlignment="1">
      <alignment horizontal="center"/>
    </xf>
    <xf numFmtId="0" fontId="19"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3" fontId="28" fillId="5" borderId="11" xfId="0" applyNumberFormat="1" applyFont="1" applyFill="1" applyBorder="1" applyAlignment="1" applyProtection="1">
      <alignment horizontal="center"/>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28" fillId="0" borderId="4" xfId="0" applyFont="1" applyBorder="1" applyAlignment="1">
      <alignment horizontal="center"/>
    </xf>
    <xf numFmtId="168" fontId="157"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8" fillId="0" borderId="3" xfId="0" applyFont="1" applyBorder="1" applyAlignment="1">
      <alignment horizontal="left"/>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6"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0" fontId="28" fillId="0" borderId="11" xfId="0" applyFont="1" applyBorder="1" applyAlignment="1">
      <alignment horizontal="center"/>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9" fillId="5" borderId="4" xfId="0" applyNumberFormat="1" applyFont="1" applyFill="1" applyBorder="1" applyAlignment="1" applyProtection="1">
      <alignment horizontal="right"/>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8" fillId="5" borderId="11" xfId="0" applyFont="1" applyFill="1" applyBorder="1" applyAlignment="1" applyProtection="1">
      <alignment horizontal="center"/>
      <protection locked="0"/>
    </xf>
    <xf numFmtId="1" fontId="28" fillId="5" borderId="6"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center"/>
      <protection locked="0"/>
    </xf>
    <xf numFmtId="3" fontId="0" fillId="0" borderId="6" xfId="0" applyNumberFormat="1" applyBorder="1" applyAlignment="1">
      <alignment horizontal="right"/>
    </xf>
    <xf numFmtId="0" fontId="19" fillId="5" borderId="6" xfId="0" applyFont="1" applyFill="1" applyBorder="1" applyAlignment="1" applyProtection="1">
      <alignment horizontal="center"/>
      <protection locked="0"/>
    </xf>
    <xf numFmtId="0" fontId="19"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19"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8" fillId="0" borderId="6" xfId="0" applyFont="1" applyBorder="1" applyAlignment="1">
      <alignment horizontal="left"/>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0" fontId="19" fillId="43" borderId="6" xfId="0" applyFont="1" applyFill="1" applyBorder="1" applyAlignment="1" applyProtection="1">
      <alignment vertical="center"/>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5" borderId="0" xfId="244" applyFont="1" applyFill="1" applyBorder="1" applyAlignment="1" applyProtection="1">
      <alignment horizontal="left"/>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8"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6" fillId="0" borderId="3" xfId="0" applyFont="1" applyBorder="1" applyAlignment="1">
      <alignment horizontal="center"/>
    </xf>
    <xf numFmtId="0" fontId="26" fillId="0" borderId="4" xfId="0"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0" fontId="2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38" fillId="5" borderId="6" xfId="0" applyFont="1" applyFill="1" applyBorder="1" applyAlignment="1" applyProtection="1">
      <alignment horizontal="left"/>
      <protection locked="0"/>
    </xf>
    <xf numFmtId="168" fontId="19"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26" fillId="0" borderId="5" xfId="0" applyFont="1" applyBorder="1" applyAlignment="1">
      <alignment horizontal="center"/>
    </xf>
    <xf numFmtId="0" fontId="0" fillId="0" borderId="12" xfId="0" applyBorder="1" applyAlignment="1">
      <alignment horizontal="center"/>
    </xf>
    <xf numFmtId="172" fontId="26" fillId="0" borderId="11" xfId="0" applyNumberFormat="1" applyFont="1" applyBorder="1" applyAlignment="1">
      <alignment horizontal="center" vertical="center" wrapText="1"/>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9"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6" fillId="0" borderId="10" xfId="0" applyFont="1" applyBorder="1" applyAlignment="1">
      <alignment horizontal="center"/>
    </xf>
    <xf numFmtId="3" fontId="28" fillId="0" borderId="11" xfId="0" applyNumberFormat="1" applyFont="1" applyBorder="1" applyAlignment="1">
      <alignment horizontal="center"/>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5" xfId="8736" applyFont="1" applyFill="1" applyBorder="1" applyAlignment="1">
      <alignment horizontal="center"/>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0" fontId="17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168" fontId="175" fillId="44" borderId="11" xfId="8737" applyNumberFormat="1" applyFont="1" applyFill="1" applyBorder="1" applyAlignment="1" applyProtection="1">
      <alignment horizontal="left"/>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1" fontId="178" fillId="48" borderId="70" xfId="8736" applyNumberFormat="1"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0" fontId="167" fillId="45" borderId="67"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0" fontId="173" fillId="48" borderId="11" xfId="8736"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70" fillId="48" borderId="74" xfId="8736" applyFont="1" applyFill="1" applyBorder="1" applyAlignment="1" applyProtection="1">
      <alignment horizontal="left"/>
      <protection locked="0"/>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73" fillId="48" borderId="72" xfId="8736" applyFont="1" applyFill="1" applyBorder="1" applyAlignment="1" applyProtection="1">
      <alignment horizontal="center"/>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4" fillId="45" borderId="11" xfId="8736" applyFont="1" applyFill="1" applyBorder="1" applyAlignment="1">
      <alignment horizontal="center" wrapText="1"/>
    </xf>
    <xf numFmtId="0" fontId="166" fillId="45" borderId="11" xfId="8736" applyFont="1" applyFill="1" applyBorder="1" applyAlignment="1">
      <alignment horizontal="center"/>
    </xf>
    <xf numFmtId="0" fontId="16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04" fillId="45" borderId="71"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7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5" fillId="48" borderId="11" xfId="8736" applyFont="1" applyFill="1" applyBorder="1" applyAlignment="1" applyProtection="1">
      <alignment horizontal="center"/>
      <protection locked="0"/>
    </xf>
    <xf numFmtId="14" fontId="173" fillId="48" borderId="11" xfId="8736" applyNumberFormat="1"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0" fontId="104" fillId="45" borderId="76"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7" borderId="0" xfId="8736" applyFont="1" applyFill="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17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2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26" fillId="0" borderId="0" xfId="4495" applyFont="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20" fillId="0" borderId="4" xfId="1192" applyFont="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912">
    <cellStyle name="20% - Accent1" xfId="1" builtinId="30" customBuiltin="1"/>
    <cellStyle name="20% - Accent1 10" xfId="4504" xr:uid="{00000000-0005-0000-0000-000001000000}"/>
    <cellStyle name="20% - Accent1 10 2" xfId="13830" xr:uid="{D7B3D334-4B89-4587-9D0B-94D2A4727F43}"/>
    <cellStyle name="20% - Accent1 11" xfId="8758" xr:uid="{2F735C8D-70CB-4E84-A95A-4445894745BC}"/>
    <cellStyle name="20% - Accent1 11 2" xfId="18082" xr:uid="{19175047-7C93-4DA8-A6F6-E7BE11DA2526}"/>
    <cellStyle name="20% - Accent1 12" xfId="9613" xr:uid="{3CA63436-8182-4DB2-8A24-7F12A27241F3}"/>
    <cellStyle name="20% - Accent1 2" xfId="2" xr:uid="{00000000-0005-0000-0000-000002000000}"/>
    <cellStyle name="20% - Accent1 2 10" xfId="8797" xr:uid="{7F4BEAE6-CC35-4B07-89BD-8FC5D6B3D35B}"/>
    <cellStyle name="20% - Accent1 2 10 2" xfId="18121" xr:uid="{267541B3-EAC8-43B4-A6A2-F1A366C04024}"/>
    <cellStyle name="20% - Accent1 2 11" xfId="9614" xr:uid="{1DAE03F4-EED3-469D-9982-A55DFA9C172B}"/>
    <cellStyle name="20% - Accent1 2 2" xfId="3" xr:uid="{00000000-0005-0000-0000-000003000000}"/>
    <cellStyle name="20% - Accent1 2 2 10" xfId="9615" xr:uid="{77D1EC0B-3D45-4400-AF0F-9100A9518A41}"/>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06F58531-3496-454C-8745-E7E39A440FC9}"/>
    <cellStyle name="20% - Accent1 2 2 2 2 2 3" xfId="12175" xr:uid="{1617E8E5-46BF-4065-BCE0-580E369694A2}"/>
    <cellStyle name="20% - Accent1 2 2 2 2 3" xfId="4921" xr:uid="{00000000-0005-0000-0000-000008000000}"/>
    <cellStyle name="20% - Accent1 2 2 2 2 3 2" xfId="14247" xr:uid="{28630CCB-C5CA-4271-8974-3885F678F020}"/>
    <cellStyle name="20% - Accent1 2 2 2 2 4" xfId="9532" xr:uid="{D5FAB462-C5A9-4306-AA37-C118C84F9393}"/>
    <cellStyle name="20% - Accent1 2 2 2 2 4 2" xfId="18847" xr:uid="{B0581820-496A-4EAC-AC98-7AEEA028D6A1}"/>
    <cellStyle name="20% - Accent1 2 2 2 2 5" xfId="10030" xr:uid="{1AD46AD4-B588-4551-AD49-62EEEB2FA7A5}"/>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D88A775A-DC2B-4686-86A2-2EFBBEA2C817}"/>
    <cellStyle name="20% - Accent1 2 2 2 3 2 3" xfId="12588" xr:uid="{DBB7FD50-D5BD-4398-A150-7AED2C609663}"/>
    <cellStyle name="20% - Accent1 2 2 2 3 3" xfId="5334" xr:uid="{00000000-0005-0000-0000-00000C000000}"/>
    <cellStyle name="20% - Accent1 2 2 2 3 3 2" xfId="14660" xr:uid="{0F34322F-1365-455F-8C76-4B30C0B53932}"/>
    <cellStyle name="20% - Accent1 2 2 2 3 4" xfId="10443" xr:uid="{035B4030-2C52-425A-8296-EA941E48B8CF}"/>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97781F7E-AAB4-49F9-A186-47E1BA991288}"/>
    <cellStyle name="20% - Accent1 2 2 2 4 2 3" xfId="13001" xr:uid="{DFB22BA4-057B-442A-BA1E-3B7988272AC5}"/>
    <cellStyle name="20% - Accent1 2 2 2 4 3" xfId="5747" xr:uid="{00000000-0005-0000-0000-000010000000}"/>
    <cellStyle name="20% - Accent1 2 2 2 4 3 2" xfId="15073" xr:uid="{64F19D5C-D036-4869-8704-1E5C99D5268F}"/>
    <cellStyle name="20% - Accent1 2 2 2 4 4" xfId="10856" xr:uid="{3CC6C304-6F43-49DF-BB8D-96E784FB3843}"/>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035B0EC2-4B65-4970-BFAC-00CDD448783A}"/>
    <cellStyle name="20% - Accent1 2 2 2 5 2 3" xfId="13414" xr:uid="{1315FD18-3E0E-44C2-98D6-120575DD35EE}"/>
    <cellStyle name="20% - Accent1 2 2 2 5 3" xfId="6160" xr:uid="{00000000-0005-0000-0000-000014000000}"/>
    <cellStyle name="20% - Accent1 2 2 2 5 3 2" xfId="15486" xr:uid="{55886298-0E6E-4636-9FBB-850513F3AC5D}"/>
    <cellStyle name="20% - Accent1 2 2 2 5 4" xfId="11269" xr:uid="{AF145240-9B1C-449B-B9E2-A9ED02E83E22}"/>
    <cellStyle name="20% - Accent1 2 2 2 6" xfId="2267" xr:uid="{00000000-0005-0000-0000-000015000000}"/>
    <cellStyle name="20% - Accent1 2 2 2 6 2" xfId="6573" xr:uid="{00000000-0005-0000-0000-000016000000}"/>
    <cellStyle name="20% - Accent1 2 2 2 6 2 2" xfId="15899" xr:uid="{9C103829-C65E-4B91-80F6-243874C3648F}"/>
    <cellStyle name="20% - Accent1 2 2 2 6 3" xfId="11682" xr:uid="{1D815D40-BE20-4FE3-9395-DEC6DC50D682}"/>
    <cellStyle name="20% - Accent1 2 2 2 7" xfId="4507" xr:uid="{00000000-0005-0000-0000-000017000000}"/>
    <cellStyle name="20% - Accent1 2 2 2 7 2" xfId="13833" xr:uid="{1BF62683-1A8C-4121-88AC-FC92AC047301}"/>
    <cellStyle name="20% - Accent1 2 2 2 8" xfId="9107" xr:uid="{4168D01E-823F-4E8F-9A1D-70697AC1F241}"/>
    <cellStyle name="20% - Accent1 2 2 2 8 2" xfId="18431" xr:uid="{7B22BC57-D69D-4918-B1FD-6C92E38EB416}"/>
    <cellStyle name="20% - Accent1 2 2 2 9" xfId="9616" xr:uid="{A5A1C3A8-3DEF-4E25-B22A-6EA2C328BB3E}"/>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51677A7D-7990-4A03-BDE7-ED941E903CC8}"/>
    <cellStyle name="20% - Accent1 2 2 3 2 3" xfId="12174" xr:uid="{644F92A1-CCD6-447A-A13F-C9618F6E67F7}"/>
    <cellStyle name="20% - Accent1 2 2 3 3" xfId="4920" xr:uid="{00000000-0005-0000-0000-00001B000000}"/>
    <cellStyle name="20% - Accent1 2 2 3 3 2" xfId="14246" xr:uid="{1546CEA6-2582-4D58-A363-E91FDA3683F4}"/>
    <cellStyle name="20% - Accent1 2 2 3 4" xfId="9325" xr:uid="{DE19910B-698B-4F31-B25F-3533B35DDA95}"/>
    <cellStyle name="20% - Accent1 2 2 3 4 2" xfId="18640" xr:uid="{03CCC09E-3E99-470D-B191-DBF91872DFE4}"/>
    <cellStyle name="20% - Accent1 2 2 3 5" xfId="10029" xr:uid="{83AD7304-2D70-4C16-8951-F1F69960D4CD}"/>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55741758-1255-4F87-9091-FDC6062C9D39}"/>
    <cellStyle name="20% - Accent1 2 2 4 2 3" xfId="12587" xr:uid="{10F04A18-DD5B-459E-9206-67480F4B549A}"/>
    <cellStyle name="20% - Accent1 2 2 4 3" xfId="5333" xr:uid="{00000000-0005-0000-0000-00001F000000}"/>
    <cellStyle name="20% - Accent1 2 2 4 3 2" xfId="14659" xr:uid="{63A475BB-B8E5-4C80-92FC-600C39893487}"/>
    <cellStyle name="20% - Accent1 2 2 4 4" xfId="10442" xr:uid="{80E1D11A-AB94-4153-9D10-F95D454436BF}"/>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947FCB22-B13F-4359-B3FB-D0BE30EBF3DA}"/>
    <cellStyle name="20% - Accent1 2 2 5 2 3" xfId="13000" xr:uid="{33209370-3DA4-4FCD-BB38-D40EEBE497FC}"/>
    <cellStyle name="20% - Accent1 2 2 5 3" xfId="5746" xr:uid="{00000000-0005-0000-0000-000023000000}"/>
    <cellStyle name="20% - Accent1 2 2 5 3 2" xfId="15072" xr:uid="{CA0E2B17-82F5-4FE4-839A-386F2B01170E}"/>
    <cellStyle name="20% - Accent1 2 2 5 4" xfId="10855" xr:uid="{656962BD-9035-4778-BC42-132042CF7F39}"/>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19FB6E57-6FC3-4FA5-8245-017719D67155}"/>
    <cellStyle name="20% - Accent1 2 2 6 2 3" xfId="13413" xr:uid="{9AAC022B-88DC-46AE-BFFA-5E9629587FBF}"/>
    <cellStyle name="20% - Accent1 2 2 6 3" xfId="6159" xr:uid="{00000000-0005-0000-0000-000027000000}"/>
    <cellStyle name="20% - Accent1 2 2 6 3 2" xfId="15485" xr:uid="{B40E8C34-0813-42EB-92BB-B9C959EE5307}"/>
    <cellStyle name="20% - Accent1 2 2 6 4" xfId="11268" xr:uid="{2C7BD7E7-74B1-42C1-A6DE-7333241768CA}"/>
    <cellStyle name="20% - Accent1 2 2 7" xfId="2266" xr:uid="{00000000-0005-0000-0000-000028000000}"/>
    <cellStyle name="20% - Accent1 2 2 7 2" xfId="6572" xr:uid="{00000000-0005-0000-0000-000029000000}"/>
    <cellStyle name="20% - Accent1 2 2 7 2 2" xfId="15898" xr:uid="{A38CE780-FCDF-4D8F-9EC8-4D10CD8DD9C8}"/>
    <cellStyle name="20% - Accent1 2 2 7 3" xfId="11681" xr:uid="{073A45DB-32B4-4239-8515-FC92037E94F7}"/>
    <cellStyle name="20% - Accent1 2 2 8" xfId="4506" xr:uid="{00000000-0005-0000-0000-00002A000000}"/>
    <cellStyle name="20% - Accent1 2 2 8 2" xfId="13832" xr:uid="{B7846275-69EA-4B95-928D-EB6465B0D9C8}"/>
    <cellStyle name="20% - Accent1 2 2 9" xfId="8900" xr:uid="{7D7E3EAF-DF6A-403F-8C20-66BB9757790F}"/>
    <cellStyle name="20% - Accent1 2 2 9 2" xfId="18224" xr:uid="{07EC1C34-0F40-4CC3-9F4F-7633B0655F3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C581886D-2C30-4F08-95E0-0BE6B81A1DF8}"/>
    <cellStyle name="20% - Accent1 2 3 2 2 3" xfId="12176" xr:uid="{A1A71753-8130-4687-8B59-B4DA6B895F77}"/>
    <cellStyle name="20% - Accent1 2 3 2 3" xfId="4922" xr:uid="{00000000-0005-0000-0000-00002F000000}"/>
    <cellStyle name="20% - Accent1 2 3 2 3 2" xfId="14248" xr:uid="{1C8136F2-F29A-4534-A6FB-66062E70947E}"/>
    <cellStyle name="20% - Accent1 2 3 2 4" xfId="9429" xr:uid="{CCD4BD61-3143-497B-A316-8024A8762A6C}"/>
    <cellStyle name="20% - Accent1 2 3 2 4 2" xfId="18744" xr:uid="{886810AD-635B-468C-B52E-BA0F0FBEC168}"/>
    <cellStyle name="20% - Accent1 2 3 2 5" xfId="10031" xr:uid="{E1DE476C-9F4C-4E23-A24E-E7982F6EE5D8}"/>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8CAFC414-9511-4030-830B-5D5A9A247DDF}"/>
    <cellStyle name="20% - Accent1 2 3 3 2 3" xfId="12589" xr:uid="{3057E902-4477-4BF5-B848-FB3E4E9AA477}"/>
    <cellStyle name="20% - Accent1 2 3 3 3" xfId="5335" xr:uid="{00000000-0005-0000-0000-000033000000}"/>
    <cellStyle name="20% - Accent1 2 3 3 3 2" xfId="14661" xr:uid="{A3521DA0-DE45-45C0-9ED3-0F67CB6DD73D}"/>
    <cellStyle name="20% - Accent1 2 3 3 4" xfId="10444" xr:uid="{1CF13E13-C6A8-490E-9A55-98BE06B06053}"/>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5307ACA9-834C-4B80-B5CB-549F825DBB79}"/>
    <cellStyle name="20% - Accent1 2 3 4 2 3" xfId="13002" xr:uid="{11D50E87-BA27-4123-A0AE-B925FAA5A713}"/>
    <cellStyle name="20% - Accent1 2 3 4 3" xfId="5748" xr:uid="{00000000-0005-0000-0000-000037000000}"/>
    <cellStyle name="20% - Accent1 2 3 4 3 2" xfId="15074" xr:uid="{909159CB-7BFE-48AC-B005-6A77BB68CF25}"/>
    <cellStyle name="20% - Accent1 2 3 4 4" xfId="10857" xr:uid="{84890716-248B-4973-B7D7-308FD834F289}"/>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48DF0F56-A0CB-46F7-B147-59A020801986}"/>
    <cellStyle name="20% - Accent1 2 3 5 2 3" xfId="13415" xr:uid="{467E75AA-C16D-4A2A-872D-DFEE69E3146B}"/>
    <cellStyle name="20% - Accent1 2 3 5 3" xfId="6161" xr:uid="{00000000-0005-0000-0000-00003B000000}"/>
    <cellStyle name="20% - Accent1 2 3 5 3 2" xfId="15487" xr:uid="{18F63CB0-D879-4D33-B35D-9B14C790C153}"/>
    <cellStyle name="20% - Accent1 2 3 5 4" xfId="11270" xr:uid="{FD221CE9-FC1B-4C74-9E78-DCF84C0AA072}"/>
    <cellStyle name="20% - Accent1 2 3 6" xfId="2268" xr:uid="{00000000-0005-0000-0000-00003C000000}"/>
    <cellStyle name="20% - Accent1 2 3 6 2" xfId="6574" xr:uid="{00000000-0005-0000-0000-00003D000000}"/>
    <cellStyle name="20% - Accent1 2 3 6 2 2" xfId="15900" xr:uid="{40E7E08C-9D82-497C-9A09-9AD9C21F1352}"/>
    <cellStyle name="20% - Accent1 2 3 6 3" xfId="11683" xr:uid="{ACDAD429-0911-4550-AD31-E873C8C761C8}"/>
    <cellStyle name="20% - Accent1 2 3 7" xfId="4508" xr:uid="{00000000-0005-0000-0000-00003E000000}"/>
    <cellStyle name="20% - Accent1 2 3 7 2" xfId="13834" xr:uid="{5CFCB215-C48B-4F1D-BA38-A5B2A322D252}"/>
    <cellStyle name="20% - Accent1 2 3 8" xfId="9004" xr:uid="{14A9C135-BB7B-44DD-97E1-B6B10773DEE2}"/>
    <cellStyle name="20% - Accent1 2 3 8 2" xfId="18328" xr:uid="{A5FE1BD6-4683-47FC-92DF-CEE09D63592A}"/>
    <cellStyle name="20% - Accent1 2 3 9" xfId="9617" xr:uid="{764D3E3C-22A9-414A-9845-842F499450B5}"/>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D505979E-171E-4B69-ADC2-E810D712387B}"/>
    <cellStyle name="20% - Accent1 2 4 2 3" xfId="12173" xr:uid="{036367E8-B117-428E-9293-03BA302E56DD}"/>
    <cellStyle name="20% - Accent1 2 4 3" xfId="4919" xr:uid="{00000000-0005-0000-0000-000042000000}"/>
    <cellStyle name="20% - Accent1 2 4 3 2" xfId="14245" xr:uid="{796DE38A-27E4-4FF0-BCF8-D8D550030B77}"/>
    <cellStyle name="20% - Accent1 2 4 4" xfId="9221" xr:uid="{11532E3F-E59C-4FF7-9F45-291A17A69435}"/>
    <cellStyle name="20% - Accent1 2 4 4 2" xfId="18537" xr:uid="{232C39DF-991F-4C73-9D37-487BF009EC6A}"/>
    <cellStyle name="20% - Accent1 2 4 5" xfId="10028" xr:uid="{E1573985-229E-4E8A-BDBB-382F36BB4930}"/>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DEA5B482-11D6-4557-A071-00B2DB5C8712}"/>
    <cellStyle name="20% - Accent1 2 5 2 3" xfId="12586" xr:uid="{EFD175FD-C712-4B13-BD01-F7898ECD8890}"/>
    <cellStyle name="20% - Accent1 2 5 3" xfId="5332" xr:uid="{00000000-0005-0000-0000-000046000000}"/>
    <cellStyle name="20% - Accent1 2 5 3 2" xfId="14658" xr:uid="{E9CF5790-9FA8-4DD1-ABF1-D31442EF78E9}"/>
    <cellStyle name="20% - Accent1 2 5 4" xfId="10441" xr:uid="{4E4C3225-311C-4A35-A3F5-3FF4669ADB13}"/>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3C01F3D0-3F5D-4C7B-8912-0409E7DB46CB}"/>
    <cellStyle name="20% - Accent1 2 6 2 3" xfId="12999" xr:uid="{CDBBCD21-FA39-47B8-B7EA-AB71E189095B}"/>
    <cellStyle name="20% - Accent1 2 6 3" xfId="5745" xr:uid="{00000000-0005-0000-0000-00004A000000}"/>
    <cellStyle name="20% - Accent1 2 6 3 2" xfId="15071" xr:uid="{3868D388-3E62-467F-B1B0-B268E82AF35D}"/>
    <cellStyle name="20% - Accent1 2 6 4" xfId="10854" xr:uid="{B3E11909-2C24-42A1-87BC-3774DD2E00FB}"/>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98909CAE-2B7D-41E1-B2E1-F16D9BF5CB44}"/>
    <cellStyle name="20% - Accent1 2 7 2 3" xfId="13412" xr:uid="{30A5BC84-DB0A-46C8-8309-6A0EA7468EB3}"/>
    <cellStyle name="20% - Accent1 2 7 3" xfId="6158" xr:uid="{00000000-0005-0000-0000-00004E000000}"/>
    <cellStyle name="20% - Accent1 2 7 3 2" xfId="15484" xr:uid="{AC8A327B-87B4-4B0C-8314-5571A6696DA9}"/>
    <cellStyle name="20% - Accent1 2 7 4" xfId="11267" xr:uid="{AC07F958-A98E-4337-A9A4-030D916FE2FE}"/>
    <cellStyle name="20% - Accent1 2 8" xfId="2265" xr:uid="{00000000-0005-0000-0000-00004F000000}"/>
    <cellStyle name="20% - Accent1 2 8 2" xfId="6571" xr:uid="{00000000-0005-0000-0000-000050000000}"/>
    <cellStyle name="20% - Accent1 2 8 2 2" xfId="15897" xr:uid="{5617AEB1-A905-4167-B742-071364149A61}"/>
    <cellStyle name="20% - Accent1 2 8 3" xfId="11680" xr:uid="{A4F691A9-AEB6-454A-B620-3CC2077F0B73}"/>
    <cellStyle name="20% - Accent1 2 9" xfId="4505" xr:uid="{00000000-0005-0000-0000-000051000000}"/>
    <cellStyle name="20% - Accent1 2 9 2" xfId="13831" xr:uid="{098DCE68-2DFB-4493-BDCE-926FA79A62AF}"/>
    <cellStyle name="20% - Accent1 3" xfId="6" xr:uid="{00000000-0005-0000-0000-000052000000}"/>
    <cellStyle name="20% - Accent1 3 10" xfId="9618" xr:uid="{990FDB80-A659-4488-897C-24DA855EA61F}"/>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98122C57-09C8-4080-A100-A4CDF1F03D09}"/>
    <cellStyle name="20% - Accent1 3 2 2 2 3" xfId="12178" xr:uid="{0ED689D1-BBA3-4487-9AEF-9471767BEFFC}"/>
    <cellStyle name="20% - Accent1 3 2 2 3" xfId="4924" xr:uid="{00000000-0005-0000-0000-000057000000}"/>
    <cellStyle name="20% - Accent1 3 2 2 3 2" xfId="14250" xr:uid="{84C6AADB-F419-41FA-8C5B-7B2AFAFBBB96}"/>
    <cellStyle name="20% - Accent1 3 2 2 4" xfId="9493" xr:uid="{FCEFE71D-2A04-4899-B62A-B225DBF7F0BF}"/>
    <cellStyle name="20% - Accent1 3 2 2 4 2" xfId="18808" xr:uid="{2DF95545-0241-47BA-B994-6CCFC2E62113}"/>
    <cellStyle name="20% - Accent1 3 2 2 5" xfId="10033" xr:uid="{F499CCAD-608E-4432-8FE2-B4782AD2D5AE}"/>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19E8637E-3200-4243-8BF3-095F1DEC75D0}"/>
    <cellStyle name="20% - Accent1 3 2 3 2 3" xfId="12591" xr:uid="{19386E86-2B6A-49A2-B359-BAAAA4B8FE47}"/>
    <cellStyle name="20% - Accent1 3 2 3 3" xfId="5337" xr:uid="{00000000-0005-0000-0000-00005B000000}"/>
    <cellStyle name="20% - Accent1 3 2 3 3 2" xfId="14663" xr:uid="{77A3010C-CC97-43E1-973B-445A79EFC92D}"/>
    <cellStyle name="20% - Accent1 3 2 3 4" xfId="10446" xr:uid="{0BC7124A-4F07-41AA-9DA1-82794B55C651}"/>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7AFA21C0-32FD-4D24-B920-A266794EBE27}"/>
    <cellStyle name="20% - Accent1 3 2 4 2 3" xfId="13004" xr:uid="{102085CB-086B-413C-AC7E-D99F12FC76F3}"/>
    <cellStyle name="20% - Accent1 3 2 4 3" xfId="5750" xr:uid="{00000000-0005-0000-0000-00005F000000}"/>
    <cellStyle name="20% - Accent1 3 2 4 3 2" xfId="15076" xr:uid="{DCE126A1-75BA-4EC4-8F54-FEDB1F36D805}"/>
    <cellStyle name="20% - Accent1 3 2 4 4" xfId="10859" xr:uid="{C02A504C-94F6-4F7E-8815-68B92BB67DDA}"/>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E832CF3B-D625-4B9A-B488-6101EAFA1230}"/>
    <cellStyle name="20% - Accent1 3 2 5 2 3" xfId="13417" xr:uid="{FD734090-6E07-4C0A-B365-40A9DB4EBC65}"/>
    <cellStyle name="20% - Accent1 3 2 5 3" xfId="6163" xr:uid="{00000000-0005-0000-0000-000063000000}"/>
    <cellStyle name="20% - Accent1 3 2 5 3 2" xfId="15489" xr:uid="{EDAC434C-E944-4BDB-9B00-A32D75F17DFB}"/>
    <cellStyle name="20% - Accent1 3 2 5 4" xfId="11272" xr:uid="{091469B7-4A1D-42A7-8A26-763D15E010B7}"/>
    <cellStyle name="20% - Accent1 3 2 6" xfId="2270" xr:uid="{00000000-0005-0000-0000-000064000000}"/>
    <cellStyle name="20% - Accent1 3 2 6 2" xfId="6576" xr:uid="{00000000-0005-0000-0000-000065000000}"/>
    <cellStyle name="20% - Accent1 3 2 6 2 2" xfId="15902" xr:uid="{91DD60A4-A0B8-4742-8EAF-7121D7A19036}"/>
    <cellStyle name="20% - Accent1 3 2 6 3" xfId="11685" xr:uid="{1B7F706A-6B7D-4184-A351-7B5507A6EC45}"/>
    <cellStyle name="20% - Accent1 3 2 7" xfId="4510" xr:uid="{00000000-0005-0000-0000-000066000000}"/>
    <cellStyle name="20% - Accent1 3 2 7 2" xfId="13836" xr:uid="{C0E38037-F8D4-4C08-A352-A518607C55D0}"/>
    <cellStyle name="20% - Accent1 3 2 8" xfId="9068" xr:uid="{354460C9-AD38-4FCD-882B-4DFB81DE5890}"/>
    <cellStyle name="20% - Accent1 3 2 8 2" xfId="18392" xr:uid="{25EF4A58-3F10-4D06-9B93-518F4366A351}"/>
    <cellStyle name="20% - Accent1 3 2 9" xfId="9619" xr:uid="{899A7850-1A28-40F9-B7BD-F4877CDB7FED}"/>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EA71E608-A182-4B48-AE11-E78B092AC7FF}"/>
    <cellStyle name="20% - Accent1 3 3 2 3" xfId="12177" xr:uid="{445B9892-3416-4809-8012-3F7BD14E7933}"/>
    <cellStyle name="20% - Accent1 3 3 3" xfId="4923" xr:uid="{00000000-0005-0000-0000-00006A000000}"/>
    <cellStyle name="20% - Accent1 3 3 3 2" xfId="14249" xr:uid="{D999F2B0-BC79-44A0-AA8E-10FE5FC8D1CD}"/>
    <cellStyle name="20% - Accent1 3 3 4" xfId="9286" xr:uid="{B5220C4B-EBE7-4AD0-9A24-7F16FA378184}"/>
    <cellStyle name="20% - Accent1 3 3 4 2" xfId="18601" xr:uid="{5EA14CE6-E2EB-4010-8547-B6101EAEE391}"/>
    <cellStyle name="20% - Accent1 3 3 5" xfId="10032" xr:uid="{FFD957EB-010D-4F38-B107-5D06DE2FABCF}"/>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7468BB3E-798A-4955-A86F-2447EC6291CA}"/>
    <cellStyle name="20% - Accent1 3 4 2 3" xfId="12590" xr:uid="{FA8BBAD4-B1E0-4B3A-B7A1-B89F819F5E3F}"/>
    <cellStyle name="20% - Accent1 3 4 3" xfId="5336" xr:uid="{00000000-0005-0000-0000-00006E000000}"/>
    <cellStyle name="20% - Accent1 3 4 3 2" xfId="14662" xr:uid="{D7ED1CCE-DD0C-45DB-8BE4-013C51920852}"/>
    <cellStyle name="20% - Accent1 3 4 4" xfId="10445" xr:uid="{29BFD4A0-D05B-421A-9C28-D96735C227E1}"/>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954CB0AA-6F30-4D17-99C4-FA39823D3384}"/>
    <cellStyle name="20% - Accent1 3 5 2 3" xfId="13003" xr:uid="{6FFBD24D-438B-4345-BED2-62F001D3C5E0}"/>
    <cellStyle name="20% - Accent1 3 5 3" xfId="5749" xr:uid="{00000000-0005-0000-0000-000072000000}"/>
    <cellStyle name="20% - Accent1 3 5 3 2" xfId="15075" xr:uid="{C780DB4B-C413-4E15-88AC-23D2C63D413E}"/>
    <cellStyle name="20% - Accent1 3 5 4" xfId="10858" xr:uid="{E8A67D79-EC90-4350-A854-298875BE54C0}"/>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381AEC2B-133E-490C-A57D-B1B6DF89AE1A}"/>
    <cellStyle name="20% - Accent1 3 6 2 3" xfId="13416" xr:uid="{850E2AA0-BB6E-49C8-9D54-4B1B8DDF2CA0}"/>
    <cellStyle name="20% - Accent1 3 6 3" xfId="6162" xr:uid="{00000000-0005-0000-0000-000076000000}"/>
    <cellStyle name="20% - Accent1 3 6 3 2" xfId="15488" xr:uid="{6E5E6EC7-B727-4B5D-AC2A-26F393F1E672}"/>
    <cellStyle name="20% - Accent1 3 6 4" xfId="11271" xr:uid="{5DB77220-F768-415B-9597-07DC3EF332CF}"/>
    <cellStyle name="20% - Accent1 3 7" xfId="2269" xr:uid="{00000000-0005-0000-0000-000077000000}"/>
    <cellStyle name="20% - Accent1 3 7 2" xfId="6575" xr:uid="{00000000-0005-0000-0000-000078000000}"/>
    <cellStyle name="20% - Accent1 3 7 2 2" xfId="15901" xr:uid="{808F97C8-6AAB-4E88-B393-48C480DE87AB}"/>
    <cellStyle name="20% - Accent1 3 7 3" xfId="11684" xr:uid="{D4BFD7AD-383E-402E-A1D4-35D647B31A00}"/>
    <cellStyle name="20% - Accent1 3 8" xfId="4509" xr:uid="{00000000-0005-0000-0000-000079000000}"/>
    <cellStyle name="20% - Accent1 3 8 2" xfId="13835" xr:uid="{AC65DC98-0A10-4F74-ADC8-29CD39CF25B1}"/>
    <cellStyle name="20% - Accent1 3 9" xfId="8861" xr:uid="{C1B75176-75E3-4E31-86A7-851E7FD67A9E}"/>
    <cellStyle name="20% - Accent1 3 9 2" xfId="18185" xr:uid="{2D75B800-E8EB-4697-996E-57D57875E8AC}"/>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89C448ED-7368-41E8-9D04-575C4FDD6EF7}"/>
    <cellStyle name="20% - Accent1 4 2 2 3" xfId="12179" xr:uid="{88DA7B3B-0884-4F74-920A-9B67B5337773}"/>
    <cellStyle name="20% - Accent1 4 2 3" xfId="4925" xr:uid="{00000000-0005-0000-0000-00007E000000}"/>
    <cellStyle name="20% - Accent1 4 2 3 2" xfId="14251" xr:uid="{B11E3566-821A-4A18-B338-52CA689B25BF}"/>
    <cellStyle name="20% - Accent1 4 2 4" xfId="9372" xr:uid="{E6B08341-6F7D-4580-9BCF-4BFC252FAE31}"/>
    <cellStyle name="20% - Accent1 4 2 4 2" xfId="18687" xr:uid="{8143C9EE-C1AE-43F0-9109-6E7AD659D0D3}"/>
    <cellStyle name="20% - Accent1 4 2 5" xfId="10034" xr:uid="{14658CBF-9170-4BC9-A9C5-005C90C2372C}"/>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839E857C-38E9-4689-9F68-9E81F2F149A9}"/>
    <cellStyle name="20% - Accent1 4 3 2 3" xfId="12592" xr:uid="{0635BCFA-1D04-40EB-BB65-51D657C89F45}"/>
    <cellStyle name="20% - Accent1 4 3 3" xfId="5338" xr:uid="{00000000-0005-0000-0000-000082000000}"/>
    <cellStyle name="20% - Accent1 4 3 3 2" xfId="14664" xr:uid="{7680684A-9E46-4C79-8480-1D0F7B1FE969}"/>
    <cellStyle name="20% - Accent1 4 3 4" xfId="10447" xr:uid="{B03F92F7-3E90-4069-85F7-286CD35D5ABC}"/>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B2382463-3E2D-4FE3-9510-BC9DFA8BCD3D}"/>
    <cellStyle name="20% - Accent1 4 4 2 3" xfId="13005" xr:uid="{6D235C87-FF19-45D2-99F0-C40A1A00DC05}"/>
    <cellStyle name="20% - Accent1 4 4 3" xfId="5751" xr:uid="{00000000-0005-0000-0000-000086000000}"/>
    <cellStyle name="20% - Accent1 4 4 3 2" xfId="15077" xr:uid="{ED132134-BDA8-4718-8635-FAC3B7A35B67}"/>
    <cellStyle name="20% - Accent1 4 4 4" xfId="10860" xr:uid="{8BD735FA-A25B-475D-85FB-680725D95C76}"/>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6383D091-04BE-4BFA-97EB-F15EA80F5073}"/>
    <cellStyle name="20% - Accent1 4 5 2 3" xfId="13418" xr:uid="{DF5579A5-B3B8-4313-9C47-6778C7CF797C}"/>
    <cellStyle name="20% - Accent1 4 5 3" xfId="6164" xr:uid="{00000000-0005-0000-0000-00008A000000}"/>
    <cellStyle name="20% - Accent1 4 5 3 2" xfId="15490" xr:uid="{E966527D-A828-4B9A-9BAF-082F590ECC65}"/>
    <cellStyle name="20% - Accent1 4 5 4" xfId="11273" xr:uid="{468D710A-F9D3-42F8-BEB9-DFAD69FA56D5}"/>
    <cellStyle name="20% - Accent1 4 6" xfId="2271" xr:uid="{00000000-0005-0000-0000-00008B000000}"/>
    <cellStyle name="20% - Accent1 4 6 2" xfId="6577" xr:uid="{00000000-0005-0000-0000-00008C000000}"/>
    <cellStyle name="20% - Accent1 4 6 2 2" xfId="15903" xr:uid="{3FF79E52-398D-464C-9F66-28C846F14FB7}"/>
    <cellStyle name="20% - Accent1 4 6 3" xfId="11686" xr:uid="{0968C9CD-885F-4CA9-A3BA-50A84BA7890D}"/>
    <cellStyle name="20% - Accent1 4 7" xfId="4511" xr:uid="{00000000-0005-0000-0000-00008D000000}"/>
    <cellStyle name="20% - Accent1 4 7 2" xfId="13837" xr:uid="{B63EB46D-6A57-4EB4-8326-ED344AACDAF2}"/>
    <cellStyle name="20% - Accent1 4 8" xfId="8947" xr:uid="{1FCDBFE2-CC86-42DD-AD9B-D3EAF476002E}"/>
    <cellStyle name="20% - Accent1 4 8 2" xfId="18271" xr:uid="{18D07609-E522-4B6B-92E5-D1DD582DEC32}"/>
    <cellStyle name="20% - Accent1 4 9" xfId="9620" xr:uid="{7FC2F943-1242-45DB-AFAC-2B5F1965D63D}"/>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3CEF4BD3-4A72-4691-8563-FD4F87113F80}"/>
    <cellStyle name="20% - Accent1 5 2 3" xfId="12172" xr:uid="{AB74CF30-ADEE-4518-9189-EF21BF00BD7B}"/>
    <cellStyle name="20% - Accent1 5 3" xfId="4918" xr:uid="{00000000-0005-0000-0000-000091000000}"/>
    <cellStyle name="20% - Accent1 5 3 2" xfId="14244" xr:uid="{DDCB2102-5E90-44F7-A50B-FD71217BD9C5}"/>
    <cellStyle name="20% - Accent1 5 4" xfId="9180" xr:uid="{D0AEF57E-25E3-47C5-B910-DC1A0019F498}"/>
    <cellStyle name="20% - Accent1 5 4 2" xfId="18498" xr:uid="{F5CD32DF-780B-4FB3-A049-719DCACDAC9F}"/>
    <cellStyle name="20% - Accent1 5 5" xfId="10027" xr:uid="{9788C9EB-A0FF-4EA4-B0AC-CE22BFCE14FD}"/>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35703B4A-5166-47CB-987A-74BD7BC0716A}"/>
    <cellStyle name="20% - Accent1 6 2 3" xfId="12585" xr:uid="{D5263CB4-3E45-4369-AD32-95CC3DEBFB1C}"/>
    <cellStyle name="20% - Accent1 6 3" xfId="5331" xr:uid="{00000000-0005-0000-0000-000095000000}"/>
    <cellStyle name="20% - Accent1 6 3 2" xfId="14657" xr:uid="{12C20B20-2F74-48B2-842B-FF28F927B225}"/>
    <cellStyle name="20% - Accent1 6 4" xfId="10440" xr:uid="{CE998E42-131E-4BDB-A3E4-3F7C0B91717E}"/>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40157E45-D40A-47F0-AEE8-61056CD0263C}"/>
    <cellStyle name="20% - Accent1 7 2 3" xfId="12998" xr:uid="{BDB81C56-A989-48F1-86A3-1F544B68A770}"/>
    <cellStyle name="20% - Accent1 7 3" xfId="5744" xr:uid="{00000000-0005-0000-0000-000099000000}"/>
    <cellStyle name="20% - Accent1 7 3 2" xfId="15070" xr:uid="{64D37C89-8EF2-4CF3-9683-EBCBBFEA65BB}"/>
    <cellStyle name="20% - Accent1 7 4" xfId="10853" xr:uid="{0EDA2908-DEE3-43EC-8B54-7170CE779B00}"/>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9C8C9771-DA9C-4A32-903F-1ECE4EB2B1BD}"/>
    <cellStyle name="20% - Accent1 8 2 3" xfId="13411" xr:uid="{3D4A21DE-87DD-4D3F-830A-7AF64ED2837E}"/>
    <cellStyle name="20% - Accent1 8 3" xfId="6157" xr:uid="{00000000-0005-0000-0000-00009D000000}"/>
    <cellStyle name="20% - Accent1 8 3 2" xfId="15483" xr:uid="{08F53C6D-B948-43D2-B6AC-BBF5C109251C}"/>
    <cellStyle name="20% - Accent1 8 4" xfId="11266" xr:uid="{B18A5E4F-E7A8-4ADC-9CFD-0F98A71AA9F8}"/>
    <cellStyle name="20% - Accent1 9" xfId="2264" xr:uid="{00000000-0005-0000-0000-00009E000000}"/>
    <cellStyle name="20% - Accent1 9 2" xfId="6570" xr:uid="{00000000-0005-0000-0000-00009F000000}"/>
    <cellStyle name="20% - Accent1 9 2 2" xfId="15896" xr:uid="{A7317021-A6D4-460F-8E61-04AB9D84CC8E}"/>
    <cellStyle name="20% - Accent1 9 3" xfId="11679" xr:uid="{7E5D34FB-E010-4F06-8534-D34FC0425673}"/>
    <cellStyle name="20% - Accent2" xfId="9" builtinId="34" customBuiltin="1"/>
    <cellStyle name="20% - Accent2 10" xfId="4512" xr:uid="{00000000-0005-0000-0000-0000A1000000}"/>
    <cellStyle name="20% - Accent2 10 2" xfId="13838" xr:uid="{BE96DA08-3214-40D7-85C8-35B3ECFF74AE}"/>
    <cellStyle name="20% - Accent2 11" xfId="8760" xr:uid="{2F9D8AF1-C115-467C-ADFB-3BF13039D076}"/>
    <cellStyle name="20% - Accent2 11 2" xfId="18084" xr:uid="{F2AFA1A4-E3A9-4A7C-A100-89D2AA11EB22}"/>
    <cellStyle name="20% - Accent2 12" xfId="9621" xr:uid="{94FF2158-FD21-4334-912E-F7F88D74BEEC}"/>
    <cellStyle name="20% - Accent2 2" xfId="10" xr:uid="{00000000-0005-0000-0000-0000A2000000}"/>
    <cellStyle name="20% - Accent2 2 10" xfId="8793" xr:uid="{AA7C3473-3A75-4F75-9E25-D7658C57F3A0}"/>
    <cellStyle name="20% - Accent2 2 10 2" xfId="18117" xr:uid="{23EF0172-86A3-43EF-818D-9F4861C76E95}"/>
    <cellStyle name="20% - Accent2 2 11" xfId="9622" xr:uid="{32E06DF4-0D71-4153-9F42-D1B6750DC01F}"/>
    <cellStyle name="20% - Accent2 2 2" xfId="11" xr:uid="{00000000-0005-0000-0000-0000A3000000}"/>
    <cellStyle name="20% - Accent2 2 2 10" xfId="9623" xr:uid="{A0D82270-8E2D-4184-9B58-0413BCAB9C2E}"/>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C8134609-5561-479B-8F2A-B8FAC626E745}"/>
    <cellStyle name="20% - Accent2 2 2 2 2 2 3" xfId="12183" xr:uid="{710DB781-674C-427F-9CE7-051322850415}"/>
    <cellStyle name="20% - Accent2 2 2 2 2 3" xfId="4929" xr:uid="{00000000-0005-0000-0000-0000A8000000}"/>
    <cellStyle name="20% - Accent2 2 2 2 2 3 2" xfId="14255" xr:uid="{48CF4142-B203-48D0-85E5-B255C04FDB83}"/>
    <cellStyle name="20% - Accent2 2 2 2 2 4" xfId="9528" xr:uid="{C8BEA541-FD8B-4449-95AA-43E1904F35BB}"/>
    <cellStyle name="20% - Accent2 2 2 2 2 4 2" xfId="18843" xr:uid="{BDE34A0F-59C3-4A05-B751-0DE8633F2D1E}"/>
    <cellStyle name="20% - Accent2 2 2 2 2 5" xfId="10038" xr:uid="{9879C82B-93EA-4E1C-AFAC-B9841DA0E326}"/>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C7F8CACA-2E68-41B1-9F63-D20680FC5EB6}"/>
    <cellStyle name="20% - Accent2 2 2 2 3 2 3" xfId="12596" xr:uid="{D8AB5AE4-61EF-4BB4-AB51-E9B8F06EA04D}"/>
    <cellStyle name="20% - Accent2 2 2 2 3 3" xfId="5342" xr:uid="{00000000-0005-0000-0000-0000AC000000}"/>
    <cellStyle name="20% - Accent2 2 2 2 3 3 2" xfId="14668" xr:uid="{8CD55B12-43EE-4629-934F-29AF121FAB9D}"/>
    <cellStyle name="20% - Accent2 2 2 2 3 4" xfId="10451" xr:uid="{9D5BDFF7-5C9C-40FC-8146-58124B27146B}"/>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15C8CCB6-420E-4EEE-9C5C-7F683F23313B}"/>
    <cellStyle name="20% - Accent2 2 2 2 4 2 3" xfId="13009" xr:uid="{8017A398-6189-4620-AEF3-4A97290381CB}"/>
    <cellStyle name="20% - Accent2 2 2 2 4 3" xfId="5755" xr:uid="{00000000-0005-0000-0000-0000B0000000}"/>
    <cellStyle name="20% - Accent2 2 2 2 4 3 2" xfId="15081" xr:uid="{61FAB3A3-FEB1-4C88-A2F2-B4125B781377}"/>
    <cellStyle name="20% - Accent2 2 2 2 4 4" xfId="10864" xr:uid="{860FBE0F-E2E8-4287-AC3A-8D58FFEEDD8E}"/>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0E13FEEB-0811-4847-A471-4642AE98A866}"/>
    <cellStyle name="20% - Accent2 2 2 2 5 2 3" xfId="13422" xr:uid="{E2187E91-317A-4DCC-BAFE-498F82C1C2D0}"/>
    <cellStyle name="20% - Accent2 2 2 2 5 3" xfId="6168" xr:uid="{00000000-0005-0000-0000-0000B4000000}"/>
    <cellStyle name="20% - Accent2 2 2 2 5 3 2" xfId="15494" xr:uid="{C66992F3-0573-48A0-A90C-BA9F4A80FC2C}"/>
    <cellStyle name="20% - Accent2 2 2 2 5 4" xfId="11277" xr:uid="{2D662977-6FA7-4F81-BAF9-05F0EA7D5F02}"/>
    <cellStyle name="20% - Accent2 2 2 2 6" xfId="2275" xr:uid="{00000000-0005-0000-0000-0000B5000000}"/>
    <cellStyle name="20% - Accent2 2 2 2 6 2" xfId="6581" xr:uid="{00000000-0005-0000-0000-0000B6000000}"/>
    <cellStyle name="20% - Accent2 2 2 2 6 2 2" xfId="15907" xr:uid="{0C943A58-56CF-4459-8567-270505DAA3ED}"/>
    <cellStyle name="20% - Accent2 2 2 2 6 3" xfId="11690" xr:uid="{7C724741-E4B4-4C8E-A43D-434CF5278CFB}"/>
    <cellStyle name="20% - Accent2 2 2 2 7" xfId="4515" xr:uid="{00000000-0005-0000-0000-0000B7000000}"/>
    <cellStyle name="20% - Accent2 2 2 2 7 2" xfId="13841" xr:uid="{7928DF4C-6BBE-4DE5-8E20-FAD1AD27E721}"/>
    <cellStyle name="20% - Accent2 2 2 2 8" xfId="9103" xr:uid="{91DB80A1-3464-4086-B948-71B6A26537C4}"/>
    <cellStyle name="20% - Accent2 2 2 2 8 2" xfId="18427" xr:uid="{8C5276AF-9AD0-43D7-8DC0-74D6BEBF43FC}"/>
    <cellStyle name="20% - Accent2 2 2 2 9" xfId="9624" xr:uid="{E8840948-5900-4B2B-B2B6-23EA2871108A}"/>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31DD68C2-4F4E-44A6-94F1-66FAA35823F1}"/>
    <cellStyle name="20% - Accent2 2 2 3 2 3" xfId="12182" xr:uid="{E50D33C7-0760-4731-B029-B546344120EF}"/>
    <cellStyle name="20% - Accent2 2 2 3 3" xfId="4928" xr:uid="{00000000-0005-0000-0000-0000BB000000}"/>
    <cellStyle name="20% - Accent2 2 2 3 3 2" xfId="14254" xr:uid="{49080736-3A0A-4A68-9B6D-70199D4F6195}"/>
    <cellStyle name="20% - Accent2 2 2 3 4" xfId="9321" xr:uid="{32B21C3A-E360-4F19-B469-1116F045A0F3}"/>
    <cellStyle name="20% - Accent2 2 2 3 4 2" xfId="18636" xr:uid="{9145211D-6430-4D77-94A4-F546471ADE35}"/>
    <cellStyle name="20% - Accent2 2 2 3 5" xfId="10037" xr:uid="{39218E36-83F7-4FF8-90C0-1D8023F3F6AD}"/>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73B1D655-9903-4856-9CCE-008A1CF19A4F}"/>
    <cellStyle name="20% - Accent2 2 2 4 2 3" xfId="12595" xr:uid="{FDC2D881-5A16-4021-913E-E853D0CA8F0E}"/>
    <cellStyle name="20% - Accent2 2 2 4 3" xfId="5341" xr:uid="{00000000-0005-0000-0000-0000BF000000}"/>
    <cellStyle name="20% - Accent2 2 2 4 3 2" xfId="14667" xr:uid="{24A18350-A0F0-4EFB-8C40-46C994CFB626}"/>
    <cellStyle name="20% - Accent2 2 2 4 4" xfId="10450" xr:uid="{90B273F9-1A0C-4563-A021-78F8660DC0B3}"/>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5DEF8C90-7001-48FF-BE74-797CF8C664AF}"/>
    <cellStyle name="20% - Accent2 2 2 5 2 3" xfId="13008" xr:uid="{126B702E-C54C-446A-8EE8-38B230F5A02B}"/>
    <cellStyle name="20% - Accent2 2 2 5 3" xfId="5754" xr:uid="{00000000-0005-0000-0000-0000C3000000}"/>
    <cellStyle name="20% - Accent2 2 2 5 3 2" xfId="15080" xr:uid="{2878DD59-2A1A-40A6-B5A7-7996137DCC67}"/>
    <cellStyle name="20% - Accent2 2 2 5 4" xfId="10863" xr:uid="{E1081DB9-9BBA-4A11-8534-6F7968617B9A}"/>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CA4162E8-8A13-447C-BC8D-2AE2E7616620}"/>
    <cellStyle name="20% - Accent2 2 2 6 2 3" xfId="13421" xr:uid="{0D63D88C-A699-417F-A54B-21F6CE9A65FD}"/>
    <cellStyle name="20% - Accent2 2 2 6 3" xfId="6167" xr:uid="{00000000-0005-0000-0000-0000C7000000}"/>
    <cellStyle name="20% - Accent2 2 2 6 3 2" xfId="15493" xr:uid="{6DB47A7B-9F4E-481F-A92F-E4C9D30523E0}"/>
    <cellStyle name="20% - Accent2 2 2 6 4" xfId="11276" xr:uid="{4C717C09-CEDC-49AB-B731-883B0AFEC2C9}"/>
    <cellStyle name="20% - Accent2 2 2 7" xfId="2274" xr:uid="{00000000-0005-0000-0000-0000C8000000}"/>
    <cellStyle name="20% - Accent2 2 2 7 2" xfId="6580" xr:uid="{00000000-0005-0000-0000-0000C9000000}"/>
    <cellStyle name="20% - Accent2 2 2 7 2 2" xfId="15906" xr:uid="{39652222-7ECE-474C-996E-987A4AAD71CD}"/>
    <cellStyle name="20% - Accent2 2 2 7 3" xfId="11689" xr:uid="{CD673B1C-34CC-4574-81A4-61C5419569A3}"/>
    <cellStyle name="20% - Accent2 2 2 8" xfId="4514" xr:uid="{00000000-0005-0000-0000-0000CA000000}"/>
    <cellStyle name="20% - Accent2 2 2 8 2" xfId="13840" xr:uid="{70A2D7E9-1816-4A83-A603-AC3D6E15F4A2}"/>
    <cellStyle name="20% - Accent2 2 2 9" xfId="8896" xr:uid="{7CDAA0F1-5BE6-4749-AD4D-5424E0EA26D8}"/>
    <cellStyle name="20% - Accent2 2 2 9 2" xfId="18220" xr:uid="{054A00D9-7437-4144-B64E-842EBC25245D}"/>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CE950B37-4680-458D-AFC9-EABCF52C5AAF}"/>
    <cellStyle name="20% - Accent2 2 3 2 2 3" xfId="12184" xr:uid="{14C19838-22C8-497D-AE00-7B93D78C377D}"/>
    <cellStyle name="20% - Accent2 2 3 2 3" xfId="4930" xr:uid="{00000000-0005-0000-0000-0000CF000000}"/>
    <cellStyle name="20% - Accent2 2 3 2 3 2" xfId="14256" xr:uid="{93E76B45-56D2-4142-BCAB-A49CF7B6FB1C}"/>
    <cellStyle name="20% - Accent2 2 3 2 4" xfId="9425" xr:uid="{35BECFF4-0F5A-4F6E-AE6E-354891135B4F}"/>
    <cellStyle name="20% - Accent2 2 3 2 4 2" xfId="18740" xr:uid="{7ACB58DA-B71D-418B-B35F-8404448B408B}"/>
    <cellStyle name="20% - Accent2 2 3 2 5" xfId="10039" xr:uid="{66B336AC-E815-463F-8D44-9283DEC41DE2}"/>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270F95C1-04E4-4051-A0B2-A6A54F14BFB6}"/>
    <cellStyle name="20% - Accent2 2 3 3 2 3" xfId="12597" xr:uid="{3788A665-F7AA-4273-B962-EAD884737D42}"/>
    <cellStyle name="20% - Accent2 2 3 3 3" xfId="5343" xr:uid="{00000000-0005-0000-0000-0000D3000000}"/>
    <cellStyle name="20% - Accent2 2 3 3 3 2" xfId="14669" xr:uid="{6273B532-1F97-4856-8EE1-8C607F5592F8}"/>
    <cellStyle name="20% - Accent2 2 3 3 4" xfId="10452" xr:uid="{0FEC427A-5CCC-4C0E-AE9A-9108CF1289EA}"/>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0A2D0D78-CE88-409C-A1EC-67284D30D1FB}"/>
    <cellStyle name="20% - Accent2 2 3 4 2 3" xfId="13010" xr:uid="{B66358BA-913E-47ED-AC53-4AAB2940A1C0}"/>
    <cellStyle name="20% - Accent2 2 3 4 3" xfId="5756" xr:uid="{00000000-0005-0000-0000-0000D7000000}"/>
    <cellStyle name="20% - Accent2 2 3 4 3 2" xfId="15082" xr:uid="{19879D2B-FB34-424D-8F9C-B34E5F294883}"/>
    <cellStyle name="20% - Accent2 2 3 4 4" xfId="10865" xr:uid="{742756B8-774D-4C23-9F7A-B99F7E10FDA9}"/>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268520FB-B426-43BE-9633-C844D27A246B}"/>
    <cellStyle name="20% - Accent2 2 3 5 2 3" xfId="13423" xr:uid="{C84F1F30-DF2B-4CCB-9768-E4BFD03E268D}"/>
    <cellStyle name="20% - Accent2 2 3 5 3" xfId="6169" xr:uid="{00000000-0005-0000-0000-0000DB000000}"/>
    <cellStyle name="20% - Accent2 2 3 5 3 2" xfId="15495" xr:uid="{2FD0566F-313A-4703-9A42-90D0A7DF9517}"/>
    <cellStyle name="20% - Accent2 2 3 5 4" xfId="11278" xr:uid="{DEF0898F-0B2D-4893-B7A5-C330E3822986}"/>
    <cellStyle name="20% - Accent2 2 3 6" xfId="2276" xr:uid="{00000000-0005-0000-0000-0000DC000000}"/>
    <cellStyle name="20% - Accent2 2 3 6 2" xfId="6582" xr:uid="{00000000-0005-0000-0000-0000DD000000}"/>
    <cellStyle name="20% - Accent2 2 3 6 2 2" xfId="15908" xr:uid="{37DEE8FB-69F4-4942-BF95-8B8FCF8DEDD7}"/>
    <cellStyle name="20% - Accent2 2 3 6 3" xfId="11691" xr:uid="{0818FFFC-8231-4B8D-9C18-5D388B860DAF}"/>
    <cellStyle name="20% - Accent2 2 3 7" xfId="4516" xr:uid="{00000000-0005-0000-0000-0000DE000000}"/>
    <cellStyle name="20% - Accent2 2 3 7 2" xfId="13842" xr:uid="{B64E45D3-D7BE-4FAF-81FB-18567EAB248F}"/>
    <cellStyle name="20% - Accent2 2 3 8" xfId="9000" xr:uid="{133DFC5C-F2FF-49E9-82EE-ABAA9C815393}"/>
    <cellStyle name="20% - Accent2 2 3 8 2" xfId="18324" xr:uid="{D5BB5B2E-69F9-466F-AC89-123B939DFFCF}"/>
    <cellStyle name="20% - Accent2 2 3 9" xfId="9625" xr:uid="{52ADBDC4-25E8-4D5C-915A-3291FB1DA435}"/>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C00E89B3-C3B0-4AC3-92BF-DCAB39F992C2}"/>
    <cellStyle name="20% - Accent2 2 4 2 3" xfId="12181" xr:uid="{6D05EB31-FF72-4819-921F-EE9A0E86120E}"/>
    <cellStyle name="20% - Accent2 2 4 3" xfId="4927" xr:uid="{00000000-0005-0000-0000-0000E2000000}"/>
    <cellStyle name="20% - Accent2 2 4 3 2" xfId="14253" xr:uid="{DC184170-18EA-4B7F-8851-1C964E02F8F1}"/>
    <cellStyle name="20% - Accent2 2 4 4" xfId="9217" xr:uid="{28DDC3F5-BA57-40F8-8D06-6CFF141CF9A1}"/>
    <cellStyle name="20% - Accent2 2 4 4 2" xfId="18533" xr:uid="{95DD718F-DCA5-4B2D-A9D1-FF3EE11B6200}"/>
    <cellStyle name="20% - Accent2 2 4 5" xfId="10036" xr:uid="{ED6FC8CB-CF50-43CA-B01B-D529821F8899}"/>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B22B9209-2BDA-46F1-A83C-296EBC58DFDB}"/>
    <cellStyle name="20% - Accent2 2 5 2 3" xfId="12594" xr:uid="{8BFE5CA7-F1B1-4F1A-8587-5A522CA243C5}"/>
    <cellStyle name="20% - Accent2 2 5 3" xfId="5340" xr:uid="{00000000-0005-0000-0000-0000E6000000}"/>
    <cellStyle name="20% - Accent2 2 5 3 2" xfId="14666" xr:uid="{5AA32781-EB8E-48EB-A69D-9648ADAE42E8}"/>
    <cellStyle name="20% - Accent2 2 5 4" xfId="10449" xr:uid="{801A0691-AADE-4A3C-8413-B69979D57DC2}"/>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812C8F93-3CD6-4545-BA9B-25927DE947E1}"/>
    <cellStyle name="20% - Accent2 2 6 2 3" xfId="13007" xr:uid="{900C5E4A-9C17-4AFC-B877-33CE091CA687}"/>
    <cellStyle name="20% - Accent2 2 6 3" xfId="5753" xr:uid="{00000000-0005-0000-0000-0000EA000000}"/>
    <cellStyle name="20% - Accent2 2 6 3 2" xfId="15079" xr:uid="{198A5EFF-95B9-4F42-981F-C39F268880F2}"/>
    <cellStyle name="20% - Accent2 2 6 4" xfId="10862" xr:uid="{09761716-A2CB-4DF2-B2FD-C8707C3E739B}"/>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56990725-BBB8-47FB-BF74-0F83E2D5FFBB}"/>
    <cellStyle name="20% - Accent2 2 7 2 3" xfId="13420" xr:uid="{C815ED56-9D15-43DE-8812-0B022358F002}"/>
    <cellStyle name="20% - Accent2 2 7 3" xfId="6166" xr:uid="{00000000-0005-0000-0000-0000EE000000}"/>
    <cellStyle name="20% - Accent2 2 7 3 2" xfId="15492" xr:uid="{54CA0449-1F15-4B8E-B514-A4AC516CABDF}"/>
    <cellStyle name="20% - Accent2 2 7 4" xfId="11275" xr:uid="{18FBDA8E-6481-488A-966E-74CA43E6C2A1}"/>
    <cellStyle name="20% - Accent2 2 8" xfId="2273" xr:uid="{00000000-0005-0000-0000-0000EF000000}"/>
    <cellStyle name="20% - Accent2 2 8 2" xfId="6579" xr:uid="{00000000-0005-0000-0000-0000F0000000}"/>
    <cellStyle name="20% - Accent2 2 8 2 2" xfId="15905" xr:uid="{1924053F-6BD0-43E7-8EB9-3F77F038110F}"/>
    <cellStyle name="20% - Accent2 2 8 3" xfId="11688" xr:uid="{64CCD6C2-237E-4EB3-A914-DD6AEBCBBB53}"/>
    <cellStyle name="20% - Accent2 2 9" xfId="4513" xr:uid="{00000000-0005-0000-0000-0000F1000000}"/>
    <cellStyle name="20% - Accent2 2 9 2" xfId="13839" xr:uid="{DEB740EE-4E98-4D82-93A4-BFC044B6EEA1}"/>
    <cellStyle name="20% - Accent2 3" xfId="14" xr:uid="{00000000-0005-0000-0000-0000F2000000}"/>
    <cellStyle name="20% - Accent2 3 10" xfId="9626" xr:uid="{38684BE0-13AC-45D4-BC69-E78D6CFC3378}"/>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AFFD4446-BA74-4E2E-97B9-3586A0AAF562}"/>
    <cellStyle name="20% - Accent2 3 2 2 2 3" xfId="12186" xr:uid="{A478FD92-E1E3-4465-994F-3E5C40335B6C}"/>
    <cellStyle name="20% - Accent2 3 2 2 3" xfId="4932" xr:uid="{00000000-0005-0000-0000-0000F7000000}"/>
    <cellStyle name="20% - Accent2 3 2 2 3 2" xfId="14258" xr:uid="{FA07D517-6D1D-4463-A2E1-91A2EF5D650C}"/>
    <cellStyle name="20% - Accent2 3 2 2 4" xfId="9495" xr:uid="{9F5A6FE7-BBC9-4787-8EC4-2112F4D5A0EA}"/>
    <cellStyle name="20% - Accent2 3 2 2 4 2" xfId="18810" xr:uid="{C7C827AE-0F17-46D4-9245-EEF5442B274E}"/>
    <cellStyle name="20% - Accent2 3 2 2 5" xfId="10041" xr:uid="{EA5457D9-9205-4DD7-883B-856116DC85C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8348111E-2376-43D6-AAD4-BDACB862AE47}"/>
    <cellStyle name="20% - Accent2 3 2 3 2 3" xfId="12599" xr:uid="{6554051C-D73D-4EC4-9CE4-D70DE0766A36}"/>
    <cellStyle name="20% - Accent2 3 2 3 3" xfId="5345" xr:uid="{00000000-0005-0000-0000-0000FB000000}"/>
    <cellStyle name="20% - Accent2 3 2 3 3 2" xfId="14671" xr:uid="{344CF627-F0C1-4194-9D1D-38DF977D4C16}"/>
    <cellStyle name="20% - Accent2 3 2 3 4" xfId="10454" xr:uid="{EBB83DE5-9E92-4B77-9AE0-9954AE5838CA}"/>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4FD6A065-FECA-427C-8254-E6920F283D9E}"/>
    <cellStyle name="20% - Accent2 3 2 4 2 3" xfId="13012" xr:uid="{63C88D76-78CB-4736-9903-DC3425211126}"/>
    <cellStyle name="20% - Accent2 3 2 4 3" xfId="5758" xr:uid="{00000000-0005-0000-0000-0000FF000000}"/>
    <cellStyle name="20% - Accent2 3 2 4 3 2" xfId="15084" xr:uid="{5A6B7C4D-F17A-4883-A12D-EF8E5E01DAE3}"/>
    <cellStyle name="20% - Accent2 3 2 4 4" xfId="10867" xr:uid="{3B6E6A58-D2EF-492A-9007-1D720481D986}"/>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AC5CB53E-8CF3-4639-9DCA-AD028F9E12E1}"/>
    <cellStyle name="20% - Accent2 3 2 5 2 3" xfId="13425" xr:uid="{26017DF2-0304-49A1-8A12-222A401B1D4C}"/>
    <cellStyle name="20% - Accent2 3 2 5 3" xfId="6171" xr:uid="{00000000-0005-0000-0000-000003010000}"/>
    <cellStyle name="20% - Accent2 3 2 5 3 2" xfId="15497" xr:uid="{FB70C2FA-70BF-41CD-85AF-AC33A3F4DC6E}"/>
    <cellStyle name="20% - Accent2 3 2 5 4" xfId="11280" xr:uid="{444F4330-9C44-4FB3-8A2F-05FDFB263998}"/>
    <cellStyle name="20% - Accent2 3 2 6" xfId="2278" xr:uid="{00000000-0005-0000-0000-000004010000}"/>
    <cellStyle name="20% - Accent2 3 2 6 2" xfId="6584" xr:uid="{00000000-0005-0000-0000-000005010000}"/>
    <cellStyle name="20% - Accent2 3 2 6 2 2" xfId="15910" xr:uid="{557A99C7-2334-4242-B74A-76168AD38780}"/>
    <cellStyle name="20% - Accent2 3 2 6 3" xfId="11693" xr:uid="{B922CB0F-BDEF-4515-9036-1EA344F0520A}"/>
    <cellStyle name="20% - Accent2 3 2 7" xfId="4518" xr:uid="{00000000-0005-0000-0000-000006010000}"/>
    <cellStyle name="20% - Accent2 3 2 7 2" xfId="13844" xr:uid="{8ED96A46-AC66-4444-B3DE-1AFC472EAFFB}"/>
    <cellStyle name="20% - Accent2 3 2 8" xfId="9070" xr:uid="{8A9168BA-490F-4E57-83EA-22187D24153F}"/>
    <cellStyle name="20% - Accent2 3 2 8 2" xfId="18394" xr:uid="{0F14DD36-0017-41EA-B75F-888BC4E40708}"/>
    <cellStyle name="20% - Accent2 3 2 9" xfId="9627" xr:uid="{5C95829C-6BF7-41EB-AA38-C3B7A3C05747}"/>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33CF9939-E850-43FD-9AF7-F692C603FEE1}"/>
    <cellStyle name="20% - Accent2 3 3 2 3" xfId="12185" xr:uid="{AA13907E-8030-471D-9FA4-D26B1E0AA515}"/>
    <cellStyle name="20% - Accent2 3 3 3" xfId="4931" xr:uid="{00000000-0005-0000-0000-00000A010000}"/>
    <cellStyle name="20% - Accent2 3 3 3 2" xfId="14257" xr:uid="{604E8A2C-3700-4F0C-8F68-517D334A6E8B}"/>
    <cellStyle name="20% - Accent2 3 3 4" xfId="9288" xr:uid="{FCD70616-ECAD-4A0B-889F-4698E1AD889E}"/>
    <cellStyle name="20% - Accent2 3 3 4 2" xfId="18603" xr:uid="{F00B6F89-029A-4C14-9F98-042E30FD4895}"/>
    <cellStyle name="20% - Accent2 3 3 5" xfId="10040" xr:uid="{3AF5DA9C-F1CC-4E02-8CA9-D6C0A302CBB8}"/>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6BD361E8-8E79-4EC1-8177-D44BD3C2A567}"/>
    <cellStyle name="20% - Accent2 3 4 2 3" xfId="12598" xr:uid="{59E60221-0FB1-42CB-A8A1-82E380FB21E1}"/>
    <cellStyle name="20% - Accent2 3 4 3" xfId="5344" xr:uid="{00000000-0005-0000-0000-00000E010000}"/>
    <cellStyle name="20% - Accent2 3 4 3 2" xfId="14670" xr:uid="{6740BF52-1506-481D-89BD-E62E2DF34865}"/>
    <cellStyle name="20% - Accent2 3 4 4" xfId="10453" xr:uid="{E83DFC05-8BD6-479F-A859-6CDFECA10330}"/>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580EE9E0-AC0D-40FC-A178-F5C3D93623B4}"/>
    <cellStyle name="20% - Accent2 3 5 2 3" xfId="13011" xr:uid="{E5485F6F-7285-41D4-989D-50F97CC6FD3B}"/>
    <cellStyle name="20% - Accent2 3 5 3" xfId="5757" xr:uid="{00000000-0005-0000-0000-000012010000}"/>
    <cellStyle name="20% - Accent2 3 5 3 2" xfId="15083" xr:uid="{5F1DDF12-AA0B-4E87-88C3-27901CA19AAE}"/>
    <cellStyle name="20% - Accent2 3 5 4" xfId="10866" xr:uid="{CE898C06-449C-41FF-927A-7C05530D5EB6}"/>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4DFC7610-BA8C-4EE5-A68B-F01AC3BCE414}"/>
    <cellStyle name="20% - Accent2 3 6 2 3" xfId="13424" xr:uid="{F0782095-554A-4DFE-A06E-F7B96D146B20}"/>
    <cellStyle name="20% - Accent2 3 6 3" xfId="6170" xr:uid="{00000000-0005-0000-0000-000016010000}"/>
    <cellStyle name="20% - Accent2 3 6 3 2" xfId="15496" xr:uid="{8CF09A9D-EA17-42A2-ACCE-98C943A8CD39}"/>
    <cellStyle name="20% - Accent2 3 6 4" xfId="11279" xr:uid="{9DC48B33-1824-4504-812D-C50994E67D06}"/>
    <cellStyle name="20% - Accent2 3 7" xfId="2277" xr:uid="{00000000-0005-0000-0000-000017010000}"/>
    <cellStyle name="20% - Accent2 3 7 2" xfId="6583" xr:uid="{00000000-0005-0000-0000-000018010000}"/>
    <cellStyle name="20% - Accent2 3 7 2 2" xfId="15909" xr:uid="{A00AC374-DAC7-46DE-BA24-C220891DDEED}"/>
    <cellStyle name="20% - Accent2 3 7 3" xfId="11692" xr:uid="{F0AFED10-44E2-448E-AD4A-DFC6B3B2E952}"/>
    <cellStyle name="20% - Accent2 3 8" xfId="4517" xr:uid="{00000000-0005-0000-0000-000019010000}"/>
    <cellStyle name="20% - Accent2 3 8 2" xfId="13843" xr:uid="{A00DD540-B974-452D-BAD9-CA8784DEA2DF}"/>
    <cellStyle name="20% - Accent2 3 9" xfId="8863" xr:uid="{C6A258FB-33DC-4171-B9DD-C29513CA80FD}"/>
    <cellStyle name="20% - Accent2 3 9 2" xfId="18187" xr:uid="{06F5F873-3FA0-4B84-AB21-129C34BE3E85}"/>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6ABE5356-A7B0-4DD1-844C-C91A49A34462}"/>
    <cellStyle name="20% - Accent2 4 2 2 3" xfId="12187" xr:uid="{AC5DA428-214D-4DFC-8FF5-143C2206C852}"/>
    <cellStyle name="20% - Accent2 4 2 3" xfId="4933" xr:uid="{00000000-0005-0000-0000-00001E010000}"/>
    <cellStyle name="20% - Accent2 4 2 3 2" xfId="14259" xr:uid="{6BCB480C-E6B8-4587-A764-2941BA7C4D83}"/>
    <cellStyle name="20% - Accent2 4 2 4" xfId="9374" xr:uid="{26FD7A0E-8D04-4AF7-B092-2B22A78F0A97}"/>
    <cellStyle name="20% - Accent2 4 2 4 2" xfId="18689" xr:uid="{E6216D26-36A3-450B-AAD9-CCA7D13F74E5}"/>
    <cellStyle name="20% - Accent2 4 2 5" xfId="10042" xr:uid="{3C4926D6-F403-4722-A500-BA4A95442ED9}"/>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84A1BDC3-EED3-494C-B58B-288E7CFD1B65}"/>
    <cellStyle name="20% - Accent2 4 3 2 3" xfId="12600" xr:uid="{2368B932-4B91-43A8-94BB-C92186735941}"/>
    <cellStyle name="20% - Accent2 4 3 3" xfId="5346" xr:uid="{00000000-0005-0000-0000-000022010000}"/>
    <cellStyle name="20% - Accent2 4 3 3 2" xfId="14672" xr:uid="{65C8DA2C-C327-41D4-9C59-2EE59884D8C6}"/>
    <cellStyle name="20% - Accent2 4 3 4" xfId="10455" xr:uid="{818C68DA-252D-43D8-A440-DAA4E89080CB}"/>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2979E0FD-14A8-426E-B186-393EED78472C}"/>
    <cellStyle name="20% - Accent2 4 4 2 3" xfId="13013" xr:uid="{CEC8F35F-7365-4763-A139-842A52E53CC1}"/>
    <cellStyle name="20% - Accent2 4 4 3" xfId="5759" xr:uid="{00000000-0005-0000-0000-000026010000}"/>
    <cellStyle name="20% - Accent2 4 4 3 2" xfId="15085" xr:uid="{0E1EA9CB-1EB4-447C-815D-4A1E31515D19}"/>
    <cellStyle name="20% - Accent2 4 4 4" xfId="10868" xr:uid="{3510C9C1-D16E-4AF5-9D1D-33019DBF2FFC}"/>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8678D3C7-4BAA-43B5-8BC9-C213D0DD13B6}"/>
    <cellStyle name="20% - Accent2 4 5 2 3" xfId="13426" xr:uid="{315E3C30-8716-4D4C-A1BE-38C24B08D19B}"/>
    <cellStyle name="20% - Accent2 4 5 3" xfId="6172" xr:uid="{00000000-0005-0000-0000-00002A010000}"/>
    <cellStyle name="20% - Accent2 4 5 3 2" xfId="15498" xr:uid="{020294D4-5442-48A2-B6A7-19542C2CA93A}"/>
    <cellStyle name="20% - Accent2 4 5 4" xfId="11281" xr:uid="{9FE44A0F-78A4-4C74-BE56-199EBA81845A}"/>
    <cellStyle name="20% - Accent2 4 6" xfId="2279" xr:uid="{00000000-0005-0000-0000-00002B010000}"/>
    <cellStyle name="20% - Accent2 4 6 2" xfId="6585" xr:uid="{00000000-0005-0000-0000-00002C010000}"/>
    <cellStyle name="20% - Accent2 4 6 2 2" xfId="15911" xr:uid="{7B338415-CD7D-411A-85D4-B4D2E8902812}"/>
    <cellStyle name="20% - Accent2 4 6 3" xfId="11694" xr:uid="{75692AE3-2046-41C1-85CD-B503E891350B}"/>
    <cellStyle name="20% - Accent2 4 7" xfId="4519" xr:uid="{00000000-0005-0000-0000-00002D010000}"/>
    <cellStyle name="20% - Accent2 4 7 2" xfId="13845" xr:uid="{94C85928-223C-4664-8CD7-2756045F83FF}"/>
    <cellStyle name="20% - Accent2 4 8" xfId="8949" xr:uid="{084C22A9-B904-4AFE-A752-AC1DC2CA76B8}"/>
    <cellStyle name="20% - Accent2 4 8 2" xfId="18273" xr:uid="{C15CB38A-F6E5-408F-9950-1C71FB9D7011}"/>
    <cellStyle name="20% - Accent2 4 9" xfId="9628" xr:uid="{A3FD9476-B0A7-49F4-82B7-20E205810075}"/>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F72ABB27-A61F-4ACF-8567-68739A53A3DD}"/>
    <cellStyle name="20% - Accent2 5 2 3" xfId="12180" xr:uid="{D7BE543B-AEB6-43E8-85CB-BA1980F858B1}"/>
    <cellStyle name="20% - Accent2 5 3" xfId="4926" xr:uid="{00000000-0005-0000-0000-000031010000}"/>
    <cellStyle name="20% - Accent2 5 3 2" xfId="14252" xr:uid="{7B367607-B9AB-4882-B7AC-6FD0C7E0C90A}"/>
    <cellStyle name="20% - Accent2 5 4" xfId="9182" xr:uid="{F822E263-B2A4-41B5-BBF9-FCE1A7A30601}"/>
    <cellStyle name="20% - Accent2 5 4 2" xfId="18500" xr:uid="{29C4FE58-E9DB-46CF-A84D-B78D3CB3D82F}"/>
    <cellStyle name="20% - Accent2 5 5" xfId="10035" xr:uid="{2C73A096-2BF2-4590-8F58-7040BFE3CED1}"/>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50A67DE8-C219-45B7-B0C7-CEB803DCBA6C}"/>
    <cellStyle name="20% - Accent2 6 2 3" xfId="12593" xr:uid="{F13AC80A-1461-48C5-97C6-FD6D57D2956F}"/>
    <cellStyle name="20% - Accent2 6 3" xfId="5339" xr:uid="{00000000-0005-0000-0000-000035010000}"/>
    <cellStyle name="20% - Accent2 6 3 2" xfId="14665" xr:uid="{D4FA8A61-C8B3-41D8-872A-445DD196654C}"/>
    <cellStyle name="20% - Accent2 6 4" xfId="10448" xr:uid="{B133F41B-8DD4-43DD-A4F9-649C4806B940}"/>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C4F2B3F6-CBC8-4143-BDA5-B4E747B3985C}"/>
    <cellStyle name="20% - Accent2 7 2 3" xfId="13006" xr:uid="{FD1CBEF6-0EEC-47EB-AEB3-64E752F01D99}"/>
    <cellStyle name="20% - Accent2 7 3" xfId="5752" xr:uid="{00000000-0005-0000-0000-000039010000}"/>
    <cellStyle name="20% - Accent2 7 3 2" xfId="15078" xr:uid="{15A85F25-EF01-49D5-BD00-FB27340B8B7A}"/>
    <cellStyle name="20% - Accent2 7 4" xfId="10861" xr:uid="{9BCC63A4-D13F-44A8-8447-7122F6BAB841}"/>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6FB62CA0-FC9E-4F4B-8F38-DED5BB74596A}"/>
    <cellStyle name="20% - Accent2 8 2 3" xfId="13419" xr:uid="{8E780EA5-9F56-4105-A9D4-2CE31E187D7E}"/>
    <cellStyle name="20% - Accent2 8 3" xfId="6165" xr:uid="{00000000-0005-0000-0000-00003D010000}"/>
    <cellStyle name="20% - Accent2 8 3 2" xfId="15491" xr:uid="{7E807DBA-5944-4E87-8EC0-790181050D0D}"/>
    <cellStyle name="20% - Accent2 8 4" xfId="11274" xr:uid="{632543EB-7052-4E3C-8DF0-434DCAC2A677}"/>
    <cellStyle name="20% - Accent2 9" xfId="2272" xr:uid="{00000000-0005-0000-0000-00003E010000}"/>
    <cellStyle name="20% - Accent2 9 2" xfId="6578" xr:uid="{00000000-0005-0000-0000-00003F010000}"/>
    <cellStyle name="20% - Accent2 9 2 2" xfId="15904" xr:uid="{395B4211-2584-46B7-A15B-5C61A3AB232A}"/>
    <cellStyle name="20% - Accent2 9 3" xfId="11687" xr:uid="{FA796686-89ED-4332-A2D7-FD782EF7BBE4}"/>
    <cellStyle name="20% - Accent3" xfId="17" builtinId="38" customBuiltin="1"/>
    <cellStyle name="20% - Accent3 10" xfId="4520" xr:uid="{00000000-0005-0000-0000-000041010000}"/>
    <cellStyle name="20% - Accent3 10 2" xfId="13846" xr:uid="{7C010400-E760-4858-8863-830E85DC37D8}"/>
    <cellStyle name="20% - Accent3 11" xfId="8762" xr:uid="{49ACF776-43E7-4BB5-82F5-A8A4FEBC45F8}"/>
    <cellStyle name="20% - Accent3 11 2" xfId="18086" xr:uid="{E4A1B2AC-4084-45FE-AAD3-CE392AF66A72}"/>
    <cellStyle name="20% - Accent3 12" xfId="9629" xr:uid="{E5882531-CA7D-47BD-AE13-B594D0B3E654}"/>
    <cellStyle name="20% - Accent3 2" xfId="18" xr:uid="{00000000-0005-0000-0000-000042010000}"/>
    <cellStyle name="20% - Accent3 2 10" xfId="8792" xr:uid="{65E5762F-047C-4860-B47E-71363924E2A5}"/>
    <cellStyle name="20% - Accent3 2 10 2" xfId="18116" xr:uid="{AAAB8325-5AA7-4ADF-A009-B729664C1A6E}"/>
    <cellStyle name="20% - Accent3 2 11" xfId="9630" xr:uid="{A1F10838-3CD0-40F6-A120-A7D4D1D72372}"/>
    <cellStyle name="20% - Accent3 2 2" xfId="19" xr:uid="{00000000-0005-0000-0000-000043010000}"/>
    <cellStyle name="20% - Accent3 2 2 10" xfId="9631" xr:uid="{50B14D95-5827-4CBF-B4BC-DB7AB3789EC7}"/>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C21DBAA0-DDF4-40BD-83CA-A5A3C2841E4B}"/>
    <cellStyle name="20% - Accent3 2 2 2 2 2 3" xfId="12191" xr:uid="{18AB0D74-7637-40EC-AA03-3CC03B3C4E11}"/>
    <cellStyle name="20% - Accent3 2 2 2 2 3" xfId="4937" xr:uid="{00000000-0005-0000-0000-000048010000}"/>
    <cellStyle name="20% - Accent3 2 2 2 2 3 2" xfId="14263" xr:uid="{B8B7AC7E-6E9D-4F33-981E-76AF21EF403D}"/>
    <cellStyle name="20% - Accent3 2 2 2 2 4" xfId="9527" xr:uid="{B82F9F3C-4714-4F10-BEB2-F90FC0563F53}"/>
    <cellStyle name="20% - Accent3 2 2 2 2 4 2" xfId="18842" xr:uid="{800015DC-A095-4651-A2A4-A23BBECF4898}"/>
    <cellStyle name="20% - Accent3 2 2 2 2 5" xfId="10046" xr:uid="{C7875228-E1E0-477F-82F7-DFF4A3801396}"/>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4B320A54-DF38-488E-8DC2-B77FC535266D}"/>
    <cellStyle name="20% - Accent3 2 2 2 3 2 3" xfId="12604" xr:uid="{6BE9A455-1C9D-480C-BC3B-743AB032D2C3}"/>
    <cellStyle name="20% - Accent3 2 2 2 3 3" xfId="5350" xr:uid="{00000000-0005-0000-0000-00004C010000}"/>
    <cellStyle name="20% - Accent3 2 2 2 3 3 2" xfId="14676" xr:uid="{3BAE74DA-3493-4320-8598-A061FDE4C98B}"/>
    <cellStyle name="20% - Accent3 2 2 2 3 4" xfId="10459" xr:uid="{8DFAC76E-D54E-41E8-A06B-7FD9F0E90DCF}"/>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64FC7D47-88A3-4E94-A604-B36039ABC0DD}"/>
    <cellStyle name="20% - Accent3 2 2 2 4 2 3" xfId="13017" xr:uid="{92E103DF-802F-4D1D-8CCB-11F90EB6915B}"/>
    <cellStyle name="20% - Accent3 2 2 2 4 3" xfId="5763" xr:uid="{00000000-0005-0000-0000-000050010000}"/>
    <cellStyle name="20% - Accent3 2 2 2 4 3 2" xfId="15089" xr:uid="{485187C5-F886-4736-85A3-F6857B2E5644}"/>
    <cellStyle name="20% - Accent3 2 2 2 4 4" xfId="10872" xr:uid="{A94FACA1-B2A0-4931-BABB-2DC2DBDBDF73}"/>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D92CF60C-D58D-429A-827E-8039617564A2}"/>
    <cellStyle name="20% - Accent3 2 2 2 5 2 3" xfId="13430" xr:uid="{C559171A-E54F-4212-8DFE-FDDB92D3A7C2}"/>
    <cellStyle name="20% - Accent3 2 2 2 5 3" xfId="6176" xr:uid="{00000000-0005-0000-0000-000054010000}"/>
    <cellStyle name="20% - Accent3 2 2 2 5 3 2" xfId="15502" xr:uid="{24AC04C5-DED8-4F32-B239-6025A9197362}"/>
    <cellStyle name="20% - Accent3 2 2 2 5 4" xfId="11285" xr:uid="{B9532F0A-7101-446C-AA20-DC37D168CCFE}"/>
    <cellStyle name="20% - Accent3 2 2 2 6" xfId="2283" xr:uid="{00000000-0005-0000-0000-000055010000}"/>
    <cellStyle name="20% - Accent3 2 2 2 6 2" xfId="6589" xr:uid="{00000000-0005-0000-0000-000056010000}"/>
    <cellStyle name="20% - Accent3 2 2 2 6 2 2" xfId="15915" xr:uid="{F1F42666-3017-4425-9476-79717ADF485B}"/>
    <cellStyle name="20% - Accent3 2 2 2 6 3" xfId="11698" xr:uid="{9BF300AD-E5B3-4D6C-8AE4-F9A1AB59AE2E}"/>
    <cellStyle name="20% - Accent3 2 2 2 7" xfId="4523" xr:uid="{00000000-0005-0000-0000-000057010000}"/>
    <cellStyle name="20% - Accent3 2 2 2 7 2" xfId="13849" xr:uid="{C722F146-9B48-4AC1-8D09-7F4E747762AC}"/>
    <cellStyle name="20% - Accent3 2 2 2 8" xfId="9102" xr:uid="{77698EAD-FDE4-4105-BE80-980B5219F464}"/>
    <cellStyle name="20% - Accent3 2 2 2 8 2" xfId="18426" xr:uid="{8A92E0DB-FB3F-4BE5-BE48-51C046A0E5DA}"/>
    <cellStyle name="20% - Accent3 2 2 2 9" xfId="9632" xr:uid="{BFE6F775-6929-41A7-A23E-5B94E3E024C7}"/>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B528BE53-9A59-4B64-924C-42C46324533D}"/>
    <cellStyle name="20% - Accent3 2 2 3 2 3" xfId="12190" xr:uid="{54C57C93-3635-4DFA-A043-C0A3215E853D}"/>
    <cellStyle name="20% - Accent3 2 2 3 3" xfId="4936" xr:uid="{00000000-0005-0000-0000-00005B010000}"/>
    <cellStyle name="20% - Accent3 2 2 3 3 2" xfId="14262" xr:uid="{9508DEEB-8354-430F-879F-F9C774099E37}"/>
    <cellStyle name="20% - Accent3 2 2 3 4" xfId="9320" xr:uid="{BF070B19-D289-4211-B080-DBB621CAE7BA}"/>
    <cellStyle name="20% - Accent3 2 2 3 4 2" xfId="18635" xr:uid="{1BE25867-B6FB-4E19-B5AA-A49F1E3686C3}"/>
    <cellStyle name="20% - Accent3 2 2 3 5" xfId="10045" xr:uid="{29950D97-F7A7-42A4-B5B4-000675116B53}"/>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A846F615-8A1F-4094-854D-D5C29FAABCCD}"/>
    <cellStyle name="20% - Accent3 2 2 4 2 3" xfId="12603" xr:uid="{5A9D9524-5A05-4A90-83DD-8D10C7266373}"/>
    <cellStyle name="20% - Accent3 2 2 4 3" xfId="5349" xr:uid="{00000000-0005-0000-0000-00005F010000}"/>
    <cellStyle name="20% - Accent3 2 2 4 3 2" xfId="14675" xr:uid="{350D8233-7D9E-4CD9-A7BB-CAA201D03144}"/>
    <cellStyle name="20% - Accent3 2 2 4 4" xfId="10458" xr:uid="{2D2EC10F-49B8-46B6-BF11-0D6535E7F787}"/>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5DB96A2D-2C1B-41D5-9E6C-A7548BF0C0C1}"/>
    <cellStyle name="20% - Accent3 2 2 5 2 3" xfId="13016" xr:uid="{2E826D89-FDE7-4170-899D-5ACA137DFCF7}"/>
    <cellStyle name="20% - Accent3 2 2 5 3" xfId="5762" xr:uid="{00000000-0005-0000-0000-000063010000}"/>
    <cellStyle name="20% - Accent3 2 2 5 3 2" xfId="15088" xr:uid="{F1B0861F-2023-4B2A-9B55-939CA6AADB1A}"/>
    <cellStyle name="20% - Accent3 2 2 5 4" xfId="10871" xr:uid="{90FA0A29-A08B-454A-A0B1-0ED5653AC2B8}"/>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E01124C9-7E5E-40ED-A8E1-34D1847EF56E}"/>
    <cellStyle name="20% - Accent3 2 2 6 2 3" xfId="13429" xr:uid="{570B9232-ECF9-4643-9267-5CF7A0B40D09}"/>
    <cellStyle name="20% - Accent3 2 2 6 3" xfId="6175" xr:uid="{00000000-0005-0000-0000-000067010000}"/>
    <cellStyle name="20% - Accent3 2 2 6 3 2" xfId="15501" xr:uid="{DC954F37-C0DB-4CB4-A98D-0F527679F614}"/>
    <cellStyle name="20% - Accent3 2 2 6 4" xfId="11284" xr:uid="{0AE3824B-F54C-4D60-B875-37D26945C7E2}"/>
    <cellStyle name="20% - Accent3 2 2 7" xfId="2282" xr:uid="{00000000-0005-0000-0000-000068010000}"/>
    <cellStyle name="20% - Accent3 2 2 7 2" xfId="6588" xr:uid="{00000000-0005-0000-0000-000069010000}"/>
    <cellStyle name="20% - Accent3 2 2 7 2 2" xfId="15914" xr:uid="{1A171959-05A7-4881-8B01-DC5749C08FF7}"/>
    <cellStyle name="20% - Accent3 2 2 7 3" xfId="11697" xr:uid="{0277FD90-79CD-4F29-A682-CD54732D7940}"/>
    <cellStyle name="20% - Accent3 2 2 8" xfId="4522" xr:uid="{00000000-0005-0000-0000-00006A010000}"/>
    <cellStyle name="20% - Accent3 2 2 8 2" xfId="13848" xr:uid="{B66CA6F5-2EFE-4861-8740-D1822C0BB2B2}"/>
    <cellStyle name="20% - Accent3 2 2 9" xfId="8895" xr:uid="{0ADDC6BA-FD9D-420D-8F5A-13E0A04BBC7C}"/>
    <cellStyle name="20% - Accent3 2 2 9 2" xfId="18219" xr:uid="{30699234-AC3F-4C27-BB47-66EF1B087B94}"/>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26F3E3CA-5649-474C-B90D-EAA70F6474C5}"/>
    <cellStyle name="20% - Accent3 2 3 2 2 3" xfId="12192" xr:uid="{1B039382-8B81-4632-B4E7-1025BEB83CCA}"/>
    <cellStyle name="20% - Accent3 2 3 2 3" xfId="4938" xr:uid="{00000000-0005-0000-0000-00006F010000}"/>
    <cellStyle name="20% - Accent3 2 3 2 3 2" xfId="14264" xr:uid="{A80DDC4F-4D52-477E-BC15-4DA9F529A9E8}"/>
    <cellStyle name="20% - Accent3 2 3 2 4" xfId="9424" xr:uid="{C3588D98-6F24-4F2C-9F96-F34501405613}"/>
    <cellStyle name="20% - Accent3 2 3 2 4 2" xfId="18739" xr:uid="{9F490941-7D6C-4594-8684-43467D086B3F}"/>
    <cellStyle name="20% - Accent3 2 3 2 5" xfId="10047" xr:uid="{8C3C131B-56B1-4C42-A794-9DA35787F475}"/>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E47EE7B9-D325-43FE-BD57-37245DC43B8F}"/>
    <cellStyle name="20% - Accent3 2 3 3 2 3" xfId="12605" xr:uid="{860613D3-45B8-4DD2-8291-4E124654C152}"/>
    <cellStyle name="20% - Accent3 2 3 3 3" xfId="5351" xr:uid="{00000000-0005-0000-0000-000073010000}"/>
    <cellStyle name="20% - Accent3 2 3 3 3 2" xfId="14677" xr:uid="{BC790F8E-11DF-429B-9409-D46F44CB5216}"/>
    <cellStyle name="20% - Accent3 2 3 3 4" xfId="10460" xr:uid="{C6927C76-D021-4040-AB1C-687512A4A549}"/>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396E090F-2BD7-4EE7-A54E-7F50885DB913}"/>
    <cellStyle name="20% - Accent3 2 3 4 2 3" xfId="13018" xr:uid="{5023D247-9CFA-4DB4-AB99-007E60048945}"/>
    <cellStyle name="20% - Accent3 2 3 4 3" xfId="5764" xr:uid="{00000000-0005-0000-0000-000077010000}"/>
    <cellStyle name="20% - Accent3 2 3 4 3 2" xfId="15090" xr:uid="{296E11C0-E8E9-48EC-BF67-E54D649670D6}"/>
    <cellStyle name="20% - Accent3 2 3 4 4" xfId="10873" xr:uid="{928CB643-4923-43D7-B209-685E575599B7}"/>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1DFB091B-9A9F-4A37-95D2-C946C0CAFABE}"/>
    <cellStyle name="20% - Accent3 2 3 5 2 3" xfId="13431" xr:uid="{5E793E1F-9308-456F-9F34-CA1A98017714}"/>
    <cellStyle name="20% - Accent3 2 3 5 3" xfId="6177" xr:uid="{00000000-0005-0000-0000-00007B010000}"/>
    <cellStyle name="20% - Accent3 2 3 5 3 2" xfId="15503" xr:uid="{22BBF4A7-16E5-4B1F-BDEA-9ED6B10CB90D}"/>
    <cellStyle name="20% - Accent3 2 3 5 4" xfId="11286" xr:uid="{CE2FD57D-3A3A-4798-B03C-ED2DE10D69EA}"/>
    <cellStyle name="20% - Accent3 2 3 6" xfId="2284" xr:uid="{00000000-0005-0000-0000-00007C010000}"/>
    <cellStyle name="20% - Accent3 2 3 6 2" xfId="6590" xr:uid="{00000000-0005-0000-0000-00007D010000}"/>
    <cellStyle name="20% - Accent3 2 3 6 2 2" xfId="15916" xr:uid="{37F3992D-6DFD-476F-AE6B-E0170477E424}"/>
    <cellStyle name="20% - Accent3 2 3 6 3" xfId="11699" xr:uid="{E4CD3008-010E-4F71-BC84-856E87B48BD0}"/>
    <cellStyle name="20% - Accent3 2 3 7" xfId="4524" xr:uid="{00000000-0005-0000-0000-00007E010000}"/>
    <cellStyle name="20% - Accent3 2 3 7 2" xfId="13850" xr:uid="{EB14E5DA-C2C1-446E-A0A1-C921C48574EA}"/>
    <cellStyle name="20% - Accent3 2 3 8" xfId="8999" xr:uid="{2B5D0148-B6EA-4DEA-92B1-644886C27051}"/>
    <cellStyle name="20% - Accent3 2 3 8 2" xfId="18323" xr:uid="{2001D87E-C968-47BC-A6FE-D60753925682}"/>
    <cellStyle name="20% - Accent3 2 3 9" xfId="9633" xr:uid="{8769D436-1909-485A-8C15-FE0E2C5D5442}"/>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50DA03F4-23C6-454C-855E-196D1B08996C}"/>
    <cellStyle name="20% - Accent3 2 4 2 3" xfId="12189" xr:uid="{690DE7DB-BD9C-41F0-96FB-463DB8A55C09}"/>
    <cellStyle name="20% - Accent3 2 4 3" xfId="4935" xr:uid="{00000000-0005-0000-0000-000082010000}"/>
    <cellStyle name="20% - Accent3 2 4 3 2" xfId="14261" xr:uid="{724A1B07-898D-4100-A93E-7B6D6A2EA29F}"/>
    <cellStyle name="20% - Accent3 2 4 4" xfId="9216" xr:uid="{A12C3877-5492-4CD3-AD22-81B3F0AB1EDD}"/>
    <cellStyle name="20% - Accent3 2 4 4 2" xfId="18532" xr:uid="{20B17F2A-C7DD-4173-B1FE-C36CF39F3797}"/>
    <cellStyle name="20% - Accent3 2 4 5" xfId="10044" xr:uid="{5103EFF5-FD96-49EA-A4F8-6382736886C3}"/>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0DA4A806-AAE8-4C78-8CAA-E71F66056E90}"/>
    <cellStyle name="20% - Accent3 2 5 2 3" xfId="12602" xr:uid="{6105B62E-89D7-4348-9E93-E2D4EE0B5EDB}"/>
    <cellStyle name="20% - Accent3 2 5 3" xfId="5348" xr:uid="{00000000-0005-0000-0000-000086010000}"/>
    <cellStyle name="20% - Accent3 2 5 3 2" xfId="14674" xr:uid="{3FA5B0DF-8487-4ACC-8C98-2DCAE842EE7B}"/>
    <cellStyle name="20% - Accent3 2 5 4" xfId="10457" xr:uid="{11B6C732-FBE7-4C12-A316-CB30184D0CE8}"/>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BFC5BAD0-B451-43DC-B567-0745675665BD}"/>
    <cellStyle name="20% - Accent3 2 6 2 3" xfId="13015" xr:uid="{3A71C547-D660-4534-A1AA-51700DEE2EDC}"/>
    <cellStyle name="20% - Accent3 2 6 3" xfId="5761" xr:uid="{00000000-0005-0000-0000-00008A010000}"/>
    <cellStyle name="20% - Accent3 2 6 3 2" xfId="15087" xr:uid="{4C97E54B-FAD0-414E-AE9A-87CE1A490964}"/>
    <cellStyle name="20% - Accent3 2 6 4" xfId="10870" xr:uid="{100186F1-E4D7-4F08-A41B-215DF59F894B}"/>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32BF88F5-CEF9-4684-A13C-D519950AD227}"/>
    <cellStyle name="20% - Accent3 2 7 2 3" xfId="13428" xr:uid="{91E31DDD-EFC4-480E-A93B-BC8952C2D0FC}"/>
    <cellStyle name="20% - Accent3 2 7 3" xfId="6174" xr:uid="{00000000-0005-0000-0000-00008E010000}"/>
    <cellStyle name="20% - Accent3 2 7 3 2" xfId="15500" xr:uid="{DB4775EE-AD97-42E4-A26B-A9A317AA189D}"/>
    <cellStyle name="20% - Accent3 2 7 4" xfId="11283" xr:uid="{0A74087D-494E-4826-BE69-364385638251}"/>
    <cellStyle name="20% - Accent3 2 8" xfId="2281" xr:uid="{00000000-0005-0000-0000-00008F010000}"/>
    <cellStyle name="20% - Accent3 2 8 2" xfId="6587" xr:uid="{00000000-0005-0000-0000-000090010000}"/>
    <cellStyle name="20% - Accent3 2 8 2 2" xfId="15913" xr:uid="{5686D765-AD0A-4396-BE4D-3C1F374BCB02}"/>
    <cellStyle name="20% - Accent3 2 8 3" xfId="11696" xr:uid="{A9737C7F-1052-4892-93E9-CB75E38ADB04}"/>
    <cellStyle name="20% - Accent3 2 9" xfId="4521" xr:uid="{00000000-0005-0000-0000-000091010000}"/>
    <cellStyle name="20% - Accent3 2 9 2" xfId="13847" xr:uid="{18059025-453F-447B-87F8-2474D8EC0638}"/>
    <cellStyle name="20% - Accent3 3" xfId="22" xr:uid="{00000000-0005-0000-0000-000092010000}"/>
    <cellStyle name="20% - Accent3 3 10" xfId="9634" xr:uid="{4972E8B0-C36D-46AE-8ED1-081A2968088E}"/>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EB43A63E-45D9-47A8-8E76-DF36FC9DA5DB}"/>
    <cellStyle name="20% - Accent3 3 2 2 2 3" xfId="12194" xr:uid="{B83AD0B9-776A-4B6F-920E-B5E83FC350FF}"/>
    <cellStyle name="20% - Accent3 3 2 2 3" xfId="4940" xr:uid="{00000000-0005-0000-0000-000097010000}"/>
    <cellStyle name="20% - Accent3 3 2 2 3 2" xfId="14266" xr:uid="{CEE016C9-340F-4589-8A7C-11A3F2043E47}"/>
    <cellStyle name="20% - Accent3 3 2 2 4" xfId="9497" xr:uid="{43A0E151-F418-49A1-AF18-121DEB02B6D4}"/>
    <cellStyle name="20% - Accent3 3 2 2 4 2" xfId="18812" xr:uid="{C777BC94-4922-4FFC-9D70-DE994B7AF83C}"/>
    <cellStyle name="20% - Accent3 3 2 2 5" xfId="10049" xr:uid="{38F054F4-DCB5-43CA-9FEF-875F6EB04ED8}"/>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F1626D4F-83DE-4409-9FCC-58FC61A7FADC}"/>
    <cellStyle name="20% - Accent3 3 2 3 2 3" xfId="12607" xr:uid="{36DD5E44-9EC9-4D62-B68F-4BF9E026054F}"/>
    <cellStyle name="20% - Accent3 3 2 3 3" xfId="5353" xr:uid="{00000000-0005-0000-0000-00009B010000}"/>
    <cellStyle name="20% - Accent3 3 2 3 3 2" xfId="14679" xr:uid="{8BD644E2-0D02-47FE-919B-5DE3C24D375F}"/>
    <cellStyle name="20% - Accent3 3 2 3 4" xfId="10462" xr:uid="{A3E7DCA9-5B7C-4A87-9F66-A2BAB6624099}"/>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B0B4B034-360E-4592-8554-8AC8801CC543}"/>
    <cellStyle name="20% - Accent3 3 2 4 2 3" xfId="13020" xr:uid="{7D47E5B4-C8D3-46F9-ADC2-3512B0AB9B59}"/>
    <cellStyle name="20% - Accent3 3 2 4 3" xfId="5766" xr:uid="{00000000-0005-0000-0000-00009F010000}"/>
    <cellStyle name="20% - Accent3 3 2 4 3 2" xfId="15092" xr:uid="{DBF84F1E-A6C5-440D-88D3-5160EDC59577}"/>
    <cellStyle name="20% - Accent3 3 2 4 4" xfId="10875" xr:uid="{82483A41-455B-49A5-AE98-7A089E9ADB6E}"/>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2E4DB02D-5F6F-44B5-987E-44ECDE3D140C}"/>
    <cellStyle name="20% - Accent3 3 2 5 2 3" xfId="13433" xr:uid="{B1CE7947-EE29-4296-8B2E-838D747A0C99}"/>
    <cellStyle name="20% - Accent3 3 2 5 3" xfId="6179" xr:uid="{00000000-0005-0000-0000-0000A3010000}"/>
    <cellStyle name="20% - Accent3 3 2 5 3 2" xfId="15505" xr:uid="{B8D156FC-D9D1-4D8B-B7DE-94916DA0E3F3}"/>
    <cellStyle name="20% - Accent3 3 2 5 4" xfId="11288" xr:uid="{A4BD782F-D0F7-4541-979C-AA65ED59ED30}"/>
    <cellStyle name="20% - Accent3 3 2 6" xfId="2286" xr:uid="{00000000-0005-0000-0000-0000A4010000}"/>
    <cellStyle name="20% - Accent3 3 2 6 2" xfId="6592" xr:uid="{00000000-0005-0000-0000-0000A5010000}"/>
    <cellStyle name="20% - Accent3 3 2 6 2 2" xfId="15918" xr:uid="{8E121114-34F6-460E-A3D5-725979B8549A}"/>
    <cellStyle name="20% - Accent3 3 2 6 3" xfId="11701" xr:uid="{EE1C9E0B-AB92-45C0-8644-392C9384665C}"/>
    <cellStyle name="20% - Accent3 3 2 7" xfId="4526" xr:uid="{00000000-0005-0000-0000-0000A6010000}"/>
    <cellStyle name="20% - Accent3 3 2 7 2" xfId="13852" xr:uid="{B5339261-75E2-463D-85F6-2A6C47B77D7A}"/>
    <cellStyle name="20% - Accent3 3 2 8" xfId="9072" xr:uid="{422EC144-F6F8-460E-8B93-316BBF9707FB}"/>
    <cellStyle name="20% - Accent3 3 2 8 2" xfId="18396" xr:uid="{4C0CAFE4-BA71-4363-9833-28A0C8457773}"/>
    <cellStyle name="20% - Accent3 3 2 9" xfId="9635" xr:uid="{B0C106AE-C404-4855-9D86-A9BF221B2218}"/>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12F4CCF5-867F-4BE2-884D-07F53DA84E53}"/>
    <cellStyle name="20% - Accent3 3 3 2 3" xfId="12193" xr:uid="{630E3391-73E9-4BC9-B2E4-154019B49BD6}"/>
    <cellStyle name="20% - Accent3 3 3 3" xfId="4939" xr:uid="{00000000-0005-0000-0000-0000AA010000}"/>
    <cellStyle name="20% - Accent3 3 3 3 2" xfId="14265" xr:uid="{6EDD7578-AAAB-4C56-B731-B94D9A5FD1E9}"/>
    <cellStyle name="20% - Accent3 3 3 4" xfId="9290" xr:uid="{8511D0A3-BAF4-4D49-BFEA-2ED828678819}"/>
    <cellStyle name="20% - Accent3 3 3 4 2" xfId="18605" xr:uid="{16947C33-A2CC-4234-9E7C-ED50932BAEDB}"/>
    <cellStyle name="20% - Accent3 3 3 5" xfId="10048" xr:uid="{F07A0B7F-79FB-46C7-820A-4641C4105EE7}"/>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420E38B7-B1E8-420C-8323-6F500D770CD6}"/>
    <cellStyle name="20% - Accent3 3 4 2 3" xfId="12606" xr:uid="{19829E83-1E03-4451-99F4-48E2F9883BB9}"/>
    <cellStyle name="20% - Accent3 3 4 3" xfId="5352" xr:uid="{00000000-0005-0000-0000-0000AE010000}"/>
    <cellStyle name="20% - Accent3 3 4 3 2" xfId="14678" xr:uid="{C50B9537-FD48-47A7-B19E-38416B019822}"/>
    <cellStyle name="20% - Accent3 3 4 4" xfId="10461" xr:uid="{CB6EE985-FEF7-487F-9F31-9FCA775B5406}"/>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681CA0F4-B34A-47CA-95B8-1D5D51457C2D}"/>
    <cellStyle name="20% - Accent3 3 5 2 3" xfId="13019" xr:uid="{7A4C965D-5841-4F64-93AE-B3321D4FE3AD}"/>
    <cellStyle name="20% - Accent3 3 5 3" xfId="5765" xr:uid="{00000000-0005-0000-0000-0000B2010000}"/>
    <cellStyle name="20% - Accent3 3 5 3 2" xfId="15091" xr:uid="{90D057D2-DBE8-4167-830A-232B1D5F65AD}"/>
    <cellStyle name="20% - Accent3 3 5 4" xfId="10874" xr:uid="{3E14B548-9F2E-46A3-847C-D6FB66F9AB06}"/>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C6D52A74-FEAE-4402-90F4-67248D225F4C}"/>
    <cellStyle name="20% - Accent3 3 6 2 3" xfId="13432" xr:uid="{998BF340-48DD-40E2-8E38-E4346CB66C87}"/>
    <cellStyle name="20% - Accent3 3 6 3" xfId="6178" xr:uid="{00000000-0005-0000-0000-0000B6010000}"/>
    <cellStyle name="20% - Accent3 3 6 3 2" xfId="15504" xr:uid="{C58E9074-DCD1-444E-9184-157E3E86FF60}"/>
    <cellStyle name="20% - Accent3 3 6 4" xfId="11287" xr:uid="{B46C2303-B276-4B1F-A7F0-9CE4880B4E25}"/>
    <cellStyle name="20% - Accent3 3 7" xfId="2285" xr:uid="{00000000-0005-0000-0000-0000B7010000}"/>
    <cellStyle name="20% - Accent3 3 7 2" xfId="6591" xr:uid="{00000000-0005-0000-0000-0000B8010000}"/>
    <cellStyle name="20% - Accent3 3 7 2 2" xfId="15917" xr:uid="{51757450-453F-4E01-951E-F098FF298E62}"/>
    <cellStyle name="20% - Accent3 3 7 3" xfId="11700" xr:uid="{5B9294E8-CF97-448D-A9BB-0B6A391CD693}"/>
    <cellStyle name="20% - Accent3 3 8" xfId="4525" xr:uid="{00000000-0005-0000-0000-0000B9010000}"/>
    <cellStyle name="20% - Accent3 3 8 2" xfId="13851" xr:uid="{DEF57458-D564-4DB0-9F71-DC093B28AE25}"/>
    <cellStyle name="20% - Accent3 3 9" xfId="8865" xr:uid="{FFA3EBA3-F40D-47A2-8AA1-A3A9E7BB9A8E}"/>
    <cellStyle name="20% - Accent3 3 9 2" xfId="18189" xr:uid="{A0609BA7-D1ED-4CBA-8932-EEE0CF721176}"/>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C41FC7CE-E2E8-448C-910C-6A8ED03C9DB8}"/>
    <cellStyle name="20% - Accent3 4 2 2 3" xfId="12195" xr:uid="{EB5BB635-8764-4B45-BCFC-9542214119AA}"/>
    <cellStyle name="20% - Accent3 4 2 3" xfId="4941" xr:uid="{00000000-0005-0000-0000-0000BE010000}"/>
    <cellStyle name="20% - Accent3 4 2 3 2" xfId="14267" xr:uid="{B6F05ED6-2792-4FEC-BE11-920BD2E4C532}"/>
    <cellStyle name="20% - Accent3 4 2 4" xfId="9376" xr:uid="{92AC27CA-0B0B-4AFE-8457-D3F19BE2837F}"/>
    <cellStyle name="20% - Accent3 4 2 4 2" xfId="18691" xr:uid="{F7803969-0205-4D1E-A5B6-B58B710011A2}"/>
    <cellStyle name="20% - Accent3 4 2 5" xfId="10050" xr:uid="{8FE7AC10-CD34-4A0A-9E81-0AC8DAE4ED3E}"/>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226A0E28-C940-457B-9E80-B33424B4AE99}"/>
    <cellStyle name="20% - Accent3 4 3 2 3" xfId="12608" xr:uid="{CECB59B4-103B-487C-87B6-87CB9BAE3086}"/>
    <cellStyle name="20% - Accent3 4 3 3" xfId="5354" xr:uid="{00000000-0005-0000-0000-0000C2010000}"/>
    <cellStyle name="20% - Accent3 4 3 3 2" xfId="14680" xr:uid="{44682E7B-83C6-4590-AB83-C4A882B43B6D}"/>
    <cellStyle name="20% - Accent3 4 3 4" xfId="10463" xr:uid="{BB42BD72-79E7-4141-87FD-306F8E082803}"/>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5B5F0601-1C4B-47D5-8C35-D6E778563BA3}"/>
    <cellStyle name="20% - Accent3 4 4 2 3" xfId="13021" xr:uid="{75C3825B-C038-4E30-A371-33A88CB1D3CF}"/>
    <cellStyle name="20% - Accent3 4 4 3" xfId="5767" xr:uid="{00000000-0005-0000-0000-0000C6010000}"/>
    <cellStyle name="20% - Accent3 4 4 3 2" xfId="15093" xr:uid="{B66F48FC-1136-47DC-8B80-715A8C41B401}"/>
    <cellStyle name="20% - Accent3 4 4 4" xfId="10876" xr:uid="{DB69B967-7485-4F6F-93B8-DDABA191BAB9}"/>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AE04A229-8264-4327-83F7-61B105918257}"/>
    <cellStyle name="20% - Accent3 4 5 2 3" xfId="13434" xr:uid="{EC36F1EC-6907-4BAB-A671-DF8D95929C7C}"/>
    <cellStyle name="20% - Accent3 4 5 3" xfId="6180" xr:uid="{00000000-0005-0000-0000-0000CA010000}"/>
    <cellStyle name="20% - Accent3 4 5 3 2" xfId="15506" xr:uid="{CEE41F83-2059-4FCC-8CEF-02CA2C8D4E1C}"/>
    <cellStyle name="20% - Accent3 4 5 4" xfId="11289" xr:uid="{56C1CFD3-8627-4793-8219-CF97F3AF6817}"/>
    <cellStyle name="20% - Accent3 4 6" xfId="2287" xr:uid="{00000000-0005-0000-0000-0000CB010000}"/>
    <cellStyle name="20% - Accent3 4 6 2" xfId="6593" xr:uid="{00000000-0005-0000-0000-0000CC010000}"/>
    <cellStyle name="20% - Accent3 4 6 2 2" xfId="15919" xr:uid="{2AD305EB-125D-4F39-B8F8-BEF38E3DD223}"/>
    <cellStyle name="20% - Accent3 4 6 3" xfId="11702" xr:uid="{ADBF803E-00AD-4415-BB31-945449C40F78}"/>
    <cellStyle name="20% - Accent3 4 7" xfId="4527" xr:uid="{00000000-0005-0000-0000-0000CD010000}"/>
    <cellStyle name="20% - Accent3 4 7 2" xfId="13853" xr:uid="{E92A86BF-66E8-4344-A4B8-8677B7503C67}"/>
    <cellStyle name="20% - Accent3 4 8" xfId="8951" xr:uid="{3CB7770B-4F12-4C44-B65D-06C641FEE851}"/>
    <cellStyle name="20% - Accent3 4 8 2" xfId="18275" xr:uid="{EB7FFD48-564A-4C76-BD29-7C6137DC777F}"/>
    <cellStyle name="20% - Accent3 4 9" xfId="9636" xr:uid="{6C7D73AF-3EC9-4732-ABAA-5981FFF6E8D2}"/>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6942CF68-43DF-4893-9BF3-B5F6B98B4D9E}"/>
    <cellStyle name="20% - Accent3 5 2 3" xfId="12188" xr:uid="{A431DF1B-6922-4F81-B44B-B859177142EC}"/>
    <cellStyle name="20% - Accent3 5 3" xfId="4934" xr:uid="{00000000-0005-0000-0000-0000D1010000}"/>
    <cellStyle name="20% - Accent3 5 3 2" xfId="14260" xr:uid="{B218B438-B270-46B4-940F-62175C40AAD9}"/>
    <cellStyle name="20% - Accent3 5 4" xfId="9184" xr:uid="{F51B2D95-9593-4370-A6D2-AFEF087D7920}"/>
    <cellStyle name="20% - Accent3 5 4 2" xfId="18502" xr:uid="{CB599FD8-39A0-4BC3-827F-86FE82FD9F79}"/>
    <cellStyle name="20% - Accent3 5 5" xfId="10043" xr:uid="{46ACA09C-D599-496E-A940-D017C7726429}"/>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20B3BBB7-9F3C-482F-9DBA-761E7E1B70F7}"/>
    <cellStyle name="20% - Accent3 6 2 3" xfId="12601" xr:uid="{02EAB041-7697-44ED-AE33-79F0A1FA4047}"/>
    <cellStyle name="20% - Accent3 6 3" xfId="5347" xr:uid="{00000000-0005-0000-0000-0000D5010000}"/>
    <cellStyle name="20% - Accent3 6 3 2" xfId="14673" xr:uid="{5B7D6BB9-8BBB-4299-84DE-D7DBB2F76456}"/>
    <cellStyle name="20% - Accent3 6 4" xfId="10456" xr:uid="{70C1428D-93FE-4D5C-B5FA-DC466DB86DCE}"/>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FD1B8A63-772C-4A20-A08F-B1EF1CAC795E}"/>
    <cellStyle name="20% - Accent3 7 2 3" xfId="13014" xr:uid="{C521A7EE-8BBA-4609-B36B-2AB9E7175C7C}"/>
    <cellStyle name="20% - Accent3 7 3" xfId="5760" xr:uid="{00000000-0005-0000-0000-0000D9010000}"/>
    <cellStyle name="20% - Accent3 7 3 2" xfId="15086" xr:uid="{2F44A6CD-9B29-4536-B692-CC2FA57127BF}"/>
    <cellStyle name="20% - Accent3 7 4" xfId="10869" xr:uid="{52B8D7AA-0656-4BB4-93A3-7E92C87C6FAC}"/>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7435ADB2-61D8-4C26-8D83-9DEA4267A470}"/>
    <cellStyle name="20% - Accent3 8 2 3" xfId="13427" xr:uid="{65316B9C-8BDA-4A74-AA14-3D273BA8A0B6}"/>
    <cellStyle name="20% - Accent3 8 3" xfId="6173" xr:uid="{00000000-0005-0000-0000-0000DD010000}"/>
    <cellStyle name="20% - Accent3 8 3 2" xfId="15499" xr:uid="{ABA718D3-CC02-40F5-A8DB-1072A7BCD07A}"/>
    <cellStyle name="20% - Accent3 8 4" xfId="11282" xr:uid="{36A392A2-1579-4C54-B8F3-36896FF6F1B6}"/>
    <cellStyle name="20% - Accent3 9" xfId="2280" xr:uid="{00000000-0005-0000-0000-0000DE010000}"/>
    <cellStyle name="20% - Accent3 9 2" xfId="6586" xr:uid="{00000000-0005-0000-0000-0000DF010000}"/>
    <cellStyle name="20% - Accent3 9 2 2" xfId="15912" xr:uid="{48043E99-5579-4E3D-B0F7-7227B78FCD3A}"/>
    <cellStyle name="20% - Accent3 9 3" xfId="11695" xr:uid="{F09126AD-A77C-4B36-AD58-80FE8EC9177F}"/>
    <cellStyle name="20% - Accent4" xfId="25" builtinId="42" customBuiltin="1"/>
    <cellStyle name="20% - Accent4 10" xfId="4528" xr:uid="{00000000-0005-0000-0000-0000E1010000}"/>
    <cellStyle name="20% - Accent4 10 2" xfId="13854" xr:uid="{05C6532D-A915-4E07-B536-F75FCA219FCA}"/>
    <cellStyle name="20% - Accent4 11" xfId="8764" xr:uid="{4A9BF508-806C-496D-AEC5-5842E4A62892}"/>
    <cellStyle name="20% - Accent4 11 2" xfId="18088" xr:uid="{46E2DD8C-48D8-4045-816E-F9D666306C2F}"/>
    <cellStyle name="20% - Accent4 12" xfId="9637" xr:uid="{677031BA-DBC3-4E5F-8D25-D8CFCEB4B7D9}"/>
    <cellStyle name="20% - Accent4 2" xfId="26" xr:uid="{00000000-0005-0000-0000-0000E2010000}"/>
    <cellStyle name="20% - Accent4 2 10" xfId="8794" xr:uid="{31A2F477-5237-45C2-B43F-25AC049A95FF}"/>
    <cellStyle name="20% - Accent4 2 10 2" xfId="18118" xr:uid="{436CDB87-1D11-4E7A-BDA3-BEBA6EB3F212}"/>
    <cellStyle name="20% - Accent4 2 11" xfId="9638" xr:uid="{EE349CAA-8B67-4E83-A651-49A1023CF551}"/>
    <cellStyle name="20% - Accent4 2 2" xfId="27" xr:uid="{00000000-0005-0000-0000-0000E3010000}"/>
    <cellStyle name="20% - Accent4 2 2 10" xfId="9639" xr:uid="{75BBA1BD-1BEB-4599-97B4-65BAD120F876}"/>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EF6C90CE-F41B-4281-9A3A-B615761A41E5}"/>
    <cellStyle name="20% - Accent4 2 2 2 2 2 3" xfId="12199" xr:uid="{349A384D-7C40-42C7-A275-7EEE250884AE}"/>
    <cellStyle name="20% - Accent4 2 2 2 2 3" xfId="4945" xr:uid="{00000000-0005-0000-0000-0000E8010000}"/>
    <cellStyle name="20% - Accent4 2 2 2 2 3 2" xfId="14271" xr:uid="{9EF3F790-10E0-45CE-85E0-D49A32D3CA5A}"/>
    <cellStyle name="20% - Accent4 2 2 2 2 4" xfId="9529" xr:uid="{0C40CE19-1873-4316-818D-CC943AAFBB7B}"/>
    <cellStyle name="20% - Accent4 2 2 2 2 4 2" xfId="18844" xr:uid="{B102D6E5-A1FC-432E-B83A-E8065B1D4AE4}"/>
    <cellStyle name="20% - Accent4 2 2 2 2 5" xfId="10054" xr:uid="{4B42DBD9-9FC8-4DF3-AC93-A5A1892E11A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4BD7168A-1C9F-4B32-96EC-3EE505F76612}"/>
    <cellStyle name="20% - Accent4 2 2 2 3 2 3" xfId="12612" xr:uid="{05867B45-69A5-457F-883D-1AEAF71D5AD7}"/>
    <cellStyle name="20% - Accent4 2 2 2 3 3" xfId="5358" xr:uid="{00000000-0005-0000-0000-0000EC010000}"/>
    <cellStyle name="20% - Accent4 2 2 2 3 3 2" xfId="14684" xr:uid="{8DED66C3-C043-49C9-8E56-D7518687BF2C}"/>
    <cellStyle name="20% - Accent4 2 2 2 3 4" xfId="10467" xr:uid="{0D487C5E-31CF-4E6B-A5B8-4C14D643DA8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435C87D6-CD9F-4120-A8B8-D4BAF1EC7ABC}"/>
    <cellStyle name="20% - Accent4 2 2 2 4 2 3" xfId="13025" xr:uid="{72EEEC31-40CE-447C-AD21-68FD9A585899}"/>
    <cellStyle name="20% - Accent4 2 2 2 4 3" xfId="5771" xr:uid="{00000000-0005-0000-0000-0000F0010000}"/>
    <cellStyle name="20% - Accent4 2 2 2 4 3 2" xfId="15097" xr:uid="{7BC775A3-7C3B-4373-9F0C-7C9E60A72C89}"/>
    <cellStyle name="20% - Accent4 2 2 2 4 4" xfId="10880" xr:uid="{3366F5F0-0BB4-48EA-B9F5-7DD0F839C0BB}"/>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1C806C70-B3DB-4E86-B21F-14D5B098B1B7}"/>
    <cellStyle name="20% - Accent4 2 2 2 5 2 3" xfId="13438" xr:uid="{DC6CA35B-F1C8-42EF-A928-3F88C4EEA3DC}"/>
    <cellStyle name="20% - Accent4 2 2 2 5 3" xfId="6184" xr:uid="{00000000-0005-0000-0000-0000F4010000}"/>
    <cellStyle name="20% - Accent4 2 2 2 5 3 2" xfId="15510" xr:uid="{331EB643-617B-4446-BF75-FBFBE130E8BF}"/>
    <cellStyle name="20% - Accent4 2 2 2 5 4" xfId="11293" xr:uid="{C8D19DEB-339C-4CC8-A75A-E758E83C0679}"/>
    <cellStyle name="20% - Accent4 2 2 2 6" xfId="2291" xr:uid="{00000000-0005-0000-0000-0000F5010000}"/>
    <cellStyle name="20% - Accent4 2 2 2 6 2" xfId="6597" xr:uid="{00000000-0005-0000-0000-0000F6010000}"/>
    <cellStyle name="20% - Accent4 2 2 2 6 2 2" xfId="15923" xr:uid="{71E3A036-224C-4CF0-A71C-AC92FD35F307}"/>
    <cellStyle name="20% - Accent4 2 2 2 6 3" xfId="11706" xr:uid="{4746230C-967F-483D-82A7-6E678C6C1368}"/>
    <cellStyle name="20% - Accent4 2 2 2 7" xfId="4531" xr:uid="{00000000-0005-0000-0000-0000F7010000}"/>
    <cellStyle name="20% - Accent4 2 2 2 7 2" xfId="13857" xr:uid="{169F890D-A230-45A6-8227-E2F343AD09C3}"/>
    <cellStyle name="20% - Accent4 2 2 2 8" xfId="9104" xr:uid="{526BE306-22BA-4A85-81B2-34AEB56F0D90}"/>
    <cellStyle name="20% - Accent4 2 2 2 8 2" xfId="18428" xr:uid="{4FDF6337-B79A-4631-973D-EEF620478D56}"/>
    <cellStyle name="20% - Accent4 2 2 2 9" xfId="9640" xr:uid="{9CD1C723-017A-4FE0-8867-C373A84400F9}"/>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1EDDA93A-4A63-45DE-A90D-645C6DD23677}"/>
    <cellStyle name="20% - Accent4 2 2 3 2 3" xfId="12198" xr:uid="{BABC4794-54D7-4826-B4A7-14DF765BD2D2}"/>
    <cellStyle name="20% - Accent4 2 2 3 3" xfId="4944" xr:uid="{00000000-0005-0000-0000-0000FB010000}"/>
    <cellStyle name="20% - Accent4 2 2 3 3 2" xfId="14270" xr:uid="{16529E73-C85F-4794-A4D1-7621BD29A4E2}"/>
    <cellStyle name="20% - Accent4 2 2 3 4" xfId="9322" xr:uid="{003BBE99-27AA-4036-A373-4475953A88F4}"/>
    <cellStyle name="20% - Accent4 2 2 3 4 2" xfId="18637" xr:uid="{94238767-4000-48B3-A024-58FF88E51D0A}"/>
    <cellStyle name="20% - Accent4 2 2 3 5" xfId="10053" xr:uid="{4F0705DC-F9AD-4B2A-BDEF-E59A1CC274E1}"/>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881EB3DB-7FF0-46CB-8ECD-77CDDD6E15B7}"/>
    <cellStyle name="20% - Accent4 2 2 4 2 3" xfId="12611" xr:uid="{4376BE28-15DF-4312-8033-CCA9BAE655F6}"/>
    <cellStyle name="20% - Accent4 2 2 4 3" xfId="5357" xr:uid="{00000000-0005-0000-0000-0000FF010000}"/>
    <cellStyle name="20% - Accent4 2 2 4 3 2" xfId="14683" xr:uid="{A52D1EA6-482D-4BF5-84ED-27CE27EB74CD}"/>
    <cellStyle name="20% - Accent4 2 2 4 4" xfId="10466" xr:uid="{4B94CF71-B238-4632-BEA8-82C379CFE557}"/>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F31DCA6B-6813-4980-9B3E-94F1031F0204}"/>
    <cellStyle name="20% - Accent4 2 2 5 2 3" xfId="13024" xr:uid="{216D79F6-908A-4371-A888-32EEB175BB34}"/>
    <cellStyle name="20% - Accent4 2 2 5 3" xfId="5770" xr:uid="{00000000-0005-0000-0000-000003020000}"/>
    <cellStyle name="20% - Accent4 2 2 5 3 2" xfId="15096" xr:uid="{1D9FD895-C5ED-4B1B-9E3D-BCD39230D637}"/>
    <cellStyle name="20% - Accent4 2 2 5 4" xfId="10879" xr:uid="{D607B49A-466B-42CF-9B3C-B301E156458E}"/>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9A8FF127-0501-4A39-98E3-9738EE0C3F07}"/>
    <cellStyle name="20% - Accent4 2 2 6 2 3" xfId="13437" xr:uid="{F6AF9FF5-A57D-4518-B886-F20DBACFB32F}"/>
    <cellStyle name="20% - Accent4 2 2 6 3" xfId="6183" xr:uid="{00000000-0005-0000-0000-000007020000}"/>
    <cellStyle name="20% - Accent4 2 2 6 3 2" xfId="15509" xr:uid="{1D10FF2C-9FA3-4563-93F7-C8EAE6840797}"/>
    <cellStyle name="20% - Accent4 2 2 6 4" xfId="11292" xr:uid="{04268CFD-55BE-441B-8938-2B668BD0F07A}"/>
    <cellStyle name="20% - Accent4 2 2 7" xfId="2290" xr:uid="{00000000-0005-0000-0000-000008020000}"/>
    <cellStyle name="20% - Accent4 2 2 7 2" xfId="6596" xr:uid="{00000000-0005-0000-0000-000009020000}"/>
    <cellStyle name="20% - Accent4 2 2 7 2 2" xfId="15922" xr:uid="{D0D87EE5-E55A-45B7-BC0E-B87564584F26}"/>
    <cellStyle name="20% - Accent4 2 2 7 3" xfId="11705" xr:uid="{89BF36B0-3C8F-4B80-A503-FE5BF5CDD8C8}"/>
    <cellStyle name="20% - Accent4 2 2 8" xfId="4530" xr:uid="{00000000-0005-0000-0000-00000A020000}"/>
    <cellStyle name="20% - Accent4 2 2 8 2" xfId="13856" xr:uid="{B008C042-3474-4346-BDC8-1E0A29A83820}"/>
    <cellStyle name="20% - Accent4 2 2 9" xfId="8897" xr:uid="{3A58A73C-0193-4EAC-8E12-5BF8743CE9BA}"/>
    <cellStyle name="20% - Accent4 2 2 9 2" xfId="18221" xr:uid="{BC8111CF-ABC8-4C69-96D8-FE91D8634C14}"/>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7AA9E6EB-E462-4ED8-B864-4AA14E638DA6}"/>
    <cellStyle name="20% - Accent4 2 3 2 2 3" xfId="12200" xr:uid="{EE8B2193-90CA-4EE3-8DC1-2C5B953F5EEE}"/>
    <cellStyle name="20% - Accent4 2 3 2 3" xfId="4946" xr:uid="{00000000-0005-0000-0000-00000F020000}"/>
    <cellStyle name="20% - Accent4 2 3 2 3 2" xfId="14272" xr:uid="{2E8A0FFE-BE23-48E2-8852-8D388C1ADCDC}"/>
    <cellStyle name="20% - Accent4 2 3 2 4" xfId="9426" xr:uid="{5B247D51-FBFD-4799-8395-E3F1C04297B8}"/>
    <cellStyle name="20% - Accent4 2 3 2 4 2" xfId="18741" xr:uid="{63F0D08C-84FA-4DF7-B1A1-99DEF667D56C}"/>
    <cellStyle name="20% - Accent4 2 3 2 5" xfId="10055" xr:uid="{24FF7456-D006-45F0-B9AB-5085D4C4E262}"/>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F6508A80-341A-4357-943D-71C281ED47EF}"/>
    <cellStyle name="20% - Accent4 2 3 3 2 3" xfId="12613" xr:uid="{6E64B8CC-4BC6-41CA-B9B0-10F02E55145C}"/>
    <cellStyle name="20% - Accent4 2 3 3 3" xfId="5359" xr:uid="{00000000-0005-0000-0000-000013020000}"/>
    <cellStyle name="20% - Accent4 2 3 3 3 2" xfId="14685" xr:uid="{4F01F6A6-D331-419D-A9D9-A005248F3DAE}"/>
    <cellStyle name="20% - Accent4 2 3 3 4" xfId="10468" xr:uid="{BA5000CC-90F1-4147-ABAF-CC94BD653AC9}"/>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5FA82362-8862-45A4-8151-8209B55DEB7E}"/>
    <cellStyle name="20% - Accent4 2 3 4 2 3" xfId="13026" xr:uid="{31394053-67FA-425E-B2DD-7E2566E82B95}"/>
    <cellStyle name="20% - Accent4 2 3 4 3" xfId="5772" xr:uid="{00000000-0005-0000-0000-000017020000}"/>
    <cellStyle name="20% - Accent4 2 3 4 3 2" xfId="15098" xr:uid="{E02D7D37-97C4-44D0-8E33-7E0E86188CDF}"/>
    <cellStyle name="20% - Accent4 2 3 4 4" xfId="10881" xr:uid="{169A93A5-5D3B-4C20-868C-F8607A6DA13B}"/>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DC8FBFC2-4F22-4087-B285-B200AB75D301}"/>
    <cellStyle name="20% - Accent4 2 3 5 2 3" xfId="13439" xr:uid="{2BA8D713-34BA-4D6F-8895-DAF579171824}"/>
    <cellStyle name="20% - Accent4 2 3 5 3" xfId="6185" xr:uid="{00000000-0005-0000-0000-00001B020000}"/>
    <cellStyle name="20% - Accent4 2 3 5 3 2" xfId="15511" xr:uid="{E58E707D-74F8-47EA-A87F-879113113F4A}"/>
    <cellStyle name="20% - Accent4 2 3 5 4" xfId="11294" xr:uid="{EDE2F102-9703-45CC-99FC-9552222659C3}"/>
    <cellStyle name="20% - Accent4 2 3 6" xfId="2292" xr:uid="{00000000-0005-0000-0000-00001C020000}"/>
    <cellStyle name="20% - Accent4 2 3 6 2" xfId="6598" xr:uid="{00000000-0005-0000-0000-00001D020000}"/>
    <cellStyle name="20% - Accent4 2 3 6 2 2" xfId="15924" xr:uid="{B43AAB55-0CAA-4E75-A416-6238E4BA668E}"/>
    <cellStyle name="20% - Accent4 2 3 6 3" xfId="11707" xr:uid="{F4238EC3-22D3-4F35-9F72-E6B317847065}"/>
    <cellStyle name="20% - Accent4 2 3 7" xfId="4532" xr:uid="{00000000-0005-0000-0000-00001E020000}"/>
    <cellStyle name="20% - Accent4 2 3 7 2" xfId="13858" xr:uid="{A6FDB08F-B059-44BB-B3C6-5E6FE71DD2F9}"/>
    <cellStyle name="20% - Accent4 2 3 8" xfId="9001" xr:uid="{B9DE6BBA-06E2-4FC8-B645-F20E60244072}"/>
    <cellStyle name="20% - Accent4 2 3 8 2" xfId="18325" xr:uid="{8AA8625D-2ABE-4141-A376-11D91E606D79}"/>
    <cellStyle name="20% - Accent4 2 3 9" xfId="9641" xr:uid="{C356627A-AA65-4BF4-B990-18C4D823EAB0}"/>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F160426F-6B31-4092-AA5C-5143A14512C7}"/>
    <cellStyle name="20% - Accent4 2 4 2 3" xfId="12197" xr:uid="{A6C30B85-68BC-438C-B3BD-B2A5E180DE74}"/>
    <cellStyle name="20% - Accent4 2 4 3" xfId="4943" xr:uid="{00000000-0005-0000-0000-000022020000}"/>
    <cellStyle name="20% - Accent4 2 4 3 2" xfId="14269" xr:uid="{81DED6E0-E593-4B95-9E2F-5918D3393CD9}"/>
    <cellStyle name="20% - Accent4 2 4 4" xfId="9218" xr:uid="{EEA9CEE5-7B27-41EB-B571-13D0ADC44445}"/>
    <cellStyle name="20% - Accent4 2 4 4 2" xfId="18534" xr:uid="{BA68FAF1-C97E-49E5-958C-3F0CB8A58550}"/>
    <cellStyle name="20% - Accent4 2 4 5" xfId="10052" xr:uid="{5E72A60D-B164-4D69-BBDF-3C89911B925F}"/>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D403146C-5B28-42A1-8DC3-679ABAC0B835}"/>
    <cellStyle name="20% - Accent4 2 5 2 3" xfId="12610" xr:uid="{483B3FFC-EDFF-46D1-91B3-ED10C2FB227C}"/>
    <cellStyle name="20% - Accent4 2 5 3" xfId="5356" xr:uid="{00000000-0005-0000-0000-000026020000}"/>
    <cellStyle name="20% - Accent4 2 5 3 2" xfId="14682" xr:uid="{34C29D71-088A-4E37-B57D-F5400E2A8310}"/>
    <cellStyle name="20% - Accent4 2 5 4" xfId="10465" xr:uid="{6E3AF21F-E27A-4E11-BFB8-76ADC7FE908F}"/>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438097AD-D2EE-451E-B5A0-A05991BEDB9E}"/>
    <cellStyle name="20% - Accent4 2 6 2 3" xfId="13023" xr:uid="{A612F359-23B4-4ECF-A61A-518B1EF796B8}"/>
    <cellStyle name="20% - Accent4 2 6 3" xfId="5769" xr:uid="{00000000-0005-0000-0000-00002A020000}"/>
    <cellStyle name="20% - Accent4 2 6 3 2" xfId="15095" xr:uid="{FEA37213-2CCF-4AF4-8DA7-46131C809D9D}"/>
    <cellStyle name="20% - Accent4 2 6 4" xfId="10878" xr:uid="{3E9942CF-C1C2-4513-B01F-8222CF849D3C}"/>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086D1109-7A70-4213-9BD5-323796FBA369}"/>
    <cellStyle name="20% - Accent4 2 7 2 3" xfId="13436" xr:uid="{19AD9D82-A62F-4FDD-8F2F-A5F61F53187F}"/>
    <cellStyle name="20% - Accent4 2 7 3" xfId="6182" xr:uid="{00000000-0005-0000-0000-00002E020000}"/>
    <cellStyle name="20% - Accent4 2 7 3 2" xfId="15508" xr:uid="{C4603CCD-0CEE-47A2-B475-B58162BAA7CF}"/>
    <cellStyle name="20% - Accent4 2 7 4" xfId="11291" xr:uid="{2BB4EF2A-5E70-41ED-BF45-C642699BD1F9}"/>
    <cellStyle name="20% - Accent4 2 8" xfId="2289" xr:uid="{00000000-0005-0000-0000-00002F020000}"/>
    <cellStyle name="20% - Accent4 2 8 2" xfId="6595" xr:uid="{00000000-0005-0000-0000-000030020000}"/>
    <cellStyle name="20% - Accent4 2 8 2 2" xfId="15921" xr:uid="{D10C4209-6293-4BDF-8687-D1EBC10FE622}"/>
    <cellStyle name="20% - Accent4 2 8 3" xfId="11704" xr:uid="{57C7F52D-9FAC-4556-A7C4-7F9C33C98345}"/>
    <cellStyle name="20% - Accent4 2 9" xfId="4529" xr:uid="{00000000-0005-0000-0000-000031020000}"/>
    <cellStyle name="20% - Accent4 2 9 2" xfId="13855" xr:uid="{A5305082-DCCF-4898-A03B-BED8E871F7E6}"/>
    <cellStyle name="20% - Accent4 3" xfId="30" xr:uid="{00000000-0005-0000-0000-000032020000}"/>
    <cellStyle name="20% - Accent4 3 10" xfId="9642" xr:uid="{1738FCF3-9EA5-41D2-B905-42F1502BB03B}"/>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16AF3CFF-3CBD-4F41-9EB1-2A26CAA28672}"/>
    <cellStyle name="20% - Accent4 3 2 2 2 3" xfId="12202" xr:uid="{DE616D3F-44B0-4649-A066-85D571701105}"/>
    <cellStyle name="20% - Accent4 3 2 2 3" xfId="4948" xr:uid="{00000000-0005-0000-0000-000037020000}"/>
    <cellStyle name="20% - Accent4 3 2 2 3 2" xfId="14274" xr:uid="{C32A14C3-7DA8-49E3-A3C7-559E1D506692}"/>
    <cellStyle name="20% - Accent4 3 2 2 4" xfId="9499" xr:uid="{019308F4-938B-408B-A627-483AF94276A0}"/>
    <cellStyle name="20% - Accent4 3 2 2 4 2" xfId="18814" xr:uid="{59876F14-7207-4D32-919A-FAF391ED6D9D}"/>
    <cellStyle name="20% - Accent4 3 2 2 5" xfId="10057" xr:uid="{83D3EFD3-57B8-4153-B6DF-CF391206695A}"/>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B5EFB462-E4BA-4BF4-AC41-1840B40B5D64}"/>
    <cellStyle name="20% - Accent4 3 2 3 2 3" xfId="12615" xr:uid="{CBAD6981-D16A-4AD0-82ED-0FC513EACB82}"/>
    <cellStyle name="20% - Accent4 3 2 3 3" xfId="5361" xr:uid="{00000000-0005-0000-0000-00003B020000}"/>
    <cellStyle name="20% - Accent4 3 2 3 3 2" xfId="14687" xr:uid="{D3E3DEB2-954B-4A02-A5E4-080BAD6DE3A2}"/>
    <cellStyle name="20% - Accent4 3 2 3 4" xfId="10470" xr:uid="{A1B17C2E-1B02-417D-A732-3E0A5F6A3FCA}"/>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5AD30E6C-379E-4D82-BE43-73A34AD363FC}"/>
    <cellStyle name="20% - Accent4 3 2 4 2 3" xfId="13028" xr:uid="{A3F6C235-B376-4DA7-B481-B8B882FBD993}"/>
    <cellStyle name="20% - Accent4 3 2 4 3" xfId="5774" xr:uid="{00000000-0005-0000-0000-00003F020000}"/>
    <cellStyle name="20% - Accent4 3 2 4 3 2" xfId="15100" xr:uid="{A223D4E6-82D1-4EAB-9AFA-B676D5A81776}"/>
    <cellStyle name="20% - Accent4 3 2 4 4" xfId="10883" xr:uid="{C7D76391-94D1-4353-AFC1-810DD9DF5699}"/>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E225E26D-8270-48F2-8ED0-97DF62E86BD1}"/>
    <cellStyle name="20% - Accent4 3 2 5 2 3" xfId="13441" xr:uid="{4AFDEB99-D0BC-46FF-AC2E-04C923981B9E}"/>
    <cellStyle name="20% - Accent4 3 2 5 3" xfId="6187" xr:uid="{00000000-0005-0000-0000-000043020000}"/>
    <cellStyle name="20% - Accent4 3 2 5 3 2" xfId="15513" xr:uid="{3DADB3C8-F1B4-4650-95E1-5E55BED19CB8}"/>
    <cellStyle name="20% - Accent4 3 2 5 4" xfId="11296" xr:uid="{D4269D63-A11F-4BA8-9B6C-A0BE704BED74}"/>
    <cellStyle name="20% - Accent4 3 2 6" xfId="2294" xr:uid="{00000000-0005-0000-0000-000044020000}"/>
    <cellStyle name="20% - Accent4 3 2 6 2" xfId="6600" xr:uid="{00000000-0005-0000-0000-000045020000}"/>
    <cellStyle name="20% - Accent4 3 2 6 2 2" xfId="15926" xr:uid="{E700D964-BBF9-47DE-8629-BCC563D7C83F}"/>
    <cellStyle name="20% - Accent4 3 2 6 3" xfId="11709" xr:uid="{8B46D3BB-744B-4F6F-A9FD-0F8E05B3D23F}"/>
    <cellStyle name="20% - Accent4 3 2 7" xfId="4534" xr:uid="{00000000-0005-0000-0000-000046020000}"/>
    <cellStyle name="20% - Accent4 3 2 7 2" xfId="13860" xr:uid="{992159DA-0666-4E89-A3A4-F6BEA554F4CB}"/>
    <cellStyle name="20% - Accent4 3 2 8" xfId="9074" xr:uid="{BA25EAA8-2B5F-4309-91A3-FC61FCEF209C}"/>
    <cellStyle name="20% - Accent4 3 2 8 2" xfId="18398" xr:uid="{97962F4F-8B65-4B09-AFD2-BCD5FADD7813}"/>
    <cellStyle name="20% - Accent4 3 2 9" xfId="9643" xr:uid="{CE0A64F2-2B0D-4023-84FA-4726F7E97B1B}"/>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80DE7F7A-30AE-44DB-A01D-E2C5530736E2}"/>
    <cellStyle name="20% - Accent4 3 3 2 3" xfId="12201" xr:uid="{68C303EF-F457-4DAE-B5C2-787532F1A164}"/>
    <cellStyle name="20% - Accent4 3 3 3" xfId="4947" xr:uid="{00000000-0005-0000-0000-00004A020000}"/>
    <cellStyle name="20% - Accent4 3 3 3 2" xfId="14273" xr:uid="{2FEB6557-83CF-4048-AFB9-57E795283329}"/>
    <cellStyle name="20% - Accent4 3 3 4" xfId="9292" xr:uid="{E33AB5E9-A8F9-45CB-AD95-0E461E901C30}"/>
    <cellStyle name="20% - Accent4 3 3 4 2" xfId="18607" xr:uid="{B6C12187-8BCE-4A46-933B-65B000960B92}"/>
    <cellStyle name="20% - Accent4 3 3 5" xfId="10056" xr:uid="{DCE4EB2E-97E3-48E9-BEE0-FF2226C8560F}"/>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FF8DBB6A-A4C3-4467-84D4-645FB58FA44A}"/>
    <cellStyle name="20% - Accent4 3 4 2 3" xfId="12614" xr:uid="{49C89CF3-1FE7-45D5-B5A1-B4F3F63E441C}"/>
    <cellStyle name="20% - Accent4 3 4 3" xfId="5360" xr:uid="{00000000-0005-0000-0000-00004E020000}"/>
    <cellStyle name="20% - Accent4 3 4 3 2" xfId="14686" xr:uid="{639DD650-2444-445B-8A17-C21D10AC68D5}"/>
    <cellStyle name="20% - Accent4 3 4 4" xfId="10469" xr:uid="{C66D3FBA-75F0-4704-B269-64B6F7388173}"/>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9282DF52-40C5-46F9-9BCA-EBA94264B9DE}"/>
    <cellStyle name="20% - Accent4 3 5 2 3" xfId="13027" xr:uid="{52F99EB0-4627-47D5-9E46-87D697B1691D}"/>
    <cellStyle name="20% - Accent4 3 5 3" xfId="5773" xr:uid="{00000000-0005-0000-0000-000052020000}"/>
    <cellStyle name="20% - Accent4 3 5 3 2" xfId="15099" xr:uid="{2B56CD8A-05EA-4F46-A2FA-30E4F17E8809}"/>
    <cellStyle name="20% - Accent4 3 5 4" xfId="10882" xr:uid="{F78F65C0-674C-460F-89F4-269632C3E3D4}"/>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D2F3761C-3C34-40DC-8ABA-16E3F330C572}"/>
    <cellStyle name="20% - Accent4 3 6 2 3" xfId="13440" xr:uid="{631CA795-39DF-467A-BFE0-A3E7E221947D}"/>
    <cellStyle name="20% - Accent4 3 6 3" xfId="6186" xr:uid="{00000000-0005-0000-0000-000056020000}"/>
    <cellStyle name="20% - Accent4 3 6 3 2" xfId="15512" xr:uid="{5EA32369-DB12-4661-A179-6F64AD9CD601}"/>
    <cellStyle name="20% - Accent4 3 6 4" xfId="11295" xr:uid="{A73D106A-607A-4840-B4F4-2181D4125147}"/>
    <cellStyle name="20% - Accent4 3 7" xfId="2293" xr:uid="{00000000-0005-0000-0000-000057020000}"/>
    <cellStyle name="20% - Accent4 3 7 2" xfId="6599" xr:uid="{00000000-0005-0000-0000-000058020000}"/>
    <cellStyle name="20% - Accent4 3 7 2 2" xfId="15925" xr:uid="{9A076590-8150-450A-92AA-500F28BE3114}"/>
    <cellStyle name="20% - Accent4 3 7 3" xfId="11708" xr:uid="{656CD51D-2259-47EE-B298-4ADA88DB1065}"/>
    <cellStyle name="20% - Accent4 3 8" xfId="4533" xr:uid="{00000000-0005-0000-0000-000059020000}"/>
    <cellStyle name="20% - Accent4 3 8 2" xfId="13859" xr:uid="{90390AE4-86B1-4647-935E-D4F84C33A969}"/>
    <cellStyle name="20% - Accent4 3 9" xfId="8867" xr:uid="{27FB4CEF-7F56-4AEC-B5AC-6B6A1477FBD8}"/>
    <cellStyle name="20% - Accent4 3 9 2" xfId="18191" xr:uid="{36348220-1C9C-4FCE-9234-4DAEFA80D4B6}"/>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248C8B70-A417-479B-8B76-160DA36A9C8E}"/>
    <cellStyle name="20% - Accent4 4 2 2 3" xfId="12203" xr:uid="{1F578D9D-B8C4-47E8-8F12-0C672C280C3E}"/>
    <cellStyle name="20% - Accent4 4 2 3" xfId="4949" xr:uid="{00000000-0005-0000-0000-00005E020000}"/>
    <cellStyle name="20% - Accent4 4 2 3 2" xfId="14275" xr:uid="{11EB2EAA-9947-4E3D-9D41-78E94FC56324}"/>
    <cellStyle name="20% - Accent4 4 2 4" xfId="9378" xr:uid="{761B3D4A-2751-4646-8A50-05A0DD408525}"/>
    <cellStyle name="20% - Accent4 4 2 4 2" xfId="18693" xr:uid="{5E8A18F7-A154-46EE-810B-74F1D2A11DF7}"/>
    <cellStyle name="20% - Accent4 4 2 5" xfId="10058" xr:uid="{B275B747-DD7C-40F9-8354-99DF7F7A108B}"/>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8EAF0BD4-365A-4742-893D-88F7FA28B7AC}"/>
    <cellStyle name="20% - Accent4 4 3 2 3" xfId="12616" xr:uid="{D2DF3B43-8DCF-496E-8992-518C7C8D80C2}"/>
    <cellStyle name="20% - Accent4 4 3 3" xfId="5362" xr:uid="{00000000-0005-0000-0000-000062020000}"/>
    <cellStyle name="20% - Accent4 4 3 3 2" xfId="14688" xr:uid="{29840171-6302-4794-8D05-30C03CDA4AE1}"/>
    <cellStyle name="20% - Accent4 4 3 4" xfId="10471" xr:uid="{B9F89301-53D8-48B2-8A03-1808AC9AFE7C}"/>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D44B26B9-5D24-4F4D-AF2E-885A60982D03}"/>
    <cellStyle name="20% - Accent4 4 4 2 3" xfId="13029" xr:uid="{F96BBC1D-1FC6-4898-B5F2-83A24FF629D3}"/>
    <cellStyle name="20% - Accent4 4 4 3" xfId="5775" xr:uid="{00000000-0005-0000-0000-000066020000}"/>
    <cellStyle name="20% - Accent4 4 4 3 2" xfId="15101" xr:uid="{763D194B-3389-48E5-A47A-38ACF79F490E}"/>
    <cellStyle name="20% - Accent4 4 4 4" xfId="10884" xr:uid="{CE7348AC-E2A6-4DA3-9F5F-BF0FD2DA11F0}"/>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8B8D860E-A3D1-46CC-BBE3-94B1F25B45E8}"/>
    <cellStyle name="20% - Accent4 4 5 2 3" xfId="13442" xr:uid="{08FF2FCC-187F-4FCB-AF26-D710A85A85BD}"/>
    <cellStyle name="20% - Accent4 4 5 3" xfId="6188" xr:uid="{00000000-0005-0000-0000-00006A020000}"/>
    <cellStyle name="20% - Accent4 4 5 3 2" xfId="15514" xr:uid="{8D38C4C7-6792-42A6-ADCF-FDCD47E8B28F}"/>
    <cellStyle name="20% - Accent4 4 5 4" xfId="11297" xr:uid="{F8D7C3C5-709D-487E-95A5-A32CE91988F6}"/>
    <cellStyle name="20% - Accent4 4 6" xfId="2295" xr:uid="{00000000-0005-0000-0000-00006B020000}"/>
    <cellStyle name="20% - Accent4 4 6 2" xfId="6601" xr:uid="{00000000-0005-0000-0000-00006C020000}"/>
    <cellStyle name="20% - Accent4 4 6 2 2" xfId="15927" xr:uid="{19735486-057D-4B59-8C61-48BF413D3BFD}"/>
    <cellStyle name="20% - Accent4 4 6 3" xfId="11710" xr:uid="{F412CCF5-FCA6-4AF4-AE7C-B07D67477F58}"/>
    <cellStyle name="20% - Accent4 4 7" xfId="4535" xr:uid="{00000000-0005-0000-0000-00006D020000}"/>
    <cellStyle name="20% - Accent4 4 7 2" xfId="13861" xr:uid="{D1237E6F-0300-42F9-8EB0-085EB978AC5E}"/>
    <cellStyle name="20% - Accent4 4 8" xfId="8953" xr:uid="{66D1590A-BB3A-4B79-BA94-169F97E79370}"/>
    <cellStyle name="20% - Accent4 4 8 2" xfId="18277" xr:uid="{59784018-9F6A-47A3-BC5A-D6818C6EA418}"/>
    <cellStyle name="20% - Accent4 4 9" xfId="9644" xr:uid="{6B27A669-9446-4125-B20A-1BF6BBED8E37}"/>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89E381F3-7810-412C-94DD-4D928A0B526C}"/>
    <cellStyle name="20% - Accent4 5 2 3" xfId="12196" xr:uid="{F90EC570-0528-4344-AA85-19B7E3775E91}"/>
    <cellStyle name="20% - Accent4 5 3" xfId="4942" xr:uid="{00000000-0005-0000-0000-000071020000}"/>
    <cellStyle name="20% - Accent4 5 3 2" xfId="14268" xr:uid="{5ED01692-4F4A-4064-9505-FFB4FBC82EA6}"/>
    <cellStyle name="20% - Accent4 5 4" xfId="9186" xr:uid="{E62ED282-F767-404B-ADA1-4F8E5B4D01EB}"/>
    <cellStyle name="20% - Accent4 5 4 2" xfId="18504" xr:uid="{A3606364-FFB0-4D92-833D-FE4A31A21B2F}"/>
    <cellStyle name="20% - Accent4 5 5" xfId="10051" xr:uid="{06227D6F-79B2-42AC-9AF4-6B512E6DC57D}"/>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E4EBA5A1-6EFC-43AC-A5D2-53747C702D88}"/>
    <cellStyle name="20% - Accent4 6 2 3" xfId="12609" xr:uid="{F594715B-ECC4-4422-8837-A37D87DD2732}"/>
    <cellStyle name="20% - Accent4 6 3" xfId="5355" xr:uid="{00000000-0005-0000-0000-000075020000}"/>
    <cellStyle name="20% - Accent4 6 3 2" xfId="14681" xr:uid="{38D8610A-AE1D-4F37-BD32-0F53FD9D0161}"/>
    <cellStyle name="20% - Accent4 6 4" xfId="10464" xr:uid="{D230E29D-C44F-4844-90F1-8A1DF8707F6F}"/>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E9DE78E4-A685-4841-8F1A-6B09DB6F5175}"/>
    <cellStyle name="20% - Accent4 7 2 3" xfId="13022" xr:uid="{6072AD1E-ED42-4DA8-854A-A41D2B482138}"/>
    <cellStyle name="20% - Accent4 7 3" xfId="5768" xr:uid="{00000000-0005-0000-0000-000079020000}"/>
    <cellStyle name="20% - Accent4 7 3 2" xfId="15094" xr:uid="{A3AD975F-7C52-4112-AEBF-D4F73EF5A58E}"/>
    <cellStyle name="20% - Accent4 7 4" xfId="10877" xr:uid="{CD10650B-FE29-4B49-A75B-918F48335D15}"/>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7243C6CE-E03E-42D9-8F27-49C577BD619B}"/>
    <cellStyle name="20% - Accent4 8 2 3" xfId="13435" xr:uid="{A7365823-B637-43BC-9FAA-544100133BF8}"/>
    <cellStyle name="20% - Accent4 8 3" xfId="6181" xr:uid="{00000000-0005-0000-0000-00007D020000}"/>
    <cellStyle name="20% - Accent4 8 3 2" xfId="15507" xr:uid="{81227EBC-438B-4424-8039-C4AEDF1DDC6A}"/>
    <cellStyle name="20% - Accent4 8 4" xfId="11290" xr:uid="{B0EE48EF-30F6-4B2F-A84A-1810B9D42CAF}"/>
    <cellStyle name="20% - Accent4 9" xfId="2288" xr:uid="{00000000-0005-0000-0000-00007E020000}"/>
    <cellStyle name="20% - Accent4 9 2" xfId="6594" xr:uid="{00000000-0005-0000-0000-00007F020000}"/>
    <cellStyle name="20% - Accent4 9 2 2" xfId="15920" xr:uid="{6381D6F1-DA63-4FB8-84FD-33E94A5C8B8F}"/>
    <cellStyle name="20% - Accent4 9 3" xfId="11703" xr:uid="{8875271C-52B6-4493-9CA0-5E748A4DAEE0}"/>
    <cellStyle name="20% - Accent5" xfId="33" builtinId="46" customBuiltin="1"/>
    <cellStyle name="20% - Accent5 10" xfId="4536" xr:uid="{00000000-0005-0000-0000-000081020000}"/>
    <cellStyle name="20% - Accent5 10 2" xfId="13862" xr:uid="{6B2F35CA-D303-4B4D-84D6-FCF42A6DA5D8}"/>
    <cellStyle name="20% - Accent5 11" xfId="8766" xr:uid="{A87C980D-48BC-4AA3-98F7-53B2F02F228C}"/>
    <cellStyle name="20% - Accent5 11 2" xfId="18090" xr:uid="{9C83FDED-6C8D-4602-B20C-D01033A884BF}"/>
    <cellStyle name="20% - Accent5 12" xfId="9645" xr:uid="{5980EB5E-00F6-4B83-86D5-2EDDC83EC007}"/>
    <cellStyle name="20% - Accent5 2" xfId="34" xr:uid="{00000000-0005-0000-0000-000082020000}"/>
    <cellStyle name="20% - Accent5 2 10" xfId="8796" xr:uid="{5BBF4372-A7B1-47A0-AC3D-4A60EDC1A5F8}"/>
    <cellStyle name="20% - Accent5 2 10 2" xfId="18120" xr:uid="{C8168D63-87E2-486B-85C3-9EF7E5220659}"/>
    <cellStyle name="20% - Accent5 2 11" xfId="9646" xr:uid="{233E21B1-FD39-4047-9D6B-E7CD10D945D3}"/>
    <cellStyle name="20% - Accent5 2 2" xfId="35" xr:uid="{00000000-0005-0000-0000-000083020000}"/>
    <cellStyle name="20% - Accent5 2 2 10" xfId="9647" xr:uid="{A2DF397C-21E0-44C4-9FDD-DE94ED29ACF4}"/>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1B8D09D9-41D4-40B7-B35F-1D48B5CA8921}"/>
    <cellStyle name="20% - Accent5 2 2 2 2 2 3" xfId="12207" xr:uid="{AA9A74D1-17E6-4B6A-9232-23634F6C0456}"/>
    <cellStyle name="20% - Accent5 2 2 2 2 3" xfId="4953" xr:uid="{00000000-0005-0000-0000-000088020000}"/>
    <cellStyle name="20% - Accent5 2 2 2 2 3 2" xfId="14279" xr:uid="{D16778F0-9768-40EF-9366-3020A61152F5}"/>
    <cellStyle name="20% - Accent5 2 2 2 2 4" xfId="9531" xr:uid="{5DC5F027-F767-49FB-B9DE-2ACABCF8AC5A}"/>
    <cellStyle name="20% - Accent5 2 2 2 2 4 2" xfId="18846" xr:uid="{7983EA64-1917-4C8B-9C85-E158E875D47F}"/>
    <cellStyle name="20% - Accent5 2 2 2 2 5" xfId="10062" xr:uid="{7AA05A15-1DB0-4380-8031-FD6EAD6D68B6}"/>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2D74D684-977A-4BCC-95BD-6C61E6EA760B}"/>
    <cellStyle name="20% - Accent5 2 2 2 3 2 3" xfId="12620" xr:uid="{E4836859-4397-47ED-8ACA-62F32A37C40F}"/>
    <cellStyle name="20% - Accent5 2 2 2 3 3" xfId="5366" xr:uid="{00000000-0005-0000-0000-00008C020000}"/>
    <cellStyle name="20% - Accent5 2 2 2 3 3 2" xfId="14692" xr:uid="{FD7C8894-6509-4B9B-AB7B-03521D7A45B6}"/>
    <cellStyle name="20% - Accent5 2 2 2 3 4" xfId="10475" xr:uid="{5A7AE196-1A2E-4CEA-87CC-D57FF711210F}"/>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0B17D139-6A16-453F-9CCF-5769763696F2}"/>
    <cellStyle name="20% - Accent5 2 2 2 4 2 3" xfId="13033" xr:uid="{4F84DB00-89BA-46DC-AA37-98EB2A2BCDDE}"/>
    <cellStyle name="20% - Accent5 2 2 2 4 3" xfId="5779" xr:uid="{00000000-0005-0000-0000-000090020000}"/>
    <cellStyle name="20% - Accent5 2 2 2 4 3 2" xfId="15105" xr:uid="{6389A89A-4BAF-45EC-B3C9-F7941C78B9AC}"/>
    <cellStyle name="20% - Accent5 2 2 2 4 4" xfId="10888" xr:uid="{6A24B313-9818-45EA-9835-16EB5FF4E44A}"/>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97B59D41-3B85-4298-A993-ADE87D5DB727}"/>
    <cellStyle name="20% - Accent5 2 2 2 5 2 3" xfId="13446" xr:uid="{733F36DC-CA14-4775-8259-2EE9A7F147E8}"/>
    <cellStyle name="20% - Accent5 2 2 2 5 3" xfId="6192" xr:uid="{00000000-0005-0000-0000-000094020000}"/>
    <cellStyle name="20% - Accent5 2 2 2 5 3 2" xfId="15518" xr:uid="{3F3ADBD6-949F-4AF2-8251-9F477783DB2C}"/>
    <cellStyle name="20% - Accent5 2 2 2 5 4" xfId="11301" xr:uid="{FCC559D3-1A0C-4215-A57F-A077E589F512}"/>
    <cellStyle name="20% - Accent5 2 2 2 6" xfId="2299" xr:uid="{00000000-0005-0000-0000-000095020000}"/>
    <cellStyle name="20% - Accent5 2 2 2 6 2" xfId="6605" xr:uid="{00000000-0005-0000-0000-000096020000}"/>
    <cellStyle name="20% - Accent5 2 2 2 6 2 2" xfId="15931" xr:uid="{EA682C08-2752-4A1C-81FF-E0AD8D8F9BA5}"/>
    <cellStyle name="20% - Accent5 2 2 2 6 3" xfId="11714" xr:uid="{D4D5EE0F-BFFB-4C6D-B5DA-F6C28C6577BC}"/>
    <cellStyle name="20% - Accent5 2 2 2 7" xfId="4539" xr:uid="{00000000-0005-0000-0000-000097020000}"/>
    <cellStyle name="20% - Accent5 2 2 2 7 2" xfId="13865" xr:uid="{1C470A00-5F9C-4CD3-8EA8-63716ED90559}"/>
    <cellStyle name="20% - Accent5 2 2 2 8" xfId="9106" xr:uid="{E7B219CB-83A9-494A-83ED-783719A0F1D9}"/>
    <cellStyle name="20% - Accent5 2 2 2 8 2" xfId="18430" xr:uid="{E7FCD39B-ECD0-4FE1-8191-14B86B9EAB55}"/>
    <cellStyle name="20% - Accent5 2 2 2 9" xfId="9648" xr:uid="{76569171-10D3-4E00-BCA5-0C85097C4E86}"/>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68ED5677-F25A-478A-A2D4-066B67F2BF86}"/>
    <cellStyle name="20% - Accent5 2 2 3 2 3" xfId="12206" xr:uid="{937379CB-C2E8-46E0-87A5-22BA3CF9497D}"/>
    <cellStyle name="20% - Accent5 2 2 3 3" xfId="4952" xr:uid="{00000000-0005-0000-0000-00009B020000}"/>
    <cellStyle name="20% - Accent5 2 2 3 3 2" xfId="14278" xr:uid="{9636D086-A94B-4E47-A03A-BEE3490C1A96}"/>
    <cellStyle name="20% - Accent5 2 2 3 4" xfId="9324" xr:uid="{6094FEE1-8E2A-466F-9CDF-43EB9EE581FF}"/>
    <cellStyle name="20% - Accent5 2 2 3 4 2" xfId="18639" xr:uid="{15B55A02-E504-455D-95F1-B058CBE3DFAE}"/>
    <cellStyle name="20% - Accent5 2 2 3 5" xfId="10061" xr:uid="{832F8732-2FE6-42E9-8E3B-FEAD81812669}"/>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A01AF2B2-8BF0-4B41-A281-B8A8DF53377F}"/>
    <cellStyle name="20% - Accent5 2 2 4 2 3" xfId="12619" xr:uid="{9532F57E-0BD7-4D81-88F5-8163E7C46C53}"/>
    <cellStyle name="20% - Accent5 2 2 4 3" xfId="5365" xr:uid="{00000000-0005-0000-0000-00009F020000}"/>
    <cellStyle name="20% - Accent5 2 2 4 3 2" xfId="14691" xr:uid="{CD4FDED8-4E8A-4295-932A-05B20EF5965D}"/>
    <cellStyle name="20% - Accent5 2 2 4 4" xfId="10474" xr:uid="{577AA732-DB2A-4678-A194-8A8E4BC3D039}"/>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94A15877-7196-4485-BEB9-95E32CC3AC5C}"/>
    <cellStyle name="20% - Accent5 2 2 5 2 3" xfId="13032" xr:uid="{4C850FBC-A426-41BA-8140-07E2CB9D190F}"/>
    <cellStyle name="20% - Accent5 2 2 5 3" xfId="5778" xr:uid="{00000000-0005-0000-0000-0000A3020000}"/>
    <cellStyle name="20% - Accent5 2 2 5 3 2" xfId="15104" xr:uid="{9E63099F-00BD-4760-820B-B4DF4461AFBB}"/>
    <cellStyle name="20% - Accent5 2 2 5 4" xfId="10887" xr:uid="{3496A7F3-73FF-4429-A10C-41A001560147}"/>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BCA1B3A0-4BD0-482D-BBD3-3C384842CB23}"/>
    <cellStyle name="20% - Accent5 2 2 6 2 3" xfId="13445" xr:uid="{B34E112C-4165-46C7-86B4-E59DD688377A}"/>
    <cellStyle name="20% - Accent5 2 2 6 3" xfId="6191" xr:uid="{00000000-0005-0000-0000-0000A7020000}"/>
    <cellStyle name="20% - Accent5 2 2 6 3 2" xfId="15517" xr:uid="{4F293A44-3A1D-46DA-B2C2-27F732228F6C}"/>
    <cellStyle name="20% - Accent5 2 2 6 4" xfId="11300" xr:uid="{822720A8-7BB9-40C2-BA58-F4EC3ACCA49F}"/>
    <cellStyle name="20% - Accent5 2 2 7" xfId="2298" xr:uid="{00000000-0005-0000-0000-0000A8020000}"/>
    <cellStyle name="20% - Accent5 2 2 7 2" xfId="6604" xr:uid="{00000000-0005-0000-0000-0000A9020000}"/>
    <cellStyle name="20% - Accent5 2 2 7 2 2" xfId="15930" xr:uid="{0A47AFA6-0DF9-4BD8-8606-0AA72EB2B5FD}"/>
    <cellStyle name="20% - Accent5 2 2 7 3" xfId="11713" xr:uid="{9DB4657A-25B8-432C-9D1E-BD537531FF1D}"/>
    <cellStyle name="20% - Accent5 2 2 8" xfId="4538" xr:uid="{00000000-0005-0000-0000-0000AA020000}"/>
    <cellStyle name="20% - Accent5 2 2 8 2" xfId="13864" xr:uid="{544EBB87-BC03-42C6-A63F-CBDA12D7CAA6}"/>
    <cellStyle name="20% - Accent5 2 2 9" xfId="8899" xr:uid="{0E8F9EC8-D565-41C9-B716-FF597FFF35B9}"/>
    <cellStyle name="20% - Accent5 2 2 9 2" xfId="18223" xr:uid="{C6351CE1-BF13-4FC4-864B-F79EA1F7E84D}"/>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4C17C995-3A67-4FEF-A7B6-84CEB59756C2}"/>
    <cellStyle name="20% - Accent5 2 3 2 2 3" xfId="12208" xr:uid="{F9A55EB6-E4C8-423F-BE0E-B9E0239614EF}"/>
    <cellStyle name="20% - Accent5 2 3 2 3" xfId="4954" xr:uid="{00000000-0005-0000-0000-0000AF020000}"/>
    <cellStyle name="20% - Accent5 2 3 2 3 2" xfId="14280" xr:uid="{0AABC252-26D2-44F9-9113-08AB74D9523F}"/>
    <cellStyle name="20% - Accent5 2 3 2 4" xfId="9428" xr:uid="{B7820ACF-E1F3-4653-B5DD-FD829B169E84}"/>
    <cellStyle name="20% - Accent5 2 3 2 4 2" xfId="18743" xr:uid="{7A7D98FD-1A79-4789-9CFC-1ED4BD829713}"/>
    <cellStyle name="20% - Accent5 2 3 2 5" xfId="10063" xr:uid="{09A0262F-7DB9-4E06-B7F9-F8CC158AD381}"/>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78F56D92-E962-4E59-A9D1-43E2E8ACFCF9}"/>
    <cellStyle name="20% - Accent5 2 3 3 2 3" xfId="12621" xr:uid="{1B6811CE-3049-4BA1-8A00-F105CAE3D4F0}"/>
    <cellStyle name="20% - Accent5 2 3 3 3" xfId="5367" xr:uid="{00000000-0005-0000-0000-0000B3020000}"/>
    <cellStyle name="20% - Accent5 2 3 3 3 2" xfId="14693" xr:uid="{28E24C00-0464-4296-94CF-3F5CB1AA2E90}"/>
    <cellStyle name="20% - Accent5 2 3 3 4" xfId="10476" xr:uid="{2F91F5BE-1B1E-4B3F-9797-BBAE756AEBDC}"/>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91749372-933C-4EC1-8953-DB2B46DB94EE}"/>
    <cellStyle name="20% - Accent5 2 3 4 2 3" xfId="13034" xr:uid="{67D16B95-E35F-4273-9D0A-E0D066ABEA5E}"/>
    <cellStyle name="20% - Accent5 2 3 4 3" xfId="5780" xr:uid="{00000000-0005-0000-0000-0000B7020000}"/>
    <cellStyle name="20% - Accent5 2 3 4 3 2" xfId="15106" xr:uid="{825B0C25-0215-4A02-A2C8-89AD88830EB2}"/>
    <cellStyle name="20% - Accent5 2 3 4 4" xfId="10889" xr:uid="{53D6E35D-48B3-44CE-A253-58D07FD39C64}"/>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BE501145-DC5A-4283-9A4F-F6A4668D0AC9}"/>
    <cellStyle name="20% - Accent5 2 3 5 2 3" xfId="13447" xr:uid="{05C565BE-0E9D-4296-BD73-7A6B4238B681}"/>
    <cellStyle name="20% - Accent5 2 3 5 3" xfId="6193" xr:uid="{00000000-0005-0000-0000-0000BB020000}"/>
    <cellStyle name="20% - Accent5 2 3 5 3 2" xfId="15519" xr:uid="{83E70214-22A6-4467-BEFD-A1CBD9273FDB}"/>
    <cellStyle name="20% - Accent5 2 3 5 4" xfId="11302" xr:uid="{72F9E467-6A63-4BDE-84FF-939C3639957C}"/>
    <cellStyle name="20% - Accent5 2 3 6" xfId="2300" xr:uid="{00000000-0005-0000-0000-0000BC020000}"/>
    <cellStyle name="20% - Accent5 2 3 6 2" xfId="6606" xr:uid="{00000000-0005-0000-0000-0000BD020000}"/>
    <cellStyle name="20% - Accent5 2 3 6 2 2" xfId="15932" xr:uid="{F88B5A90-71BE-470E-AFF8-C6696E520EDC}"/>
    <cellStyle name="20% - Accent5 2 3 6 3" xfId="11715" xr:uid="{59F2CFFB-1D0F-4176-A560-868484692DCD}"/>
    <cellStyle name="20% - Accent5 2 3 7" xfId="4540" xr:uid="{00000000-0005-0000-0000-0000BE020000}"/>
    <cellStyle name="20% - Accent5 2 3 7 2" xfId="13866" xr:uid="{7DBD02D7-1527-496E-9270-DDC807AE6441}"/>
    <cellStyle name="20% - Accent5 2 3 8" xfId="9003" xr:uid="{9830E7D1-E361-4BA3-A986-3DCE647EEF8E}"/>
    <cellStyle name="20% - Accent5 2 3 8 2" xfId="18327" xr:uid="{67A18035-6B7C-485E-A49A-A2FB4F5F0134}"/>
    <cellStyle name="20% - Accent5 2 3 9" xfId="9649" xr:uid="{933FC3A0-7961-4D9D-A38E-4461F713AD9D}"/>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EE9D5557-6B00-43C7-8064-D899CA7819CA}"/>
    <cellStyle name="20% - Accent5 2 4 2 3" xfId="12205" xr:uid="{67FD666D-96CD-4C8D-B07E-DFD4933B0739}"/>
    <cellStyle name="20% - Accent5 2 4 3" xfId="4951" xr:uid="{00000000-0005-0000-0000-0000C2020000}"/>
    <cellStyle name="20% - Accent5 2 4 3 2" xfId="14277" xr:uid="{85018AA5-9309-4C03-A40F-A9FAB9DB5F71}"/>
    <cellStyle name="20% - Accent5 2 4 4" xfId="9220" xr:uid="{A7B88928-FE72-4C1B-B74E-3CA76DBA84CC}"/>
    <cellStyle name="20% - Accent5 2 4 4 2" xfId="18536" xr:uid="{6615644C-46F5-470F-AA71-48B07ECA864D}"/>
    <cellStyle name="20% - Accent5 2 4 5" xfId="10060" xr:uid="{EEC9821D-F07F-4BF5-98A5-0ED047201170}"/>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9AB61996-38F4-4889-BF47-7398B534A3A1}"/>
    <cellStyle name="20% - Accent5 2 5 2 3" xfId="12618" xr:uid="{68228942-C263-4BD6-A3DC-795DF3EA55D8}"/>
    <cellStyle name="20% - Accent5 2 5 3" xfId="5364" xr:uid="{00000000-0005-0000-0000-0000C6020000}"/>
    <cellStyle name="20% - Accent5 2 5 3 2" xfId="14690" xr:uid="{2881D780-F059-440F-90BF-0AC478A8FFB2}"/>
    <cellStyle name="20% - Accent5 2 5 4" xfId="10473" xr:uid="{54049EB5-3B88-4555-AF24-61EBA9016E32}"/>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D11F7246-751F-4E21-AB70-C37A12309EE7}"/>
    <cellStyle name="20% - Accent5 2 6 2 3" xfId="13031" xr:uid="{EB7F87EC-78FE-46C4-84E6-1E21C97D95A2}"/>
    <cellStyle name="20% - Accent5 2 6 3" xfId="5777" xr:uid="{00000000-0005-0000-0000-0000CA020000}"/>
    <cellStyle name="20% - Accent5 2 6 3 2" xfId="15103" xr:uid="{9F938AE4-536B-486A-968C-4E08D82C739A}"/>
    <cellStyle name="20% - Accent5 2 6 4" xfId="10886" xr:uid="{2A8CAD05-3534-4728-B549-52CA77742FBE}"/>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20031104-563E-4B2D-83B1-69B0FE7B9B4E}"/>
    <cellStyle name="20% - Accent5 2 7 2 3" xfId="13444" xr:uid="{4205038A-F07A-42E9-A5CB-298ADB74A2CF}"/>
    <cellStyle name="20% - Accent5 2 7 3" xfId="6190" xr:uid="{00000000-0005-0000-0000-0000CE020000}"/>
    <cellStyle name="20% - Accent5 2 7 3 2" xfId="15516" xr:uid="{775BF170-61F7-4C23-9713-F9B1D2044B77}"/>
    <cellStyle name="20% - Accent5 2 7 4" xfId="11299" xr:uid="{9F1DEE28-9DBA-483F-9285-C07CEB585DE8}"/>
    <cellStyle name="20% - Accent5 2 8" xfId="2297" xr:uid="{00000000-0005-0000-0000-0000CF020000}"/>
    <cellStyle name="20% - Accent5 2 8 2" xfId="6603" xr:uid="{00000000-0005-0000-0000-0000D0020000}"/>
    <cellStyle name="20% - Accent5 2 8 2 2" xfId="15929" xr:uid="{736345D8-7530-43B8-9FB5-C707E6602441}"/>
    <cellStyle name="20% - Accent5 2 8 3" xfId="11712" xr:uid="{9CD350FC-3B25-463A-87B8-62801C942804}"/>
    <cellStyle name="20% - Accent5 2 9" xfId="4537" xr:uid="{00000000-0005-0000-0000-0000D1020000}"/>
    <cellStyle name="20% - Accent5 2 9 2" xfId="13863" xr:uid="{63FBC6A0-FEC6-462D-B131-AE393C328899}"/>
    <cellStyle name="20% - Accent5 3" xfId="38" xr:uid="{00000000-0005-0000-0000-0000D2020000}"/>
    <cellStyle name="20% - Accent5 3 10" xfId="9650" xr:uid="{1BCC4242-6ED5-407E-A326-BC744CA8EE4B}"/>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96D96BCA-1AB6-4FD3-8CC3-B8A05B0C69F0}"/>
    <cellStyle name="20% - Accent5 3 2 2 2 3" xfId="12210" xr:uid="{021EE072-921B-4EEF-92A4-41CAE6123B2B}"/>
    <cellStyle name="20% - Accent5 3 2 2 3" xfId="4956" xr:uid="{00000000-0005-0000-0000-0000D7020000}"/>
    <cellStyle name="20% - Accent5 3 2 2 3 2" xfId="14282" xr:uid="{7778D5B7-58F8-4FD5-8D71-CE4A03D66374}"/>
    <cellStyle name="20% - Accent5 3 2 2 4" xfId="9501" xr:uid="{82A590A5-96D4-476E-8E6F-D81EEE08C409}"/>
    <cellStyle name="20% - Accent5 3 2 2 4 2" xfId="18816" xr:uid="{213A4F24-A7C5-4CF2-A1AC-88E7C2DD924A}"/>
    <cellStyle name="20% - Accent5 3 2 2 5" xfId="10065" xr:uid="{AD44AB7E-504B-4317-A29A-ABA9E02B2026}"/>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89C39F55-5B91-4826-B3ED-CB6E8CE4C0B4}"/>
    <cellStyle name="20% - Accent5 3 2 3 2 3" xfId="12623" xr:uid="{1661BD31-64B6-4EA8-9EAC-F00F73B7A575}"/>
    <cellStyle name="20% - Accent5 3 2 3 3" xfId="5369" xr:uid="{00000000-0005-0000-0000-0000DB020000}"/>
    <cellStyle name="20% - Accent5 3 2 3 3 2" xfId="14695" xr:uid="{C2B5C4B5-23F6-49DE-81DF-20B05DDFC911}"/>
    <cellStyle name="20% - Accent5 3 2 3 4" xfId="10478" xr:uid="{5D4844CA-F1CE-45ED-A619-94E4BD404288}"/>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0F3686EC-A7C3-401A-893E-D228A1D61711}"/>
    <cellStyle name="20% - Accent5 3 2 4 2 3" xfId="13036" xr:uid="{0FE7293F-3894-42B3-808B-7F719C8C3E60}"/>
    <cellStyle name="20% - Accent5 3 2 4 3" xfId="5782" xr:uid="{00000000-0005-0000-0000-0000DF020000}"/>
    <cellStyle name="20% - Accent5 3 2 4 3 2" xfId="15108" xr:uid="{6231C63E-8DA5-4C17-B2B1-39EEDE31D719}"/>
    <cellStyle name="20% - Accent5 3 2 4 4" xfId="10891" xr:uid="{B69813D6-F9F3-48C6-A2E6-B5E17A32808E}"/>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89ED8EF8-1AD1-4411-94E1-35E29EEF4B13}"/>
    <cellStyle name="20% - Accent5 3 2 5 2 3" xfId="13449" xr:uid="{9E5BC20B-D61D-41D8-BDB0-042FD8629311}"/>
    <cellStyle name="20% - Accent5 3 2 5 3" xfId="6195" xr:uid="{00000000-0005-0000-0000-0000E3020000}"/>
    <cellStyle name="20% - Accent5 3 2 5 3 2" xfId="15521" xr:uid="{C00B3C92-0262-4B49-ADE1-982BFA5B6398}"/>
    <cellStyle name="20% - Accent5 3 2 5 4" xfId="11304" xr:uid="{83F54401-9D4B-40E1-9716-85CDE8FDEA3F}"/>
    <cellStyle name="20% - Accent5 3 2 6" xfId="2302" xr:uid="{00000000-0005-0000-0000-0000E4020000}"/>
    <cellStyle name="20% - Accent5 3 2 6 2" xfId="6608" xr:uid="{00000000-0005-0000-0000-0000E5020000}"/>
    <cellStyle name="20% - Accent5 3 2 6 2 2" xfId="15934" xr:uid="{5CF95DF4-5FA2-449F-9EF3-DBD88C6F9CB3}"/>
    <cellStyle name="20% - Accent5 3 2 6 3" xfId="11717" xr:uid="{62960796-D916-4C49-BADC-626C361EA61C}"/>
    <cellStyle name="20% - Accent5 3 2 7" xfId="4542" xr:uid="{00000000-0005-0000-0000-0000E6020000}"/>
    <cellStyle name="20% - Accent5 3 2 7 2" xfId="13868" xr:uid="{6BAF9602-FA02-4C68-BA5E-BBA416237241}"/>
    <cellStyle name="20% - Accent5 3 2 8" xfId="9076" xr:uid="{BEDF1D01-35A3-4513-9363-9C1AFC748168}"/>
    <cellStyle name="20% - Accent5 3 2 8 2" xfId="18400" xr:uid="{847E7361-D692-429D-89D8-226170459D6A}"/>
    <cellStyle name="20% - Accent5 3 2 9" xfId="9651" xr:uid="{91174912-03DA-4E06-BA52-89E4C738C167}"/>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424B698F-727E-4760-A722-017A659765EA}"/>
    <cellStyle name="20% - Accent5 3 3 2 3" xfId="12209" xr:uid="{C99F9B53-B2F4-43EF-A1BE-4A57066BD9F8}"/>
    <cellStyle name="20% - Accent5 3 3 3" xfId="4955" xr:uid="{00000000-0005-0000-0000-0000EA020000}"/>
    <cellStyle name="20% - Accent5 3 3 3 2" xfId="14281" xr:uid="{10A19FA7-96BD-4B02-9EBF-5D4AA63C08A5}"/>
    <cellStyle name="20% - Accent5 3 3 4" xfId="9294" xr:uid="{124960EA-C7A4-4686-BF67-47D6C57F7EEB}"/>
    <cellStyle name="20% - Accent5 3 3 4 2" xfId="18609" xr:uid="{97697B05-CCC8-4C07-A281-33C9FAC3912E}"/>
    <cellStyle name="20% - Accent5 3 3 5" xfId="10064" xr:uid="{A62404AB-9175-4798-8898-7DB76EAF75F8}"/>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24456810-8AE4-4AE1-90AA-1C42283DAB54}"/>
    <cellStyle name="20% - Accent5 3 4 2 3" xfId="12622" xr:uid="{ECB8E4C2-30A9-46A0-B204-3E89505CDD07}"/>
    <cellStyle name="20% - Accent5 3 4 3" xfId="5368" xr:uid="{00000000-0005-0000-0000-0000EE020000}"/>
    <cellStyle name="20% - Accent5 3 4 3 2" xfId="14694" xr:uid="{BD79E516-A262-49F2-8E5E-16DB9A57DF92}"/>
    <cellStyle name="20% - Accent5 3 4 4" xfId="10477" xr:uid="{01D12D58-A594-4CBE-B28B-13A9A5D14281}"/>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0A934F98-06A5-4E53-BC40-0F14CCD80A5F}"/>
    <cellStyle name="20% - Accent5 3 5 2 3" xfId="13035" xr:uid="{F8AEB1DC-BC69-4A51-888D-E560D6A37E59}"/>
    <cellStyle name="20% - Accent5 3 5 3" xfId="5781" xr:uid="{00000000-0005-0000-0000-0000F2020000}"/>
    <cellStyle name="20% - Accent5 3 5 3 2" xfId="15107" xr:uid="{642B964A-724B-49F9-BE59-F9FD37E834AE}"/>
    <cellStyle name="20% - Accent5 3 5 4" xfId="10890" xr:uid="{C5C14BFA-E8FA-40B3-BC65-C6D489EEED75}"/>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A2399B1E-EF60-4170-9559-086B04B9BBFA}"/>
    <cellStyle name="20% - Accent5 3 6 2 3" xfId="13448" xr:uid="{89AB42A2-C418-47E8-9A7D-661A3B9E65C7}"/>
    <cellStyle name="20% - Accent5 3 6 3" xfId="6194" xr:uid="{00000000-0005-0000-0000-0000F6020000}"/>
    <cellStyle name="20% - Accent5 3 6 3 2" xfId="15520" xr:uid="{94AC9F5C-B076-458F-8236-3654E48262A4}"/>
    <cellStyle name="20% - Accent5 3 6 4" xfId="11303" xr:uid="{8F801EDD-02B6-4861-B7CC-0B8316D918C7}"/>
    <cellStyle name="20% - Accent5 3 7" xfId="2301" xr:uid="{00000000-0005-0000-0000-0000F7020000}"/>
    <cellStyle name="20% - Accent5 3 7 2" xfId="6607" xr:uid="{00000000-0005-0000-0000-0000F8020000}"/>
    <cellStyle name="20% - Accent5 3 7 2 2" xfId="15933" xr:uid="{924C8AD9-AE08-426A-BCA5-E0BA68FD7C1B}"/>
    <cellStyle name="20% - Accent5 3 7 3" xfId="11716" xr:uid="{88A40359-C417-4B1D-854E-45069DD518C7}"/>
    <cellStyle name="20% - Accent5 3 8" xfId="4541" xr:uid="{00000000-0005-0000-0000-0000F9020000}"/>
    <cellStyle name="20% - Accent5 3 8 2" xfId="13867" xr:uid="{4CC95280-671F-4430-94EC-C1B0A9D00280}"/>
    <cellStyle name="20% - Accent5 3 9" xfId="8869" xr:uid="{43CC8A87-AEEB-4E51-98E7-F8AE8D86AD2B}"/>
    <cellStyle name="20% - Accent5 3 9 2" xfId="18193" xr:uid="{4A06B913-52A8-4090-B252-0A81A519D425}"/>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5BE417F5-239E-4C62-A4F2-42642F237E70}"/>
    <cellStyle name="20% - Accent5 4 2 2 3" xfId="12211" xr:uid="{B1AF069A-8C66-4032-8F65-A14EB3C4A990}"/>
    <cellStyle name="20% - Accent5 4 2 3" xfId="4957" xr:uid="{00000000-0005-0000-0000-0000FE020000}"/>
    <cellStyle name="20% - Accent5 4 2 3 2" xfId="14283" xr:uid="{1E4E098A-6E3F-411B-BD11-97958FD829EC}"/>
    <cellStyle name="20% - Accent5 4 2 4" xfId="9380" xr:uid="{1C764D65-D71C-4646-AD86-15F83BDBF498}"/>
    <cellStyle name="20% - Accent5 4 2 4 2" xfId="18695" xr:uid="{0A67700E-A5D5-4B44-9DB9-D8E7097F0CBA}"/>
    <cellStyle name="20% - Accent5 4 2 5" xfId="10066" xr:uid="{A6EDB9E5-9CF0-466F-9865-B9237A767BF5}"/>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C4C9B68C-46F2-473C-BB83-B222285DD5F5}"/>
    <cellStyle name="20% - Accent5 4 3 2 3" xfId="12624" xr:uid="{BA637BF4-7CCC-4F75-A1CF-CA6F954EDE13}"/>
    <cellStyle name="20% - Accent5 4 3 3" xfId="5370" xr:uid="{00000000-0005-0000-0000-000002030000}"/>
    <cellStyle name="20% - Accent5 4 3 3 2" xfId="14696" xr:uid="{29031050-A635-4F11-AB67-E75A77AD05CD}"/>
    <cellStyle name="20% - Accent5 4 3 4" xfId="10479" xr:uid="{8F4EF6BC-8DA2-4E12-A466-29A675C112F2}"/>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094CA028-1937-44DB-B801-45A775A52CC2}"/>
    <cellStyle name="20% - Accent5 4 4 2 3" xfId="13037" xr:uid="{E1925DB4-1A70-4D47-BA25-9B0DEFE5BCD9}"/>
    <cellStyle name="20% - Accent5 4 4 3" xfId="5783" xr:uid="{00000000-0005-0000-0000-000006030000}"/>
    <cellStyle name="20% - Accent5 4 4 3 2" xfId="15109" xr:uid="{20DB65D6-7063-4EC5-B97A-761CAFFCFF55}"/>
    <cellStyle name="20% - Accent5 4 4 4" xfId="10892" xr:uid="{BF822A01-2B01-4A24-B91A-2A1F505B318E}"/>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846D3C11-5348-43BB-88EA-E3D07D79A994}"/>
    <cellStyle name="20% - Accent5 4 5 2 3" xfId="13450" xr:uid="{AD5A6C0D-86B1-4B4E-8C06-604D144D1E01}"/>
    <cellStyle name="20% - Accent5 4 5 3" xfId="6196" xr:uid="{00000000-0005-0000-0000-00000A030000}"/>
    <cellStyle name="20% - Accent5 4 5 3 2" xfId="15522" xr:uid="{66A4B476-4C14-4616-B128-B0771ACB104E}"/>
    <cellStyle name="20% - Accent5 4 5 4" xfId="11305" xr:uid="{5A2C19AF-42C3-4DC0-B2D9-72959D7B8624}"/>
    <cellStyle name="20% - Accent5 4 6" xfId="2303" xr:uid="{00000000-0005-0000-0000-00000B030000}"/>
    <cellStyle name="20% - Accent5 4 6 2" xfId="6609" xr:uid="{00000000-0005-0000-0000-00000C030000}"/>
    <cellStyle name="20% - Accent5 4 6 2 2" xfId="15935" xr:uid="{521F8411-5CD5-49C8-A8C3-EAEC554EAF70}"/>
    <cellStyle name="20% - Accent5 4 6 3" xfId="11718" xr:uid="{BDCA63F8-25F0-4E2C-A4F9-CCEC41A909E6}"/>
    <cellStyle name="20% - Accent5 4 7" xfId="4543" xr:uid="{00000000-0005-0000-0000-00000D030000}"/>
    <cellStyle name="20% - Accent5 4 7 2" xfId="13869" xr:uid="{A00B6A4F-D6A7-4AAA-BBCD-7A4B3D2E08CF}"/>
    <cellStyle name="20% - Accent5 4 8" xfId="8955" xr:uid="{8AD43D76-8747-44EC-8D3B-2720ADF9D1B1}"/>
    <cellStyle name="20% - Accent5 4 8 2" xfId="18279" xr:uid="{3950A39C-5267-405D-A040-370890ACB42B}"/>
    <cellStyle name="20% - Accent5 4 9" xfId="9652" xr:uid="{91B10236-7313-42AD-BF77-5C5D60CA46E6}"/>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C6A01424-3103-47C2-81FA-8295E5254DD6}"/>
    <cellStyle name="20% - Accent5 5 2 3" xfId="12204" xr:uid="{AB4BF421-FAE2-4D09-A645-5F2F8A4B5B78}"/>
    <cellStyle name="20% - Accent5 5 3" xfId="4950" xr:uid="{00000000-0005-0000-0000-000011030000}"/>
    <cellStyle name="20% - Accent5 5 3 2" xfId="14276" xr:uid="{94A954B0-4A2C-47F2-9190-A6B93D853D05}"/>
    <cellStyle name="20% - Accent5 5 4" xfId="9188" xr:uid="{164CF7CE-7706-426C-90AA-4867A06E28BD}"/>
    <cellStyle name="20% - Accent5 5 4 2" xfId="18506" xr:uid="{A5027C84-61E1-42BC-BC32-3D8DD32938D3}"/>
    <cellStyle name="20% - Accent5 5 5" xfId="10059" xr:uid="{C495ECB5-A4FC-49FB-AD8A-B4B8F179AAD2}"/>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5ACB35C0-9527-4E3B-85C4-83A016B66423}"/>
    <cellStyle name="20% - Accent5 6 2 3" xfId="12617" xr:uid="{B8458FE9-C511-4336-91BC-48F743D8304F}"/>
    <cellStyle name="20% - Accent5 6 3" xfId="5363" xr:uid="{00000000-0005-0000-0000-000015030000}"/>
    <cellStyle name="20% - Accent5 6 3 2" xfId="14689" xr:uid="{F449092A-E403-4E5D-B9B7-E1000D813EB3}"/>
    <cellStyle name="20% - Accent5 6 4" xfId="10472" xr:uid="{993FE8CD-FDB9-4FEE-8F87-1C2704CA8DB0}"/>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D4788487-7A04-4B0A-8DAA-57CB63ECF54A}"/>
    <cellStyle name="20% - Accent5 7 2 3" xfId="13030" xr:uid="{23992AF7-8673-49CD-B73C-657DA5240BAD}"/>
    <cellStyle name="20% - Accent5 7 3" xfId="5776" xr:uid="{00000000-0005-0000-0000-000019030000}"/>
    <cellStyle name="20% - Accent5 7 3 2" xfId="15102" xr:uid="{16841988-D523-440B-A8EA-1D3CFA68BCE1}"/>
    <cellStyle name="20% - Accent5 7 4" xfId="10885" xr:uid="{2FC0DC5B-F8C0-4901-B5F9-5DB1A10559B3}"/>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DFE0E97C-86EC-47DF-A20A-D81AF6BBC63E}"/>
    <cellStyle name="20% - Accent5 8 2 3" xfId="13443" xr:uid="{2474CDF0-5660-4910-A601-40A44871B6A4}"/>
    <cellStyle name="20% - Accent5 8 3" xfId="6189" xr:uid="{00000000-0005-0000-0000-00001D030000}"/>
    <cellStyle name="20% - Accent5 8 3 2" xfId="15515" xr:uid="{E3B07376-4547-4848-8A36-4FDBEDFD3F9E}"/>
    <cellStyle name="20% - Accent5 8 4" xfId="11298" xr:uid="{6A788129-F8F5-4E38-8F8A-87820B6A2425}"/>
    <cellStyle name="20% - Accent5 9" xfId="2296" xr:uid="{00000000-0005-0000-0000-00001E030000}"/>
    <cellStyle name="20% - Accent5 9 2" xfId="6602" xr:uid="{00000000-0005-0000-0000-00001F030000}"/>
    <cellStyle name="20% - Accent5 9 2 2" xfId="15928" xr:uid="{38842D0A-C479-42B7-AE06-789374AB680D}"/>
    <cellStyle name="20% - Accent5 9 3" xfId="11711" xr:uid="{8454AEDB-02F9-4905-A5FC-C21981E30CD6}"/>
    <cellStyle name="20% - Accent6" xfId="41" builtinId="50" customBuiltin="1"/>
    <cellStyle name="20% - Accent6 10" xfId="4544" xr:uid="{00000000-0005-0000-0000-000021030000}"/>
    <cellStyle name="20% - Accent6 10 2" xfId="13870" xr:uid="{DC545356-A977-46A1-9626-91D4C5FCB242}"/>
    <cellStyle name="20% - Accent6 11" xfId="8768" xr:uid="{5A1F1293-A19F-445F-908A-D9DBB6265CA0}"/>
    <cellStyle name="20% - Accent6 11 2" xfId="18092" xr:uid="{B385283A-F59A-4D90-96CE-B18AF52F31B1}"/>
    <cellStyle name="20% - Accent6 12" xfId="9653" xr:uid="{C3696459-A52E-4603-A02A-57A48FF35FB9}"/>
    <cellStyle name="20% - Accent6 2" xfId="42" xr:uid="{00000000-0005-0000-0000-000022030000}"/>
    <cellStyle name="20% - Accent6 2 10" xfId="8795" xr:uid="{9A35B19E-8802-437A-ABDC-7B06A4E07F58}"/>
    <cellStyle name="20% - Accent6 2 10 2" xfId="18119" xr:uid="{4B4EC306-D1F7-4A72-9E47-9F26B7E9E237}"/>
    <cellStyle name="20% - Accent6 2 11" xfId="9654" xr:uid="{D1DFFACA-D2E2-45FF-8E16-4222684A87C9}"/>
    <cellStyle name="20% - Accent6 2 2" xfId="43" xr:uid="{00000000-0005-0000-0000-000023030000}"/>
    <cellStyle name="20% - Accent6 2 2 10" xfId="9655" xr:uid="{48BC4E3C-8468-4330-9F64-47305658D8DA}"/>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2D024A24-7DC7-4B62-BB59-7457C6817517}"/>
    <cellStyle name="20% - Accent6 2 2 2 2 2 3" xfId="12215" xr:uid="{70208D7A-663D-42AC-8502-8F8F10D4F00F}"/>
    <cellStyle name="20% - Accent6 2 2 2 2 3" xfId="4961" xr:uid="{00000000-0005-0000-0000-000028030000}"/>
    <cellStyle name="20% - Accent6 2 2 2 2 3 2" xfId="14287" xr:uid="{E75DA3E0-2189-4CAD-A6C3-6EA58C77EBB4}"/>
    <cellStyle name="20% - Accent6 2 2 2 2 4" xfId="9530" xr:uid="{AFD3EE0E-70EF-4C1B-B994-7B8E7E8187BC}"/>
    <cellStyle name="20% - Accent6 2 2 2 2 4 2" xfId="18845" xr:uid="{FA60DCF9-E0AA-4E03-8165-61749523204C}"/>
    <cellStyle name="20% - Accent6 2 2 2 2 5" xfId="10070" xr:uid="{D28287C2-5407-4F6F-B0F9-2656D884A289}"/>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327BDE87-F676-48EB-9624-473D9CC133E4}"/>
    <cellStyle name="20% - Accent6 2 2 2 3 2 3" xfId="12628" xr:uid="{B4D8000B-FF77-4FD6-A558-2AB15D7A0387}"/>
    <cellStyle name="20% - Accent6 2 2 2 3 3" xfId="5374" xr:uid="{00000000-0005-0000-0000-00002C030000}"/>
    <cellStyle name="20% - Accent6 2 2 2 3 3 2" xfId="14700" xr:uid="{25E15837-26CD-4F6B-B8F2-C457471953A1}"/>
    <cellStyle name="20% - Accent6 2 2 2 3 4" xfId="10483" xr:uid="{0A178160-B60B-4A92-BF78-98DC2B72C84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AFA96A59-2F37-4F1A-8CD0-243EA42B132C}"/>
    <cellStyle name="20% - Accent6 2 2 2 4 2 3" xfId="13041" xr:uid="{DD23B19E-538C-4F72-B1DB-0778584CB2A1}"/>
    <cellStyle name="20% - Accent6 2 2 2 4 3" xfId="5787" xr:uid="{00000000-0005-0000-0000-000030030000}"/>
    <cellStyle name="20% - Accent6 2 2 2 4 3 2" xfId="15113" xr:uid="{97041BED-5F61-4157-A672-77E2CD56AFB1}"/>
    <cellStyle name="20% - Accent6 2 2 2 4 4" xfId="10896" xr:uid="{96E3E597-69BF-4A8F-969F-9C2C6FDD3B12}"/>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F35CEF7F-EFA1-476D-9A65-AF99957A3AD5}"/>
    <cellStyle name="20% - Accent6 2 2 2 5 2 3" xfId="13454" xr:uid="{1674C115-4A3E-44DF-99E2-87FD942E12CC}"/>
    <cellStyle name="20% - Accent6 2 2 2 5 3" xfId="6200" xr:uid="{00000000-0005-0000-0000-000034030000}"/>
    <cellStyle name="20% - Accent6 2 2 2 5 3 2" xfId="15526" xr:uid="{292E7FC6-EFF0-4241-B072-0768E88F0000}"/>
    <cellStyle name="20% - Accent6 2 2 2 5 4" xfId="11309" xr:uid="{5FD3C230-C0F5-4A49-8E33-02BB205217DD}"/>
    <cellStyle name="20% - Accent6 2 2 2 6" xfId="2307" xr:uid="{00000000-0005-0000-0000-000035030000}"/>
    <cellStyle name="20% - Accent6 2 2 2 6 2" xfId="6613" xr:uid="{00000000-0005-0000-0000-000036030000}"/>
    <cellStyle name="20% - Accent6 2 2 2 6 2 2" xfId="15939" xr:uid="{8CE8B045-6A3F-4541-A174-0676C44ACE47}"/>
    <cellStyle name="20% - Accent6 2 2 2 6 3" xfId="11722" xr:uid="{41998511-762B-4874-BDB6-CE9864503224}"/>
    <cellStyle name="20% - Accent6 2 2 2 7" xfId="4547" xr:uid="{00000000-0005-0000-0000-000037030000}"/>
    <cellStyle name="20% - Accent6 2 2 2 7 2" xfId="13873" xr:uid="{A94426AE-BE71-4B46-99D8-96B1B66CB68E}"/>
    <cellStyle name="20% - Accent6 2 2 2 8" xfId="9105" xr:uid="{2D3B6B01-F2FB-4D08-A7F9-9902961EFB46}"/>
    <cellStyle name="20% - Accent6 2 2 2 8 2" xfId="18429" xr:uid="{EAA76DE1-38A1-42EE-A383-B11FD325552C}"/>
    <cellStyle name="20% - Accent6 2 2 2 9" xfId="9656" xr:uid="{DBE14826-771E-4D93-84F2-3597421CC9E8}"/>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0A0CE737-8A4A-45C6-9D49-AB9653E4CC86}"/>
    <cellStyle name="20% - Accent6 2 2 3 2 3" xfId="12214" xr:uid="{9481FB07-9D30-4E7A-B41D-2DD6B7355457}"/>
    <cellStyle name="20% - Accent6 2 2 3 3" xfId="4960" xr:uid="{00000000-0005-0000-0000-00003B030000}"/>
    <cellStyle name="20% - Accent6 2 2 3 3 2" xfId="14286" xr:uid="{1427F0C4-1872-4640-B2F6-D83AC5613595}"/>
    <cellStyle name="20% - Accent6 2 2 3 4" xfId="9323" xr:uid="{93CC3C58-EC1C-4AC6-8D02-E00EFD80A494}"/>
    <cellStyle name="20% - Accent6 2 2 3 4 2" xfId="18638" xr:uid="{543ADD62-F12E-4523-A991-F3A5C2C3C309}"/>
    <cellStyle name="20% - Accent6 2 2 3 5" xfId="10069" xr:uid="{77354016-405D-4BAC-8C9C-C123EA444949}"/>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91C677E4-AA95-43AA-A44E-CC7BE1B99270}"/>
    <cellStyle name="20% - Accent6 2 2 4 2 3" xfId="12627" xr:uid="{66F3FD5D-8993-41F8-967D-88B5119A4529}"/>
    <cellStyle name="20% - Accent6 2 2 4 3" xfId="5373" xr:uid="{00000000-0005-0000-0000-00003F030000}"/>
    <cellStyle name="20% - Accent6 2 2 4 3 2" xfId="14699" xr:uid="{CA0B9560-1770-4792-BD97-09F1CA34DEB5}"/>
    <cellStyle name="20% - Accent6 2 2 4 4" xfId="10482" xr:uid="{16F21A82-4401-4E85-84DE-088565E9F5F8}"/>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C1D28AE7-852D-4CBE-9990-9F09FBBFD746}"/>
    <cellStyle name="20% - Accent6 2 2 5 2 3" xfId="13040" xr:uid="{2A4B9948-C2E3-4A78-AF75-1084926D6658}"/>
    <cellStyle name="20% - Accent6 2 2 5 3" xfId="5786" xr:uid="{00000000-0005-0000-0000-000043030000}"/>
    <cellStyle name="20% - Accent6 2 2 5 3 2" xfId="15112" xr:uid="{9F24A811-4ECD-4B16-83EA-610090909D5B}"/>
    <cellStyle name="20% - Accent6 2 2 5 4" xfId="10895" xr:uid="{52824980-89F6-4EFC-9D08-A75B4A92973F}"/>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EE329B6C-CB18-4CCC-BC98-F8E64311E6F3}"/>
    <cellStyle name="20% - Accent6 2 2 6 2 3" xfId="13453" xr:uid="{4CCEC202-400E-4BAE-86F9-334D08AE1704}"/>
    <cellStyle name="20% - Accent6 2 2 6 3" xfId="6199" xr:uid="{00000000-0005-0000-0000-000047030000}"/>
    <cellStyle name="20% - Accent6 2 2 6 3 2" xfId="15525" xr:uid="{A147FC79-2344-4DC6-BF9D-8340C72EE157}"/>
    <cellStyle name="20% - Accent6 2 2 6 4" xfId="11308" xr:uid="{D9016101-9771-4D39-856B-FA0E248C2231}"/>
    <cellStyle name="20% - Accent6 2 2 7" xfId="2306" xr:uid="{00000000-0005-0000-0000-000048030000}"/>
    <cellStyle name="20% - Accent6 2 2 7 2" xfId="6612" xr:uid="{00000000-0005-0000-0000-000049030000}"/>
    <cellStyle name="20% - Accent6 2 2 7 2 2" xfId="15938" xr:uid="{4051E6D0-8D88-4335-B705-0DCA6A439BFC}"/>
    <cellStyle name="20% - Accent6 2 2 7 3" xfId="11721" xr:uid="{3D1700CF-50D0-4DB8-9CDA-C5EBAC9EDD49}"/>
    <cellStyle name="20% - Accent6 2 2 8" xfId="4546" xr:uid="{00000000-0005-0000-0000-00004A030000}"/>
    <cellStyle name="20% - Accent6 2 2 8 2" xfId="13872" xr:uid="{5EEF205E-C5D7-4BA7-955A-5DF4F948022F}"/>
    <cellStyle name="20% - Accent6 2 2 9" xfId="8898" xr:uid="{88686F75-037F-4072-9BDC-942546C51E8F}"/>
    <cellStyle name="20% - Accent6 2 2 9 2" xfId="18222" xr:uid="{BD7082FC-4450-41AB-8D33-1925220D08E2}"/>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71C5B8B0-975A-4B3A-B0E3-D933397D39C3}"/>
    <cellStyle name="20% - Accent6 2 3 2 2 3" xfId="12216" xr:uid="{4027CD6D-33FD-493C-BE61-0BEA1F1A4ED0}"/>
    <cellStyle name="20% - Accent6 2 3 2 3" xfId="4962" xr:uid="{00000000-0005-0000-0000-00004F030000}"/>
    <cellStyle name="20% - Accent6 2 3 2 3 2" xfId="14288" xr:uid="{FFF563F1-08B0-4B73-BE1B-61905AEBD0B0}"/>
    <cellStyle name="20% - Accent6 2 3 2 4" xfId="9427" xr:uid="{009378B6-C0A8-4C7C-A9A2-F91104842D93}"/>
    <cellStyle name="20% - Accent6 2 3 2 4 2" xfId="18742" xr:uid="{231C7AB9-8D7C-4B6D-BC36-73A980960746}"/>
    <cellStyle name="20% - Accent6 2 3 2 5" xfId="10071" xr:uid="{3FA8526B-8981-4C89-AF67-79794366F267}"/>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3268BE4E-12A4-46B9-8C44-344C4DAC75FF}"/>
    <cellStyle name="20% - Accent6 2 3 3 2 3" xfId="12629" xr:uid="{D5CC4875-7204-4F70-AB85-F979DED8956A}"/>
    <cellStyle name="20% - Accent6 2 3 3 3" xfId="5375" xr:uid="{00000000-0005-0000-0000-000053030000}"/>
    <cellStyle name="20% - Accent6 2 3 3 3 2" xfId="14701" xr:uid="{10898B56-2F7E-4EDA-9617-BBC3155EECC6}"/>
    <cellStyle name="20% - Accent6 2 3 3 4" xfId="10484" xr:uid="{C47279EB-2C96-4815-ABF4-9DDE4A152956}"/>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703A941C-9680-4189-923E-B2F0F37135A3}"/>
    <cellStyle name="20% - Accent6 2 3 4 2 3" xfId="13042" xr:uid="{05EC69F3-BFC3-419C-9056-727709715ABB}"/>
    <cellStyle name="20% - Accent6 2 3 4 3" xfId="5788" xr:uid="{00000000-0005-0000-0000-000057030000}"/>
    <cellStyle name="20% - Accent6 2 3 4 3 2" xfId="15114" xr:uid="{14B6CA90-9496-40CF-96E5-8F3EFE6F68D2}"/>
    <cellStyle name="20% - Accent6 2 3 4 4" xfId="10897" xr:uid="{F890FC57-2B87-4A6A-8709-866D9962DE79}"/>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8B79B6F1-E609-4B93-B1F3-8A7776D48183}"/>
    <cellStyle name="20% - Accent6 2 3 5 2 3" xfId="13455" xr:uid="{04F9CED9-5B22-4419-AC0C-3F1C6AB26440}"/>
    <cellStyle name="20% - Accent6 2 3 5 3" xfId="6201" xr:uid="{00000000-0005-0000-0000-00005B030000}"/>
    <cellStyle name="20% - Accent6 2 3 5 3 2" xfId="15527" xr:uid="{1491FAE5-9F3F-406F-9C40-1529AC84F37C}"/>
    <cellStyle name="20% - Accent6 2 3 5 4" xfId="11310" xr:uid="{3123F056-B9B7-46B4-9F1D-2167692691AE}"/>
    <cellStyle name="20% - Accent6 2 3 6" xfId="2308" xr:uid="{00000000-0005-0000-0000-00005C030000}"/>
    <cellStyle name="20% - Accent6 2 3 6 2" xfId="6614" xr:uid="{00000000-0005-0000-0000-00005D030000}"/>
    <cellStyle name="20% - Accent6 2 3 6 2 2" xfId="15940" xr:uid="{1E79072D-F1DA-4848-8187-6835B8AAD37A}"/>
    <cellStyle name="20% - Accent6 2 3 6 3" xfId="11723" xr:uid="{AE97F6CB-62E1-4318-88D5-BB8A11D5D2C1}"/>
    <cellStyle name="20% - Accent6 2 3 7" xfId="4548" xr:uid="{00000000-0005-0000-0000-00005E030000}"/>
    <cellStyle name="20% - Accent6 2 3 7 2" xfId="13874" xr:uid="{A4863A97-BBD9-4177-97FA-D3F6C8CCF6A2}"/>
    <cellStyle name="20% - Accent6 2 3 8" xfId="9002" xr:uid="{F69877AB-868C-474F-8F88-C5F2F1F2C041}"/>
    <cellStyle name="20% - Accent6 2 3 8 2" xfId="18326" xr:uid="{35B21A06-4EB2-4903-B4A9-06AF6341B6C9}"/>
    <cellStyle name="20% - Accent6 2 3 9" xfId="9657" xr:uid="{6E23CC23-1128-44F0-8DAB-2BCBA713ACD2}"/>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FCAE6F78-A28D-42FC-A0F2-09C905482887}"/>
    <cellStyle name="20% - Accent6 2 4 2 3" xfId="12213" xr:uid="{6A2E0FD6-7E83-4B31-A36A-F98A79AC1331}"/>
    <cellStyle name="20% - Accent6 2 4 3" xfId="4959" xr:uid="{00000000-0005-0000-0000-000062030000}"/>
    <cellStyle name="20% - Accent6 2 4 3 2" xfId="14285" xr:uid="{A9A0C9D2-51B5-45DF-BDCF-E202343B8AE1}"/>
    <cellStyle name="20% - Accent6 2 4 4" xfId="9219" xr:uid="{C8AD75F8-261B-45C4-93F0-0E0A49EEEF79}"/>
    <cellStyle name="20% - Accent6 2 4 4 2" xfId="18535" xr:uid="{442BD4B0-3C30-4C96-831F-D7C3CE0857B0}"/>
    <cellStyle name="20% - Accent6 2 4 5" xfId="10068" xr:uid="{AD3135D8-50EE-44EB-92F7-6794CFC6EC02}"/>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9AAB0A95-B30F-42D7-8378-64A3FE8CC8DA}"/>
    <cellStyle name="20% - Accent6 2 5 2 3" xfId="12626" xr:uid="{44BE8BD6-228A-4E5F-AC88-A0A4AA4E630B}"/>
    <cellStyle name="20% - Accent6 2 5 3" xfId="5372" xr:uid="{00000000-0005-0000-0000-000066030000}"/>
    <cellStyle name="20% - Accent6 2 5 3 2" xfId="14698" xr:uid="{84185BF0-CDB0-4FB7-99BA-3320575BD423}"/>
    <cellStyle name="20% - Accent6 2 5 4" xfId="10481" xr:uid="{86373585-897F-4CC8-9B6B-907C8B7273EC}"/>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3F3BB3F1-B31E-4506-A3BA-D2AB4D722785}"/>
    <cellStyle name="20% - Accent6 2 6 2 3" xfId="13039" xr:uid="{4BFC8A7F-D94F-431B-ACF8-4F38B68BC843}"/>
    <cellStyle name="20% - Accent6 2 6 3" xfId="5785" xr:uid="{00000000-0005-0000-0000-00006A030000}"/>
    <cellStyle name="20% - Accent6 2 6 3 2" xfId="15111" xr:uid="{B8D2B0C2-87D8-4DF8-B3D5-DF1FBEA2789C}"/>
    <cellStyle name="20% - Accent6 2 6 4" xfId="10894" xr:uid="{FB735B6F-4063-4049-854B-01F915C94FB1}"/>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C6D4F64E-E578-452F-A3D0-41850DF15BDE}"/>
    <cellStyle name="20% - Accent6 2 7 2 3" xfId="13452" xr:uid="{1251F1DA-1053-4A36-9C30-366AA71AE777}"/>
    <cellStyle name="20% - Accent6 2 7 3" xfId="6198" xr:uid="{00000000-0005-0000-0000-00006E030000}"/>
    <cellStyle name="20% - Accent6 2 7 3 2" xfId="15524" xr:uid="{620EAED0-D829-42B2-B9C4-362631295790}"/>
    <cellStyle name="20% - Accent6 2 7 4" xfId="11307" xr:uid="{0240AF43-6E04-4E48-8BB4-841377E0197D}"/>
    <cellStyle name="20% - Accent6 2 8" xfId="2305" xr:uid="{00000000-0005-0000-0000-00006F030000}"/>
    <cellStyle name="20% - Accent6 2 8 2" xfId="6611" xr:uid="{00000000-0005-0000-0000-000070030000}"/>
    <cellStyle name="20% - Accent6 2 8 2 2" xfId="15937" xr:uid="{8012D777-3DC6-48BE-AE45-13CD280700D7}"/>
    <cellStyle name="20% - Accent6 2 8 3" xfId="11720" xr:uid="{D72E183F-D638-46E2-8446-227195CA1C6F}"/>
    <cellStyle name="20% - Accent6 2 9" xfId="4545" xr:uid="{00000000-0005-0000-0000-000071030000}"/>
    <cellStyle name="20% - Accent6 2 9 2" xfId="13871" xr:uid="{38B49EC1-40E5-4C1A-97E3-CAC161796185}"/>
    <cellStyle name="20% - Accent6 3" xfId="46" xr:uid="{00000000-0005-0000-0000-000072030000}"/>
    <cellStyle name="20% - Accent6 3 10" xfId="9658" xr:uid="{B36F87F2-B094-4BB9-8400-68356B171F2A}"/>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E5478EDF-297B-4796-B266-C5966922D6A2}"/>
    <cellStyle name="20% - Accent6 3 2 2 2 3" xfId="12218" xr:uid="{0985C41A-378B-4AD9-9AB1-C8D7F1F98BFD}"/>
    <cellStyle name="20% - Accent6 3 2 2 3" xfId="4964" xr:uid="{00000000-0005-0000-0000-000077030000}"/>
    <cellStyle name="20% - Accent6 3 2 2 3 2" xfId="14290" xr:uid="{3683BF0E-2708-4E56-AF10-CC96207BB160}"/>
    <cellStyle name="20% - Accent6 3 2 2 4" xfId="9503" xr:uid="{A5A3EDF8-16EA-4A86-8795-C3BA46FE244A}"/>
    <cellStyle name="20% - Accent6 3 2 2 4 2" xfId="18818" xr:uid="{3F761480-1006-401D-AE4F-B6689BB9DC84}"/>
    <cellStyle name="20% - Accent6 3 2 2 5" xfId="10073" xr:uid="{0AC59A9D-F994-457A-A396-0D0FEE635CEB}"/>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2D7CC6A8-FC40-4302-8C63-03A50FC77F4D}"/>
    <cellStyle name="20% - Accent6 3 2 3 2 3" xfId="12631" xr:uid="{A93BEC0F-6E44-4F99-AFD8-41921D4A8FEF}"/>
    <cellStyle name="20% - Accent6 3 2 3 3" xfId="5377" xr:uid="{00000000-0005-0000-0000-00007B030000}"/>
    <cellStyle name="20% - Accent6 3 2 3 3 2" xfId="14703" xr:uid="{88D33E7C-719D-48E6-9A97-CF666A595D3C}"/>
    <cellStyle name="20% - Accent6 3 2 3 4" xfId="10486" xr:uid="{159C6E6A-B2A3-4521-9A6D-7730B1FEA26E}"/>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5574BE23-A73D-476F-9B33-8946B2096C1F}"/>
    <cellStyle name="20% - Accent6 3 2 4 2 3" xfId="13044" xr:uid="{3E5CCECA-556B-47ED-AC94-8F82200A5A50}"/>
    <cellStyle name="20% - Accent6 3 2 4 3" xfId="5790" xr:uid="{00000000-0005-0000-0000-00007F030000}"/>
    <cellStyle name="20% - Accent6 3 2 4 3 2" xfId="15116" xr:uid="{46E19D0E-666D-419E-B1B4-B9D31092FAE2}"/>
    <cellStyle name="20% - Accent6 3 2 4 4" xfId="10899" xr:uid="{297929B8-C041-4D35-A4EC-0F2BC8FFD7DE}"/>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1A1CA2FA-07E2-443B-9134-15B07AA4D71C}"/>
    <cellStyle name="20% - Accent6 3 2 5 2 3" xfId="13457" xr:uid="{E5A20AEE-A04D-40FD-AC68-71D599079C9F}"/>
    <cellStyle name="20% - Accent6 3 2 5 3" xfId="6203" xr:uid="{00000000-0005-0000-0000-000083030000}"/>
    <cellStyle name="20% - Accent6 3 2 5 3 2" xfId="15529" xr:uid="{55DD91D6-F3DA-46B0-930B-93453E31DB91}"/>
    <cellStyle name="20% - Accent6 3 2 5 4" xfId="11312" xr:uid="{16920E3E-4440-4467-85B7-803DEE662CB8}"/>
    <cellStyle name="20% - Accent6 3 2 6" xfId="2310" xr:uid="{00000000-0005-0000-0000-000084030000}"/>
    <cellStyle name="20% - Accent6 3 2 6 2" xfId="6616" xr:uid="{00000000-0005-0000-0000-000085030000}"/>
    <cellStyle name="20% - Accent6 3 2 6 2 2" xfId="15942" xr:uid="{D5FE699A-5E9C-46AF-92EA-D4FB955FABE5}"/>
    <cellStyle name="20% - Accent6 3 2 6 3" xfId="11725" xr:uid="{DBD61408-F762-421D-9836-F84C2EAC1A70}"/>
    <cellStyle name="20% - Accent6 3 2 7" xfId="4550" xr:uid="{00000000-0005-0000-0000-000086030000}"/>
    <cellStyle name="20% - Accent6 3 2 7 2" xfId="13876" xr:uid="{5852EF55-0AE6-4F1A-95EE-D9B3F6FB1FE3}"/>
    <cellStyle name="20% - Accent6 3 2 8" xfId="9078" xr:uid="{55C63253-C10A-44F0-A9A1-D3E9AD1B1E77}"/>
    <cellStyle name="20% - Accent6 3 2 8 2" xfId="18402" xr:uid="{374217B5-B51C-4E48-B1D0-029D420DF0F0}"/>
    <cellStyle name="20% - Accent6 3 2 9" xfId="9659" xr:uid="{158BBDE5-CB9F-4ED7-820B-AA715E84EBD8}"/>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C5A0958E-8CF3-4B7C-8A7D-053EF6A06652}"/>
    <cellStyle name="20% - Accent6 3 3 2 3" xfId="12217" xr:uid="{3EE8A6AD-1B80-40F5-9D85-E199A8053F33}"/>
    <cellStyle name="20% - Accent6 3 3 3" xfId="4963" xr:uid="{00000000-0005-0000-0000-00008A030000}"/>
    <cellStyle name="20% - Accent6 3 3 3 2" xfId="14289" xr:uid="{3F7E41ED-F295-4203-8055-5DAB3E718704}"/>
    <cellStyle name="20% - Accent6 3 3 4" xfId="9296" xr:uid="{68DBDAD1-945F-459A-93CE-56D312D1EDE4}"/>
    <cellStyle name="20% - Accent6 3 3 4 2" xfId="18611" xr:uid="{91AA4A31-EF7E-48F7-BD23-883509F2762D}"/>
    <cellStyle name="20% - Accent6 3 3 5" xfId="10072" xr:uid="{9AB49D7F-CCB8-4DC3-A126-A7278D113E98}"/>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BF95E29C-A26D-453D-AA0F-01001BD8CFCF}"/>
    <cellStyle name="20% - Accent6 3 4 2 3" xfId="12630" xr:uid="{0E6F62AF-AF75-492B-B88E-F584AE295BD5}"/>
    <cellStyle name="20% - Accent6 3 4 3" xfId="5376" xr:uid="{00000000-0005-0000-0000-00008E030000}"/>
    <cellStyle name="20% - Accent6 3 4 3 2" xfId="14702" xr:uid="{175550C4-8C37-4BC6-921D-89FA4D7FEE0A}"/>
    <cellStyle name="20% - Accent6 3 4 4" xfId="10485" xr:uid="{9E0E56A4-2933-498C-B964-CD84F69269D9}"/>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67449388-5C02-42A7-A814-078902BF4986}"/>
    <cellStyle name="20% - Accent6 3 5 2 3" xfId="13043" xr:uid="{8506DDCF-82CC-4870-A631-8EA2169522CE}"/>
    <cellStyle name="20% - Accent6 3 5 3" xfId="5789" xr:uid="{00000000-0005-0000-0000-000092030000}"/>
    <cellStyle name="20% - Accent6 3 5 3 2" xfId="15115" xr:uid="{76AB3252-2A77-4525-9062-455EF854D6AF}"/>
    <cellStyle name="20% - Accent6 3 5 4" xfId="10898" xr:uid="{AB0CD961-10F6-4D89-BCB9-C9F37D66EB57}"/>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E7612D87-498B-45E2-A152-E7BB03015D54}"/>
    <cellStyle name="20% - Accent6 3 6 2 3" xfId="13456" xr:uid="{BB194F6B-59D6-4D94-A9DB-C2DBE822E1ED}"/>
    <cellStyle name="20% - Accent6 3 6 3" xfId="6202" xr:uid="{00000000-0005-0000-0000-000096030000}"/>
    <cellStyle name="20% - Accent6 3 6 3 2" xfId="15528" xr:uid="{F478C4AD-FDBE-47EA-B684-2F4ECE9629C7}"/>
    <cellStyle name="20% - Accent6 3 6 4" xfId="11311" xr:uid="{7E3566E1-9355-480F-A6C4-8C6D98EE1293}"/>
    <cellStyle name="20% - Accent6 3 7" xfId="2309" xr:uid="{00000000-0005-0000-0000-000097030000}"/>
    <cellStyle name="20% - Accent6 3 7 2" xfId="6615" xr:uid="{00000000-0005-0000-0000-000098030000}"/>
    <cellStyle name="20% - Accent6 3 7 2 2" xfId="15941" xr:uid="{744300BF-A703-40C3-A5D9-9A8483393D80}"/>
    <cellStyle name="20% - Accent6 3 7 3" xfId="11724" xr:uid="{E4549670-8CD0-4A59-B18C-53D474E93228}"/>
    <cellStyle name="20% - Accent6 3 8" xfId="4549" xr:uid="{00000000-0005-0000-0000-000099030000}"/>
    <cellStyle name="20% - Accent6 3 8 2" xfId="13875" xr:uid="{3122963A-2C76-4FBD-A7A3-1CFA465F15C7}"/>
    <cellStyle name="20% - Accent6 3 9" xfId="8871" xr:uid="{6A653046-C3D6-46DC-9DAA-DA1241CBE9F0}"/>
    <cellStyle name="20% - Accent6 3 9 2" xfId="18195" xr:uid="{4C591477-51AD-4574-8480-45E6612CB63A}"/>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0D9CBBAA-DCD9-4EDE-ADBE-7BF1A642E39F}"/>
    <cellStyle name="20% - Accent6 4 2 2 3" xfId="12219" xr:uid="{BEAB88E8-F387-45E0-B769-045DA4065F55}"/>
    <cellStyle name="20% - Accent6 4 2 3" xfId="4965" xr:uid="{00000000-0005-0000-0000-00009E030000}"/>
    <cellStyle name="20% - Accent6 4 2 3 2" xfId="14291" xr:uid="{F671058E-3FBB-4410-AD5C-39334742210B}"/>
    <cellStyle name="20% - Accent6 4 2 4" xfId="9382" xr:uid="{704ED43C-A59A-4E80-A03F-B933767E3A55}"/>
    <cellStyle name="20% - Accent6 4 2 4 2" xfId="18697" xr:uid="{4C2DAACB-0A7B-4B7A-A9C7-1A779D808ACE}"/>
    <cellStyle name="20% - Accent6 4 2 5" xfId="10074" xr:uid="{CFA4BE2A-47F3-477C-8E08-45E168F67514}"/>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D2466B42-AE0A-4275-87FE-EC60F08D24D3}"/>
    <cellStyle name="20% - Accent6 4 3 2 3" xfId="12632" xr:uid="{8B8799D1-8CF1-4D92-872E-84D1CECAA403}"/>
    <cellStyle name="20% - Accent6 4 3 3" xfId="5378" xr:uid="{00000000-0005-0000-0000-0000A2030000}"/>
    <cellStyle name="20% - Accent6 4 3 3 2" xfId="14704" xr:uid="{3E20076C-D68A-4282-9266-B47C01042330}"/>
    <cellStyle name="20% - Accent6 4 3 4" xfId="10487" xr:uid="{56CDBFFA-077C-479A-B4BE-FDA9D419F834}"/>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FFECBF33-950A-495F-989C-C67A5E147661}"/>
    <cellStyle name="20% - Accent6 4 4 2 3" xfId="13045" xr:uid="{100EE683-5C76-4B7B-B934-BD2651E21681}"/>
    <cellStyle name="20% - Accent6 4 4 3" xfId="5791" xr:uid="{00000000-0005-0000-0000-0000A6030000}"/>
    <cellStyle name="20% - Accent6 4 4 3 2" xfId="15117" xr:uid="{74ECC838-EC07-4B0E-A786-EF9DC4F7D813}"/>
    <cellStyle name="20% - Accent6 4 4 4" xfId="10900" xr:uid="{CDE87A3E-30E8-4477-A1CE-5C7098B6BD93}"/>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F5A7A36A-4189-4AE5-83A4-3E6DE6EE1C37}"/>
    <cellStyle name="20% - Accent6 4 5 2 3" xfId="13458" xr:uid="{93638E42-C0BA-4D00-8A08-25E167503B63}"/>
    <cellStyle name="20% - Accent6 4 5 3" xfId="6204" xr:uid="{00000000-0005-0000-0000-0000AA030000}"/>
    <cellStyle name="20% - Accent6 4 5 3 2" xfId="15530" xr:uid="{F926B182-7D05-4FE0-9689-38B5AE436605}"/>
    <cellStyle name="20% - Accent6 4 5 4" xfId="11313" xr:uid="{55E6AB60-0949-4B84-B390-F823EBCD055D}"/>
    <cellStyle name="20% - Accent6 4 6" xfId="2311" xr:uid="{00000000-0005-0000-0000-0000AB030000}"/>
    <cellStyle name="20% - Accent6 4 6 2" xfId="6617" xr:uid="{00000000-0005-0000-0000-0000AC030000}"/>
    <cellStyle name="20% - Accent6 4 6 2 2" xfId="15943" xr:uid="{42CD65D4-2DD1-4B2A-A1BC-D06AB3CC3363}"/>
    <cellStyle name="20% - Accent6 4 6 3" xfId="11726" xr:uid="{D92D1B9A-EE0B-4CE6-ADAA-62C23A59B487}"/>
    <cellStyle name="20% - Accent6 4 7" xfId="4551" xr:uid="{00000000-0005-0000-0000-0000AD030000}"/>
    <cellStyle name="20% - Accent6 4 7 2" xfId="13877" xr:uid="{494E793E-8850-432C-A252-4585EBD34212}"/>
    <cellStyle name="20% - Accent6 4 8" xfId="8957" xr:uid="{03E1DA3A-6A3F-4C0D-9844-2D38E7BA13BC}"/>
    <cellStyle name="20% - Accent6 4 8 2" xfId="18281" xr:uid="{D32206EC-1347-4367-A2BF-BDC7EB9F9B37}"/>
    <cellStyle name="20% - Accent6 4 9" xfId="9660" xr:uid="{40A7D1D0-E738-4AF1-BC95-88709C23C6F4}"/>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18EB907C-6AB6-4128-8B43-CF570B0D4E56}"/>
    <cellStyle name="20% - Accent6 5 2 3" xfId="12212" xr:uid="{5D504BE1-4D1B-473C-9BA6-B04F4295CC50}"/>
    <cellStyle name="20% - Accent6 5 3" xfId="4958" xr:uid="{00000000-0005-0000-0000-0000B1030000}"/>
    <cellStyle name="20% - Accent6 5 3 2" xfId="14284" xr:uid="{C130F723-0A34-4834-B908-22C2953EBF7C}"/>
    <cellStyle name="20% - Accent6 5 4" xfId="9191" xr:uid="{C812E2E5-5572-4E86-9CB6-C7C53792C044}"/>
    <cellStyle name="20% - Accent6 5 4 2" xfId="18508" xr:uid="{6032C409-8F70-40AB-9ABD-83A9FFD7388D}"/>
    <cellStyle name="20% - Accent6 5 5" xfId="10067" xr:uid="{36F61403-8266-4879-9C0D-E134B945EDC6}"/>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65296D48-7E7E-499B-8CE1-1660B58F9298}"/>
    <cellStyle name="20% - Accent6 6 2 3" xfId="12625" xr:uid="{39EA446C-56C3-4AE6-826B-5E0C745AE704}"/>
    <cellStyle name="20% - Accent6 6 3" xfId="5371" xr:uid="{00000000-0005-0000-0000-0000B5030000}"/>
    <cellStyle name="20% - Accent6 6 3 2" xfId="14697" xr:uid="{B8915574-E8EF-4498-BB19-55C28EA31E8C}"/>
    <cellStyle name="20% - Accent6 6 4" xfId="10480" xr:uid="{F9D5D113-61D3-4174-8FDE-FD0CCD3133A0}"/>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083CDCD5-4271-4441-9685-76D53DA6EC59}"/>
    <cellStyle name="20% - Accent6 7 2 3" xfId="13038" xr:uid="{E13F6EC1-1CB1-4359-A6C7-D65F8D8F8E94}"/>
    <cellStyle name="20% - Accent6 7 3" xfId="5784" xr:uid="{00000000-0005-0000-0000-0000B9030000}"/>
    <cellStyle name="20% - Accent6 7 3 2" xfId="15110" xr:uid="{E9876A57-B6C9-47C1-A735-3C31ED67D192}"/>
    <cellStyle name="20% - Accent6 7 4" xfId="10893" xr:uid="{1150DB90-FAC0-46E3-9D8C-98266E4CDE86}"/>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16D87461-6EA2-44A5-8287-799BE52C8267}"/>
    <cellStyle name="20% - Accent6 8 2 3" xfId="13451" xr:uid="{0C0B43CA-A34B-4DF7-8F48-636D73952C23}"/>
    <cellStyle name="20% - Accent6 8 3" xfId="6197" xr:uid="{00000000-0005-0000-0000-0000BD030000}"/>
    <cellStyle name="20% - Accent6 8 3 2" xfId="15523" xr:uid="{BC6504B0-D3C4-49E5-9497-4973D3D9B2BE}"/>
    <cellStyle name="20% - Accent6 8 4" xfId="11306" xr:uid="{CC395A47-6679-411A-B058-7AAF70A9A729}"/>
    <cellStyle name="20% - Accent6 9" xfId="2304" xr:uid="{00000000-0005-0000-0000-0000BE030000}"/>
    <cellStyle name="20% - Accent6 9 2" xfId="6610" xr:uid="{00000000-0005-0000-0000-0000BF030000}"/>
    <cellStyle name="20% - Accent6 9 2 2" xfId="15936" xr:uid="{5559DACF-D849-414F-9114-3B6D8CDAD01A}"/>
    <cellStyle name="20% - Accent6 9 3" xfId="11719" xr:uid="{4DEF05AF-230C-4A90-AB28-E7F42BDC7156}"/>
    <cellStyle name="40% - Accent1" xfId="49" builtinId="31" customBuiltin="1"/>
    <cellStyle name="40% - Accent1 10" xfId="4552" xr:uid="{00000000-0005-0000-0000-0000C1030000}"/>
    <cellStyle name="40% - Accent1 10 2" xfId="13878" xr:uid="{2C4EA6D0-D75C-4CBF-A635-D3FC72DDD1D5}"/>
    <cellStyle name="40% - Accent1 11" xfId="8759" xr:uid="{E0AA4078-00FF-4C00-81ED-1F048AC6C533}"/>
    <cellStyle name="40% - Accent1 11 2" xfId="18083" xr:uid="{15B79A37-EC11-4F2B-BA63-7B6E3C515E01}"/>
    <cellStyle name="40% - Accent1 12" xfId="9661" xr:uid="{DCAEF3FD-22C4-4B28-9B29-6FE1CB7DD33E}"/>
    <cellStyle name="40% - Accent1 2" xfId="50" xr:uid="{00000000-0005-0000-0000-0000C2030000}"/>
    <cellStyle name="40% - Accent1 2 10" xfId="8798" xr:uid="{82026451-631C-40CA-BC49-BE5DA2EA921A}"/>
    <cellStyle name="40% - Accent1 2 10 2" xfId="18122" xr:uid="{BD0F525C-20ED-485D-9A1F-56F27BC52E43}"/>
    <cellStyle name="40% - Accent1 2 11" xfId="9662" xr:uid="{4B167733-172F-4C65-B899-EC9AD3740F57}"/>
    <cellStyle name="40% - Accent1 2 2" xfId="51" xr:uid="{00000000-0005-0000-0000-0000C3030000}"/>
    <cellStyle name="40% - Accent1 2 2 10" xfId="9663" xr:uid="{046A860A-A147-4424-8049-08EE6416F1D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BE7BC1B2-405E-4B5E-835E-AD87BC2DA9CD}"/>
    <cellStyle name="40% - Accent1 2 2 2 2 2 3" xfId="12223" xr:uid="{C1558C4F-3DD7-4162-BD80-84910F0EB384}"/>
    <cellStyle name="40% - Accent1 2 2 2 2 3" xfId="4969" xr:uid="{00000000-0005-0000-0000-0000C8030000}"/>
    <cellStyle name="40% - Accent1 2 2 2 2 3 2" xfId="14295" xr:uid="{18F19D2A-2DD1-484D-94CF-6FE318C8F897}"/>
    <cellStyle name="40% - Accent1 2 2 2 2 4" xfId="9533" xr:uid="{757B5AC4-115E-4B90-B4EA-505C31F9B178}"/>
    <cellStyle name="40% - Accent1 2 2 2 2 4 2" xfId="18848" xr:uid="{58F0104B-F308-42BC-8DD2-AE867674DDFB}"/>
    <cellStyle name="40% - Accent1 2 2 2 2 5" xfId="10078" xr:uid="{B84D8256-3716-4FFA-A52E-BFD9045BBDF1}"/>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61A1FEF1-DB38-460C-B6C2-B196C20C98B0}"/>
    <cellStyle name="40% - Accent1 2 2 2 3 2 3" xfId="12636" xr:uid="{C2C46BC6-57CB-4B73-B28E-0D0D1B41ADDE}"/>
    <cellStyle name="40% - Accent1 2 2 2 3 3" xfId="5382" xr:uid="{00000000-0005-0000-0000-0000CC030000}"/>
    <cellStyle name="40% - Accent1 2 2 2 3 3 2" xfId="14708" xr:uid="{753EB437-A16E-406F-8898-B7AE505D6375}"/>
    <cellStyle name="40% - Accent1 2 2 2 3 4" xfId="10491" xr:uid="{13439E04-248B-43F0-8523-A86C317E6344}"/>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8DC354BF-D5AE-4379-A5A7-5C209248F89C}"/>
    <cellStyle name="40% - Accent1 2 2 2 4 2 3" xfId="13049" xr:uid="{F937CA77-B883-419B-8F04-D36DFD6C6199}"/>
    <cellStyle name="40% - Accent1 2 2 2 4 3" xfId="5795" xr:uid="{00000000-0005-0000-0000-0000D0030000}"/>
    <cellStyle name="40% - Accent1 2 2 2 4 3 2" xfId="15121" xr:uid="{492E4C1A-17CE-468B-9C2A-CD12D2C80C4F}"/>
    <cellStyle name="40% - Accent1 2 2 2 4 4" xfId="10904" xr:uid="{C3D3617D-3F51-46CF-9989-808F75A624F8}"/>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219FD88A-62FA-400D-9821-593E30722B20}"/>
    <cellStyle name="40% - Accent1 2 2 2 5 2 3" xfId="13462" xr:uid="{C36937EC-AAD8-4BF2-8764-914E14686640}"/>
    <cellStyle name="40% - Accent1 2 2 2 5 3" xfId="6208" xr:uid="{00000000-0005-0000-0000-0000D4030000}"/>
    <cellStyle name="40% - Accent1 2 2 2 5 3 2" xfId="15534" xr:uid="{CA92D32F-2798-4659-BFA3-892DFA5348D7}"/>
    <cellStyle name="40% - Accent1 2 2 2 5 4" xfId="11317" xr:uid="{D7636BE8-E57A-4092-BAB6-331E6C46AB11}"/>
    <cellStyle name="40% - Accent1 2 2 2 6" xfId="2315" xr:uid="{00000000-0005-0000-0000-0000D5030000}"/>
    <cellStyle name="40% - Accent1 2 2 2 6 2" xfId="6621" xr:uid="{00000000-0005-0000-0000-0000D6030000}"/>
    <cellStyle name="40% - Accent1 2 2 2 6 2 2" xfId="15947" xr:uid="{5C6FEAF8-99E3-4516-8A53-4A3DF799752D}"/>
    <cellStyle name="40% - Accent1 2 2 2 6 3" xfId="11730" xr:uid="{CE83F713-37F5-440B-BA4E-775DDE348419}"/>
    <cellStyle name="40% - Accent1 2 2 2 7" xfId="4555" xr:uid="{00000000-0005-0000-0000-0000D7030000}"/>
    <cellStyle name="40% - Accent1 2 2 2 7 2" xfId="13881" xr:uid="{361DA276-9C30-4F35-9B6D-F974D5966374}"/>
    <cellStyle name="40% - Accent1 2 2 2 8" xfId="9108" xr:uid="{1189B5E8-DD3C-4F9A-ACD3-DB853C0AC60B}"/>
    <cellStyle name="40% - Accent1 2 2 2 8 2" xfId="18432" xr:uid="{36B902A5-55C9-4FBA-82E0-9F239457E5A5}"/>
    <cellStyle name="40% - Accent1 2 2 2 9" xfId="9664" xr:uid="{1ECE7006-5BA7-41C2-A77F-34F4F360A9E3}"/>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BB1A34A0-8BA5-4882-86A5-AB1F18C1C2D3}"/>
    <cellStyle name="40% - Accent1 2 2 3 2 3" xfId="12222" xr:uid="{65DB1BE9-9FC8-4FD3-897B-1117F009DDF4}"/>
    <cellStyle name="40% - Accent1 2 2 3 3" xfId="4968" xr:uid="{00000000-0005-0000-0000-0000DB030000}"/>
    <cellStyle name="40% - Accent1 2 2 3 3 2" xfId="14294" xr:uid="{99C0A07F-FB0B-4701-8DAD-5D560DEBB657}"/>
    <cellStyle name="40% - Accent1 2 2 3 4" xfId="9326" xr:uid="{6D693950-F4D3-4A82-8C01-49E2379281D4}"/>
    <cellStyle name="40% - Accent1 2 2 3 4 2" xfId="18641" xr:uid="{B0D5AE9C-78A5-4629-9B92-2DD2CA775050}"/>
    <cellStyle name="40% - Accent1 2 2 3 5" xfId="10077" xr:uid="{6030F88C-9AA0-4E5F-985C-C6CC76F954BF}"/>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E7CA9A9F-3E77-4C96-8CB2-27CAA39CD915}"/>
    <cellStyle name="40% - Accent1 2 2 4 2 3" xfId="12635" xr:uid="{5200963B-F94A-4E87-BAFE-4DAFFEFF163C}"/>
    <cellStyle name="40% - Accent1 2 2 4 3" xfId="5381" xr:uid="{00000000-0005-0000-0000-0000DF030000}"/>
    <cellStyle name="40% - Accent1 2 2 4 3 2" xfId="14707" xr:uid="{4D64F1CD-84DB-41F4-A33E-65C9BF76D936}"/>
    <cellStyle name="40% - Accent1 2 2 4 4" xfId="10490" xr:uid="{3337D25E-6734-4C83-A0D0-322EB5C4CAB4}"/>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B25AEC54-954F-462D-9E8B-13726EB14D76}"/>
    <cellStyle name="40% - Accent1 2 2 5 2 3" xfId="13048" xr:uid="{173646F5-F6D7-457D-A02A-62AE177FCBA5}"/>
    <cellStyle name="40% - Accent1 2 2 5 3" xfId="5794" xr:uid="{00000000-0005-0000-0000-0000E3030000}"/>
    <cellStyle name="40% - Accent1 2 2 5 3 2" xfId="15120" xr:uid="{13273685-331C-4BC9-A218-B03EE09F7760}"/>
    <cellStyle name="40% - Accent1 2 2 5 4" xfId="10903" xr:uid="{C01C922E-C080-46D0-9AF0-A34216A3AE0C}"/>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C2DFDCFB-3ED1-4EFE-9EC3-404F0A064DA6}"/>
    <cellStyle name="40% - Accent1 2 2 6 2 3" xfId="13461" xr:uid="{B7850857-FE85-4918-98D0-70DEB0B6BE3B}"/>
    <cellStyle name="40% - Accent1 2 2 6 3" xfId="6207" xr:uid="{00000000-0005-0000-0000-0000E7030000}"/>
    <cellStyle name="40% - Accent1 2 2 6 3 2" xfId="15533" xr:uid="{8B88492D-453F-4117-AC60-360FC0076C49}"/>
    <cellStyle name="40% - Accent1 2 2 6 4" xfId="11316" xr:uid="{22A3A2B1-AD38-47A5-B39F-6EB1E860B726}"/>
    <cellStyle name="40% - Accent1 2 2 7" xfId="2314" xr:uid="{00000000-0005-0000-0000-0000E8030000}"/>
    <cellStyle name="40% - Accent1 2 2 7 2" xfId="6620" xr:uid="{00000000-0005-0000-0000-0000E9030000}"/>
    <cellStyle name="40% - Accent1 2 2 7 2 2" xfId="15946" xr:uid="{5883A47A-EE74-4ED9-9CD5-88E12CC7720A}"/>
    <cellStyle name="40% - Accent1 2 2 7 3" xfId="11729" xr:uid="{31E0C14C-8301-4C32-A6ED-688455BE157D}"/>
    <cellStyle name="40% - Accent1 2 2 8" xfId="4554" xr:uid="{00000000-0005-0000-0000-0000EA030000}"/>
    <cellStyle name="40% - Accent1 2 2 8 2" xfId="13880" xr:uid="{A7C3A5A0-E293-4CA2-AB24-D6416F133E50}"/>
    <cellStyle name="40% - Accent1 2 2 9" xfId="8901" xr:uid="{10130317-AF31-4351-8201-FD8BD447EA3C}"/>
    <cellStyle name="40% - Accent1 2 2 9 2" xfId="18225" xr:uid="{2D794FFC-88F0-4B06-B46B-AB786A4FAC2D}"/>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30B6F262-AD9A-4FE3-9550-FF3714778F63}"/>
    <cellStyle name="40% - Accent1 2 3 2 2 3" xfId="12224" xr:uid="{425FC530-791E-4FC2-9E17-087865BD1AFF}"/>
    <cellStyle name="40% - Accent1 2 3 2 3" xfId="4970" xr:uid="{00000000-0005-0000-0000-0000EF030000}"/>
    <cellStyle name="40% - Accent1 2 3 2 3 2" xfId="14296" xr:uid="{43612ACF-2162-4759-A961-E251F279A6B2}"/>
    <cellStyle name="40% - Accent1 2 3 2 4" xfId="9430" xr:uid="{C79D1FB2-141C-4301-8F37-B3B9643C0550}"/>
    <cellStyle name="40% - Accent1 2 3 2 4 2" xfId="18745" xr:uid="{42B538ED-8AD1-404B-8906-C6F7BD83A5C9}"/>
    <cellStyle name="40% - Accent1 2 3 2 5" xfId="10079" xr:uid="{3B1F0A26-12B1-4FE8-ADCF-079F7F368AC0}"/>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6B66E5BF-B870-4DCA-A3BF-F50E61FA1BF0}"/>
    <cellStyle name="40% - Accent1 2 3 3 2 3" xfId="12637" xr:uid="{D30FDF0E-E643-4380-BD8E-462532E04E94}"/>
    <cellStyle name="40% - Accent1 2 3 3 3" xfId="5383" xr:uid="{00000000-0005-0000-0000-0000F3030000}"/>
    <cellStyle name="40% - Accent1 2 3 3 3 2" xfId="14709" xr:uid="{BAAF694C-0B0C-41D8-9CD5-FE55626DBB4C}"/>
    <cellStyle name="40% - Accent1 2 3 3 4" xfId="10492" xr:uid="{B757D20B-CF49-43BB-8801-1511BC70B60C}"/>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812E8F60-51EB-46D6-88B8-034DE7CD9D9C}"/>
    <cellStyle name="40% - Accent1 2 3 4 2 3" xfId="13050" xr:uid="{21BF9F36-26A4-4927-97E2-4B3315D90638}"/>
    <cellStyle name="40% - Accent1 2 3 4 3" xfId="5796" xr:uid="{00000000-0005-0000-0000-0000F7030000}"/>
    <cellStyle name="40% - Accent1 2 3 4 3 2" xfId="15122" xr:uid="{C3AD1D9F-948D-4D6C-8EEA-D70C1732149F}"/>
    <cellStyle name="40% - Accent1 2 3 4 4" xfId="10905" xr:uid="{1863BDD3-DF0C-4745-B520-A40F25AE9174}"/>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50E1E07D-68CB-49C5-9C07-9C4CB08B39AD}"/>
    <cellStyle name="40% - Accent1 2 3 5 2 3" xfId="13463" xr:uid="{43A3A28A-AFA6-4DAE-81EA-F1A1D52F42CF}"/>
    <cellStyle name="40% - Accent1 2 3 5 3" xfId="6209" xr:uid="{00000000-0005-0000-0000-0000FB030000}"/>
    <cellStyle name="40% - Accent1 2 3 5 3 2" xfId="15535" xr:uid="{F5A654C0-8529-4E6B-B94C-B4BF9178DCB0}"/>
    <cellStyle name="40% - Accent1 2 3 5 4" xfId="11318" xr:uid="{0A3AA1C7-162F-48BB-BA6F-BC5270232716}"/>
    <cellStyle name="40% - Accent1 2 3 6" xfId="2316" xr:uid="{00000000-0005-0000-0000-0000FC030000}"/>
    <cellStyle name="40% - Accent1 2 3 6 2" xfId="6622" xr:uid="{00000000-0005-0000-0000-0000FD030000}"/>
    <cellStyle name="40% - Accent1 2 3 6 2 2" xfId="15948" xr:uid="{0ACC640D-8B78-439E-9715-15DA03018B45}"/>
    <cellStyle name="40% - Accent1 2 3 6 3" xfId="11731" xr:uid="{7F695F94-B92B-40BF-BCFF-B8E08480F088}"/>
    <cellStyle name="40% - Accent1 2 3 7" xfId="4556" xr:uid="{00000000-0005-0000-0000-0000FE030000}"/>
    <cellStyle name="40% - Accent1 2 3 7 2" xfId="13882" xr:uid="{833CE056-B20C-44CA-A555-176C7106951B}"/>
    <cellStyle name="40% - Accent1 2 3 8" xfId="9005" xr:uid="{83AF69B9-664F-4E19-B721-7989C2FEBC0C}"/>
    <cellStyle name="40% - Accent1 2 3 8 2" xfId="18329" xr:uid="{B51F87D2-C128-4D19-A07D-6988E84D2E99}"/>
    <cellStyle name="40% - Accent1 2 3 9" xfId="9665" xr:uid="{321786DA-AA61-4408-95B7-2B3FEE183E4E}"/>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93EAC88C-2BCD-4A95-A264-6DB12F499750}"/>
    <cellStyle name="40% - Accent1 2 4 2 3" xfId="12221" xr:uid="{675212F1-68EC-406E-B377-D58BC5327594}"/>
    <cellStyle name="40% - Accent1 2 4 3" xfId="4967" xr:uid="{00000000-0005-0000-0000-000002040000}"/>
    <cellStyle name="40% - Accent1 2 4 3 2" xfId="14293" xr:uid="{16DB7E73-645A-4A98-94D2-45E02D0B7533}"/>
    <cellStyle name="40% - Accent1 2 4 4" xfId="9222" xr:uid="{A6B83122-AC98-4E58-AA4D-EC5ECC38FC6B}"/>
    <cellStyle name="40% - Accent1 2 4 4 2" xfId="18538" xr:uid="{6E63B34E-F488-4D6F-8635-C2B621415EE5}"/>
    <cellStyle name="40% - Accent1 2 4 5" xfId="10076" xr:uid="{7B06CE35-B11A-4725-8E02-C7091B33FE5F}"/>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30BE0725-8E59-413F-8C47-3590E407E6C1}"/>
    <cellStyle name="40% - Accent1 2 5 2 3" xfId="12634" xr:uid="{F0E38178-EC93-4C68-B87F-3B9663C90CBF}"/>
    <cellStyle name="40% - Accent1 2 5 3" xfId="5380" xr:uid="{00000000-0005-0000-0000-000006040000}"/>
    <cellStyle name="40% - Accent1 2 5 3 2" xfId="14706" xr:uid="{70664743-DB5A-490A-BC2E-9DDE9DBF63D9}"/>
    <cellStyle name="40% - Accent1 2 5 4" xfId="10489" xr:uid="{AEE82796-1A9F-4490-A7C7-779A8FC1FCC3}"/>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693192F4-8F0E-4746-9562-EE670CF8AA2B}"/>
    <cellStyle name="40% - Accent1 2 6 2 3" xfId="13047" xr:uid="{B796E969-76C4-46C3-B760-927E19208125}"/>
    <cellStyle name="40% - Accent1 2 6 3" xfId="5793" xr:uid="{00000000-0005-0000-0000-00000A040000}"/>
    <cellStyle name="40% - Accent1 2 6 3 2" xfId="15119" xr:uid="{C850C9E2-22E8-48A2-AC41-806922106EB6}"/>
    <cellStyle name="40% - Accent1 2 6 4" xfId="10902" xr:uid="{C6DE0B3F-2AE5-4FD2-A80F-B794908D1835}"/>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1899EEE6-F1A0-4B3B-A8E7-6AC419BD419C}"/>
    <cellStyle name="40% - Accent1 2 7 2 3" xfId="13460" xr:uid="{155B9B86-F358-40DE-984A-ADFBFDC59354}"/>
    <cellStyle name="40% - Accent1 2 7 3" xfId="6206" xr:uid="{00000000-0005-0000-0000-00000E040000}"/>
    <cellStyle name="40% - Accent1 2 7 3 2" xfId="15532" xr:uid="{2A562C32-531E-4B30-9759-61DB556847BE}"/>
    <cellStyle name="40% - Accent1 2 7 4" xfId="11315" xr:uid="{13701C73-8687-4775-8DB6-E94A5E39F48E}"/>
    <cellStyle name="40% - Accent1 2 8" xfId="2313" xr:uid="{00000000-0005-0000-0000-00000F040000}"/>
    <cellStyle name="40% - Accent1 2 8 2" xfId="6619" xr:uid="{00000000-0005-0000-0000-000010040000}"/>
    <cellStyle name="40% - Accent1 2 8 2 2" xfId="15945" xr:uid="{2DB968ED-4C10-4984-A8AA-A8637BC5B900}"/>
    <cellStyle name="40% - Accent1 2 8 3" xfId="11728" xr:uid="{C0D3E952-B5EB-481C-8417-20232EFF41E0}"/>
    <cellStyle name="40% - Accent1 2 9" xfId="4553" xr:uid="{00000000-0005-0000-0000-000011040000}"/>
    <cellStyle name="40% - Accent1 2 9 2" xfId="13879" xr:uid="{EC6E37A4-FF36-46A7-BD73-5782701F550E}"/>
    <cellStyle name="40% - Accent1 3" xfId="54" xr:uid="{00000000-0005-0000-0000-000012040000}"/>
    <cellStyle name="40% - Accent1 3 10" xfId="9666" xr:uid="{C3B0C89D-1568-4B89-BDF2-F52F2F647AB2}"/>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52AB717A-61E5-4350-BE38-DB69B757738E}"/>
    <cellStyle name="40% - Accent1 3 2 2 2 3" xfId="12226" xr:uid="{6A1F864A-8F13-4520-9837-298B5C8C10BB}"/>
    <cellStyle name="40% - Accent1 3 2 2 3" xfId="4972" xr:uid="{00000000-0005-0000-0000-000017040000}"/>
    <cellStyle name="40% - Accent1 3 2 2 3 2" xfId="14298" xr:uid="{BF2ADF8D-C6CD-44DE-B6AE-BFB5B124C0BC}"/>
    <cellStyle name="40% - Accent1 3 2 2 4" xfId="9494" xr:uid="{49092FA9-F337-44E8-98C8-15711B1C1558}"/>
    <cellStyle name="40% - Accent1 3 2 2 4 2" xfId="18809" xr:uid="{66C9A0F1-D163-48AA-9CE1-046818241BF3}"/>
    <cellStyle name="40% - Accent1 3 2 2 5" xfId="10081" xr:uid="{A59A5CCF-4AD4-4937-AAA4-45ECF9690E2F}"/>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94660DFC-E4E7-41F9-9ACB-67051DE60657}"/>
    <cellStyle name="40% - Accent1 3 2 3 2 3" xfId="12639" xr:uid="{742EA73F-A7AB-45E3-9872-593D1B643FDB}"/>
    <cellStyle name="40% - Accent1 3 2 3 3" xfId="5385" xr:uid="{00000000-0005-0000-0000-00001B040000}"/>
    <cellStyle name="40% - Accent1 3 2 3 3 2" xfId="14711" xr:uid="{ED447109-AA3B-4BEC-947D-6DCFBFD1BCA8}"/>
    <cellStyle name="40% - Accent1 3 2 3 4" xfId="10494" xr:uid="{39281D26-471D-4D44-9710-5D9189086B35}"/>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9DC2DB35-1142-4BB1-9EF0-D3F17AF63DBA}"/>
    <cellStyle name="40% - Accent1 3 2 4 2 3" xfId="13052" xr:uid="{94545F47-6F14-4EEB-89E2-1E152D9FE344}"/>
    <cellStyle name="40% - Accent1 3 2 4 3" xfId="5798" xr:uid="{00000000-0005-0000-0000-00001F040000}"/>
    <cellStyle name="40% - Accent1 3 2 4 3 2" xfId="15124" xr:uid="{AF88F686-DDC8-475D-AC89-93CD09EAD33F}"/>
    <cellStyle name="40% - Accent1 3 2 4 4" xfId="10907" xr:uid="{B16ECCC9-DE69-468B-BE3E-9748B322B93F}"/>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BECB599D-B54A-4BC6-908D-EFA65DB7C2E3}"/>
    <cellStyle name="40% - Accent1 3 2 5 2 3" xfId="13465" xr:uid="{2535687D-3799-4901-826B-2C1E6F5DBE98}"/>
    <cellStyle name="40% - Accent1 3 2 5 3" xfId="6211" xr:uid="{00000000-0005-0000-0000-000023040000}"/>
    <cellStyle name="40% - Accent1 3 2 5 3 2" xfId="15537" xr:uid="{82F51019-0AC9-4237-8009-547171D45325}"/>
    <cellStyle name="40% - Accent1 3 2 5 4" xfId="11320" xr:uid="{430FD959-9784-4926-9984-23C03245707F}"/>
    <cellStyle name="40% - Accent1 3 2 6" xfId="2318" xr:uid="{00000000-0005-0000-0000-000024040000}"/>
    <cellStyle name="40% - Accent1 3 2 6 2" xfId="6624" xr:uid="{00000000-0005-0000-0000-000025040000}"/>
    <cellStyle name="40% - Accent1 3 2 6 2 2" xfId="15950" xr:uid="{D3F7F4FB-87F7-430E-8C14-2B274274B5C9}"/>
    <cellStyle name="40% - Accent1 3 2 6 3" xfId="11733" xr:uid="{78BE0B19-A450-4D79-A1D3-C10651E41A7C}"/>
    <cellStyle name="40% - Accent1 3 2 7" xfId="4558" xr:uid="{00000000-0005-0000-0000-000026040000}"/>
    <cellStyle name="40% - Accent1 3 2 7 2" xfId="13884" xr:uid="{FA260923-9903-4AF1-A0C7-FB5A09DE5080}"/>
    <cellStyle name="40% - Accent1 3 2 8" xfId="9069" xr:uid="{F3D9FD63-8946-4492-B81A-42936E8B246D}"/>
    <cellStyle name="40% - Accent1 3 2 8 2" xfId="18393" xr:uid="{115C7DE7-339D-4828-B495-054A26D921E7}"/>
    <cellStyle name="40% - Accent1 3 2 9" xfId="9667" xr:uid="{1F6AAEC7-1C16-4E1D-B0BA-8CFF151DCBE8}"/>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B100CA35-BDF5-446F-ACE7-11FDD25940B6}"/>
    <cellStyle name="40% - Accent1 3 3 2 3" xfId="12225" xr:uid="{EE2EEC13-5864-450E-B9EA-208D58CAD622}"/>
    <cellStyle name="40% - Accent1 3 3 3" xfId="4971" xr:uid="{00000000-0005-0000-0000-00002A040000}"/>
    <cellStyle name="40% - Accent1 3 3 3 2" xfId="14297" xr:uid="{CAE4F532-B422-401E-AE17-234BE414171F}"/>
    <cellStyle name="40% - Accent1 3 3 4" xfId="9287" xr:uid="{8C21B573-3D31-49DA-ACD8-D3EC7CC3A858}"/>
    <cellStyle name="40% - Accent1 3 3 4 2" xfId="18602" xr:uid="{F9D2D822-9393-4B0A-BCEE-83F5BAA4B07F}"/>
    <cellStyle name="40% - Accent1 3 3 5" xfId="10080" xr:uid="{82CA02C7-12DC-4552-AA3E-0D8F349EEF4A}"/>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6C1180D6-2E07-40DD-9771-B4AA8963017A}"/>
    <cellStyle name="40% - Accent1 3 4 2 3" xfId="12638" xr:uid="{ACE60F74-CE5D-4A2F-9038-AD601C37F85D}"/>
    <cellStyle name="40% - Accent1 3 4 3" xfId="5384" xr:uid="{00000000-0005-0000-0000-00002E040000}"/>
    <cellStyle name="40% - Accent1 3 4 3 2" xfId="14710" xr:uid="{5C7F2AD5-AC91-4FEA-B29B-670A52EA4DA8}"/>
    <cellStyle name="40% - Accent1 3 4 4" xfId="10493" xr:uid="{00714390-A5F1-4B96-8D10-797B0ADF6D85}"/>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162FD07A-E28D-4F25-BB62-16593D23D199}"/>
    <cellStyle name="40% - Accent1 3 5 2 3" xfId="13051" xr:uid="{19A4AECB-3B6A-479A-AC72-CF1F8064DF45}"/>
    <cellStyle name="40% - Accent1 3 5 3" xfId="5797" xr:uid="{00000000-0005-0000-0000-000032040000}"/>
    <cellStyle name="40% - Accent1 3 5 3 2" xfId="15123" xr:uid="{D007842D-00CE-43FA-BDA8-AAB6CA3D3979}"/>
    <cellStyle name="40% - Accent1 3 5 4" xfId="10906" xr:uid="{718167EF-65F4-4666-A1FC-8204881EAEEA}"/>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48306468-7F09-4179-A75B-936DB0193A88}"/>
    <cellStyle name="40% - Accent1 3 6 2 3" xfId="13464" xr:uid="{EC6597AF-304C-4117-A9C5-A0A00BCA1513}"/>
    <cellStyle name="40% - Accent1 3 6 3" xfId="6210" xr:uid="{00000000-0005-0000-0000-000036040000}"/>
    <cellStyle name="40% - Accent1 3 6 3 2" xfId="15536" xr:uid="{B3233459-5EA0-4DAF-9541-B1195F3CBCF1}"/>
    <cellStyle name="40% - Accent1 3 6 4" xfId="11319" xr:uid="{782CEC61-A237-43E5-9CB3-9B0BE4EC00D0}"/>
    <cellStyle name="40% - Accent1 3 7" xfId="2317" xr:uid="{00000000-0005-0000-0000-000037040000}"/>
    <cellStyle name="40% - Accent1 3 7 2" xfId="6623" xr:uid="{00000000-0005-0000-0000-000038040000}"/>
    <cellStyle name="40% - Accent1 3 7 2 2" xfId="15949" xr:uid="{46601108-C3C1-4944-9E48-4471258CEF35}"/>
    <cellStyle name="40% - Accent1 3 7 3" xfId="11732" xr:uid="{6C8A3B1C-FD0F-4297-AD4E-8AA0DC802B1E}"/>
    <cellStyle name="40% - Accent1 3 8" xfId="4557" xr:uid="{00000000-0005-0000-0000-000039040000}"/>
    <cellStyle name="40% - Accent1 3 8 2" xfId="13883" xr:uid="{0AC72CF0-8626-4AEC-9ACB-DAE3C884C1FD}"/>
    <cellStyle name="40% - Accent1 3 9" xfId="8862" xr:uid="{2CC30516-31CA-485E-88BE-FCC7F9756A95}"/>
    <cellStyle name="40% - Accent1 3 9 2" xfId="18186" xr:uid="{A38261D5-DD27-4B11-AC64-A27EF5F33B29}"/>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8CC6898D-CB75-48A2-8F28-DDDD114664FF}"/>
    <cellStyle name="40% - Accent1 4 2 2 3" xfId="12227" xr:uid="{ED90C003-F58F-415C-AEA2-69D15DE8B168}"/>
    <cellStyle name="40% - Accent1 4 2 3" xfId="4973" xr:uid="{00000000-0005-0000-0000-00003E040000}"/>
    <cellStyle name="40% - Accent1 4 2 3 2" xfId="14299" xr:uid="{22F3FCCF-8909-4EEB-A20D-9255BEAFEE91}"/>
    <cellStyle name="40% - Accent1 4 2 4" xfId="9373" xr:uid="{3BC949C7-8F86-44EA-9F10-CF277586B131}"/>
    <cellStyle name="40% - Accent1 4 2 4 2" xfId="18688" xr:uid="{AD9FD6A1-981C-4195-8C5E-288A4DFCE5AD}"/>
    <cellStyle name="40% - Accent1 4 2 5" xfId="10082" xr:uid="{27ADA5FE-1EA6-47EF-8A28-C518CEFD107E}"/>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A5E1DB95-1D1A-4D05-8B4D-C92A16F90ED1}"/>
    <cellStyle name="40% - Accent1 4 3 2 3" xfId="12640" xr:uid="{302B2825-0E5C-43C7-AD08-F03EB3613F1F}"/>
    <cellStyle name="40% - Accent1 4 3 3" xfId="5386" xr:uid="{00000000-0005-0000-0000-000042040000}"/>
    <cellStyle name="40% - Accent1 4 3 3 2" xfId="14712" xr:uid="{D72024D1-B15D-452B-A7EB-70489FBC7C5C}"/>
    <cellStyle name="40% - Accent1 4 3 4" xfId="10495" xr:uid="{927B27A5-FA50-449B-B37B-F5C4DA20B869}"/>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FF72C75C-4178-4306-8114-DCA7274B414E}"/>
    <cellStyle name="40% - Accent1 4 4 2 3" xfId="13053" xr:uid="{45943DCD-B180-4EAC-8827-E5A5B8C1AB55}"/>
    <cellStyle name="40% - Accent1 4 4 3" xfId="5799" xr:uid="{00000000-0005-0000-0000-000046040000}"/>
    <cellStyle name="40% - Accent1 4 4 3 2" xfId="15125" xr:uid="{F003DBDF-5BD9-4FFB-AE0A-D128C54ABD24}"/>
    <cellStyle name="40% - Accent1 4 4 4" xfId="10908" xr:uid="{22EDC1DE-1FB3-4F62-85F0-EB810D4018C2}"/>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720167C9-21E4-4AE0-9FC7-1A6850FB55B5}"/>
    <cellStyle name="40% - Accent1 4 5 2 3" xfId="13466" xr:uid="{BFA7AD9F-AE9C-4199-8970-7DE4042CA236}"/>
    <cellStyle name="40% - Accent1 4 5 3" xfId="6212" xr:uid="{00000000-0005-0000-0000-00004A040000}"/>
    <cellStyle name="40% - Accent1 4 5 3 2" xfId="15538" xr:uid="{9BAC01A2-3793-48EA-8A0E-FCE3CE9EBF40}"/>
    <cellStyle name="40% - Accent1 4 5 4" xfId="11321" xr:uid="{06CC890A-CCB8-421B-BC95-79489F498FA9}"/>
    <cellStyle name="40% - Accent1 4 6" xfId="2319" xr:uid="{00000000-0005-0000-0000-00004B040000}"/>
    <cellStyle name="40% - Accent1 4 6 2" xfId="6625" xr:uid="{00000000-0005-0000-0000-00004C040000}"/>
    <cellStyle name="40% - Accent1 4 6 2 2" xfId="15951" xr:uid="{7A03E6FD-2871-4D43-B23F-2FEC9E49AE88}"/>
    <cellStyle name="40% - Accent1 4 6 3" xfId="11734" xr:uid="{7F5A748C-0ABC-48D7-9522-0A9516D3E73F}"/>
    <cellStyle name="40% - Accent1 4 7" xfId="4559" xr:uid="{00000000-0005-0000-0000-00004D040000}"/>
    <cellStyle name="40% - Accent1 4 7 2" xfId="13885" xr:uid="{092A28BC-28B8-46FE-B991-2B0EC9B6CF4F}"/>
    <cellStyle name="40% - Accent1 4 8" xfId="8948" xr:uid="{7BCBB449-71B8-4468-A700-0125C7659C3D}"/>
    <cellStyle name="40% - Accent1 4 8 2" xfId="18272" xr:uid="{5C826D37-0C42-44AA-BDA7-D74AD48645A8}"/>
    <cellStyle name="40% - Accent1 4 9" xfId="9668" xr:uid="{E1B0E79C-7EB7-4ACD-9835-C147E14E1F73}"/>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731C6327-4BEE-40B9-9D04-F295126DB557}"/>
    <cellStyle name="40% - Accent1 5 2 3" xfId="12220" xr:uid="{00E806D4-50A5-49C5-A046-B95445C4DB09}"/>
    <cellStyle name="40% - Accent1 5 3" xfId="4966" xr:uid="{00000000-0005-0000-0000-000051040000}"/>
    <cellStyle name="40% - Accent1 5 3 2" xfId="14292" xr:uid="{4995CA04-58DE-4A46-84BE-217474C3E3C1}"/>
    <cellStyle name="40% - Accent1 5 4" xfId="9181" xr:uid="{332DA761-F1AA-4FF3-9BBB-9ECEE19D2DFF}"/>
    <cellStyle name="40% - Accent1 5 4 2" xfId="18499" xr:uid="{B56CD9AB-F674-49EA-BE28-69ADCF9A5BAC}"/>
    <cellStyle name="40% - Accent1 5 5" xfId="10075" xr:uid="{970AD75B-315B-4CF4-A3CB-9AA3E834B2C7}"/>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07CAC298-1F9D-4022-8FFD-6DC81149DA18}"/>
    <cellStyle name="40% - Accent1 6 2 3" xfId="12633" xr:uid="{872BF9D6-8F69-4FC5-BD16-1AB13EED281D}"/>
    <cellStyle name="40% - Accent1 6 3" xfId="5379" xr:uid="{00000000-0005-0000-0000-000055040000}"/>
    <cellStyle name="40% - Accent1 6 3 2" xfId="14705" xr:uid="{B7250A82-FAF1-4BDC-8FCF-C3073A3ECE0B}"/>
    <cellStyle name="40% - Accent1 6 4" xfId="10488" xr:uid="{5D1CB31F-1525-407E-8676-99F058139D8A}"/>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CB53C27D-CD1B-4968-B0F6-822E340A19E0}"/>
    <cellStyle name="40% - Accent1 7 2 3" xfId="13046" xr:uid="{76CC0FF8-2BBB-41A2-94F1-0A888E7C7D27}"/>
    <cellStyle name="40% - Accent1 7 3" xfId="5792" xr:uid="{00000000-0005-0000-0000-000059040000}"/>
    <cellStyle name="40% - Accent1 7 3 2" xfId="15118" xr:uid="{5CD8AF90-10A9-4B6D-998F-47B580A28E94}"/>
    <cellStyle name="40% - Accent1 7 4" xfId="10901" xr:uid="{E7A1DE1D-7F23-4A5D-BE0A-FB20CB2E7277}"/>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4B4A3E84-8AB8-4833-B0DF-628716F0F22B}"/>
    <cellStyle name="40% - Accent1 8 2 3" xfId="13459" xr:uid="{1B1A351C-7C77-4548-B6CE-150511E7B96E}"/>
    <cellStyle name="40% - Accent1 8 3" xfId="6205" xr:uid="{00000000-0005-0000-0000-00005D040000}"/>
    <cellStyle name="40% - Accent1 8 3 2" xfId="15531" xr:uid="{49FD61B7-61B9-4365-9DC8-86D7A2FE270A}"/>
    <cellStyle name="40% - Accent1 8 4" xfId="11314" xr:uid="{E9B192F7-630D-42E2-A033-A0136CA0C296}"/>
    <cellStyle name="40% - Accent1 9" xfId="2312" xr:uid="{00000000-0005-0000-0000-00005E040000}"/>
    <cellStyle name="40% - Accent1 9 2" xfId="6618" xr:uid="{00000000-0005-0000-0000-00005F040000}"/>
    <cellStyle name="40% - Accent1 9 2 2" xfId="15944" xr:uid="{19224B51-439A-4600-9F90-CD4FB8583404}"/>
    <cellStyle name="40% - Accent1 9 3" xfId="11727" xr:uid="{2B4550C9-286E-4C88-823F-3DDABFFCFFF6}"/>
    <cellStyle name="40% - Accent2" xfId="57" builtinId="35" customBuiltin="1"/>
    <cellStyle name="40% - Accent2 10" xfId="4560" xr:uid="{00000000-0005-0000-0000-000061040000}"/>
    <cellStyle name="40% - Accent2 10 2" xfId="13886" xr:uid="{B8A5E45D-7178-408F-8764-831D4F8F4580}"/>
    <cellStyle name="40% - Accent2 11" xfId="8761" xr:uid="{8631D9D1-53DA-4958-8F7C-AD68B7B91D61}"/>
    <cellStyle name="40% - Accent2 11 2" xfId="18085" xr:uid="{3EE92CBE-8940-466F-B94D-65EC4E7B18D3}"/>
    <cellStyle name="40% - Accent2 12" xfId="9669" xr:uid="{489F3B59-A8E4-4271-8669-0E49DB89075F}"/>
    <cellStyle name="40% - Accent2 2" xfId="58" xr:uid="{00000000-0005-0000-0000-000062040000}"/>
    <cellStyle name="40% - Accent2 2 10" xfId="8799" xr:uid="{E3EEC046-6E76-44A5-8D1B-64621A8F0AC5}"/>
    <cellStyle name="40% - Accent2 2 10 2" xfId="18123" xr:uid="{6F3CFE0B-A687-458E-A7B8-C159BCFBFBEA}"/>
    <cellStyle name="40% - Accent2 2 11" xfId="9670" xr:uid="{E4109FE6-E1D7-4107-BB19-7F99CC3851E9}"/>
    <cellStyle name="40% - Accent2 2 2" xfId="59" xr:uid="{00000000-0005-0000-0000-000063040000}"/>
    <cellStyle name="40% - Accent2 2 2 10" xfId="9671" xr:uid="{150C1026-BBF6-4E04-AE2B-9750115FA743}"/>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5CFE2109-F008-4232-8AA7-1A13B56D36E2}"/>
    <cellStyle name="40% - Accent2 2 2 2 2 2 3" xfId="12231" xr:uid="{F543136D-9872-4516-94C4-3B7F0B4A28D1}"/>
    <cellStyle name="40% - Accent2 2 2 2 2 3" xfId="4977" xr:uid="{00000000-0005-0000-0000-000068040000}"/>
    <cellStyle name="40% - Accent2 2 2 2 2 3 2" xfId="14303" xr:uid="{5D44D131-3FC7-4AE3-96C3-DE3F0FBCBAEF}"/>
    <cellStyle name="40% - Accent2 2 2 2 2 4" xfId="9534" xr:uid="{9F53A086-33FC-422E-9DFF-72D04AC43949}"/>
    <cellStyle name="40% - Accent2 2 2 2 2 4 2" xfId="18849" xr:uid="{6C1DF0FE-99AF-4D0C-A981-9529196BB639}"/>
    <cellStyle name="40% - Accent2 2 2 2 2 5" xfId="10086" xr:uid="{F6A5199A-17B0-4915-BB12-EC9539E758ED}"/>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FDD49E1C-6191-434A-84C1-D2B0374CB52E}"/>
    <cellStyle name="40% - Accent2 2 2 2 3 2 3" xfId="12644" xr:uid="{605AFE79-39C3-43C4-889F-69812AA4EEF4}"/>
    <cellStyle name="40% - Accent2 2 2 2 3 3" xfId="5390" xr:uid="{00000000-0005-0000-0000-00006C040000}"/>
    <cellStyle name="40% - Accent2 2 2 2 3 3 2" xfId="14716" xr:uid="{8ED41413-4E6C-44A2-B373-AE05684EC6B8}"/>
    <cellStyle name="40% - Accent2 2 2 2 3 4" xfId="10499" xr:uid="{77D7D5F1-D35B-4053-B377-DCAFE9C78214}"/>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76D451EE-8AB3-45BA-901F-F06FF05B2E04}"/>
    <cellStyle name="40% - Accent2 2 2 2 4 2 3" xfId="13057" xr:uid="{DD7A058F-C862-4BB8-8B77-7B49060D51D2}"/>
    <cellStyle name="40% - Accent2 2 2 2 4 3" xfId="5803" xr:uid="{00000000-0005-0000-0000-000070040000}"/>
    <cellStyle name="40% - Accent2 2 2 2 4 3 2" xfId="15129" xr:uid="{35DD2410-30E7-424C-83BB-57D91851D98C}"/>
    <cellStyle name="40% - Accent2 2 2 2 4 4" xfId="10912" xr:uid="{CBB5FA27-F548-4C6B-8B88-BC4B45E3BF96}"/>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77C9B96A-B645-4CC3-AF43-515832167A5A}"/>
    <cellStyle name="40% - Accent2 2 2 2 5 2 3" xfId="13470" xr:uid="{95E62CFB-3A7B-4D99-8194-AEF697E85707}"/>
    <cellStyle name="40% - Accent2 2 2 2 5 3" xfId="6216" xr:uid="{00000000-0005-0000-0000-000074040000}"/>
    <cellStyle name="40% - Accent2 2 2 2 5 3 2" xfId="15542" xr:uid="{27D346D5-4793-4A85-817B-9B6D5ED5D0E3}"/>
    <cellStyle name="40% - Accent2 2 2 2 5 4" xfId="11325" xr:uid="{FA73ED88-6CB6-43B6-B41C-6DC1C2F4FC9A}"/>
    <cellStyle name="40% - Accent2 2 2 2 6" xfId="2323" xr:uid="{00000000-0005-0000-0000-000075040000}"/>
    <cellStyle name="40% - Accent2 2 2 2 6 2" xfId="6629" xr:uid="{00000000-0005-0000-0000-000076040000}"/>
    <cellStyle name="40% - Accent2 2 2 2 6 2 2" xfId="15955" xr:uid="{B5F61EB1-5DD6-4499-B28C-B47A3B32F237}"/>
    <cellStyle name="40% - Accent2 2 2 2 6 3" xfId="11738" xr:uid="{AB70409D-DB9A-4F9E-8764-926342D6BED2}"/>
    <cellStyle name="40% - Accent2 2 2 2 7" xfId="4563" xr:uid="{00000000-0005-0000-0000-000077040000}"/>
    <cellStyle name="40% - Accent2 2 2 2 7 2" xfId="13889" xr:uid="{7C0E6CBA-7DEB-4B51-A55F-0D5EB5E6B545}"/>
    <cellStyle name="40% - Accent2 2 2 2 8" xfId="9109" xr:uid="{73F0012D-4386-4224-BFB0-7DB1C0E98822}"/>
    <cellStyle name="40% - Accent2 2 2 2 8 2" xfId="18433" xr:uid="{DA198783-9460-49CD-806C-227E61B9B684}"/>
    <cellStyle name="40% - Accent2 2 2 2 9" xfId="9672" xr:uid="{6E6DC9EA-27B4-45FE-BCF7-BCD0A18AA04B}"/>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C20B70DD-9397-4884-94FF-F57AA57BF557}"/>
    <cellStyle name="40% - Accent2 2 2 3 2 3" xfId="12230" xr:uid="{A809B40A-4E84-4E14-B332-802E55EB62D2}"/>
    <cellStyle name="40% - Accent2 2 2 3 3" xfId="4976" xr:uid="{00000000-0005-0000-0000-00007B040000}"/>
    <cellStyle name="40% - Accent2 2 2 3 3 2" xfId="14302" xr:uid="{95A02566-44DE-4C78-899C-52F588F50CC2}"/>
    <cellStyle name="40% - Accent2 2 2 3 4" xfId="9327" xr:uid="{F2BC9A12-B689-4B73-B71E-77A9F0BC7FE4}"/>
    <cellStyle name="40% - Accent2 2 2 3 4 2" xfId="18642" xr:uid="{8CF38CA5-A11B-42D7-8141-0DB307C3053F}"/>
    <cellStyle name="40% - Accent2 2 2 3 5" xfId="10085" xr:uid="{1C936929-D660-488E-A265-113371F6F7BB}"/>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79647E72-9DCF-4DB2-AE93-61B6DCB5C1C8}"/>
    <cellStyle name="40% - Accent2 2 2 4 2 3" xfId="12643" xr:uid="{0A970344-3CFF-47BD-BE64-58C5D7D60C2E}"/>
    <cellStyle name="40% - Accent2 2 2 4 3" xfId="5389" xr:uid="{00000000-0005-0000-0000-00007F040000}"/>
    <cellStyle name="40% - Accent2 2 2 4 3 2" xfId="14715" xr:uid="{DCEB9C51-630C-4D29-B8A5-E76D93FCA3CC}"/>
    <cellStyle name="40% - Accent2 2 2 4 4" xfId="10498" xr:uid="{80D66288-C246-4FC5-A35F-FD0DC7DC64FC}"/>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522F0594-A4C1-4D31-B325-93D4052A7D3F}"/>
    <cellStyle name="40% - Accent2 2 2 5 2 3" xfId="13056" xr:uid="{CCBF2D76-A37E-490E-8E1D-A3C284789505}"/>
    <cellStyle name="40% - Accent2 2 2 5 3" xfId="5802" xr:uid="{00000000-0005-0000-0000-000083040000}"/>
    <cellStyle name="40% - Accent2 2 2 5 3 2" xfId="15128" xr:uid="{AC96CABE-AB3E-4B13-96E4-E7DFABD35042}"/>
    <cellStyle name="40% - Accent2 2 2 5 4" xfId="10911" xr:uid="{5D2ABE98-8996-4DAB-A662-30909D82E721}"/>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E77D3F94-8EB4-42EA-BC4B-B54924CC7C88}"/>
    <cellStyle name="40% - Accent2 2 2 6 2 3" xfId="13469" xr:uid="{8E2317EE-AF3F-4228-8961-83C1E8F16883}"/>
    <cellStyle name="40% - Accent2 2 2 6 3" xfId="6215" xr:uid="{00000000-0005-0000-0000-000087040000}"/>
    <cellStyle name="40% - Accent2 2 2 6 3 2" xfId="15541" xr:uid="{A21EEDB4-C203-4430-BA5B-B7099DFB84EF}"/>
    <cellStyle name="40% - Accent2 2 2 6 4" xfId="11324" xr:uid="{57B3716E-6089-4624-A70C-B1E41D9D096E}"/>
    <cellStyle name="40% - Accent2 2 2 7" xfId="2322" xr:uid="{00000000-0005-0000-0000-000088040000}"/>
    <cellStyle name="40% - Accent2 2 2 7 2" xfId="6628" xr:uid="{00000000-0005-0000-0000-000089040000}"/>
    <cellStyle name="40% - Accent2 2 2 7 2 2" xfId="15954" xr:uid="{2FF4FF47-2EBB-43EC-BEEF-F04B1AB01877}"/>
    <cellStyle name="40% - Accent2 2 2 7 3" xfId="11737" xr:uid="{C3A59CC4-8E69-4715-93C5-397836C89196}"/>
    <cellStyle name="40% - Accent2 2 2 8" xfId="4562" xr:uid="{00000000-0005-0000-0000-00008A040000}"/>
    <cellStyle name="40% - Accent2 2 2 8 2" xfId="13888" xr:uid="{716FE4F5-44D7-4132-BE6C-A4E16CF244F7}"/>
    <cellStyle name="40% - Accent2 2 2 9" xfId="8902" xr:uid="{5D0C2022-B7A4-4DE2-895F-9E4BE510A7B9}"/>
    <cellStyle name="40% - Accent2 2 2 9 2" xfId="18226" xr:uid="{7DBF34D9-4CCE-4464-A1AE-D405D3C810D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87109366-2DA9-41F8-8342-4169CB1CCE61}"/>
    <cellStyle name="40% - Accent2 2 3 2 2 3" xfId="12232" xr:uid="{CD3B12FD-5EF8-4946-A149-BE7B093216B2}"/>
    <cellStyle name="40% - Accent2 2 3 2 3" xfId="4978" xr:uid="{00000000-0005-0000-0000-00008F040000}"/>
    <cellStyle name="40% - Accent2 2 3 2 3 2" xfId="14304" xr:uid="{067E0BB5-B15F-42FB-9C6A-D93815D78008}"/>
    <cellStyle name="40% - Accent2 2 3 2 4" xfId="9431" xr:uid="{BD4E3561-302E-4359-AAF3-4F2E007BC697}"/>
    <cellStyle name="40% - Accent2 2 3 2 4 2" xfId="18746" xr:uid="{7406CF11-AB1C-44A5-B766-1AD1F4A7FB93}"/>
    <cellStyle name="40% - Accent2 2 3 2 5" xfId="10087" xr:uid="{2906C7AD-01BC-4E1C-B548-98B1881642B5}"/>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C02BAD9D-6F72-4100-B603-75572B87BA9C}"/>
    <cellStyle name="40% - Accent2 2 3 3 2 3" xfId="12645" xr:uid="{97FE816D-3203-4B5D-AEA0-E8233D103887}"/>
    <cellStyle name="40% - Accent2 2 3 3 3" xfId="5391" xr:uid="{00000000-0005-0000-0000-000093040000}"/>
    <cellStyle name="40% - Accent2 2 3 3 3 2" xfId="14717" xr:uid="{8E1C08C8-C228-40BA-A616-82B6E5EEF588}"/>
    <cellStyle name="40% - Accent2 2 3 3 4" xfId="10500" xr:uid="{98A885E5-3A7E-488C-B3E4-157D96035BCF}"/>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68799F4F-67B6-4A2E-B5A5-C16EA3FD64A3}"/>
    <cellStyle name="40% - Accent2 2 3 4 2 3" xfId="13058" xr:uid="{A809793B-C720-4047-90BB-1EE1839ADA46}"/>
    <cellStyle name="40% - Accent2 2 3 4 3" xfId="5804" xr:uid="{00000000-0005-0000-0000-000097040000}"/>
    <cellStyle name="40% - Accent2 2 3 4 3 2" xfId="15130" xr:uid="{57965789-5E56-4AFD-B4E6-A49059C84F61}"/>
    <cellStyle name="40% - Accent2 2 3 4 4" xfId="10913" xr:uid="{D4C111AB-CCCD-47AF-ABE5-13D3E02ED968}"/>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206D4230-1AF3-4D6C-9B23-26A2F0D7D594}"/>
    <cellStyle name="40% - Accent2 2 3 5 2 3" xfId="13471" xr:uid="{614BD3AB-5FAE-46A2-926F-C607FBC8178F}"/>
    <cellStyle name="40% - Accent2 2 3 5 3" xfId="6217" xr:uid="{00000000-0005-0000-0000-00009B040000}"/>
    <cellStyle name="40% - Accent2 2 3 5 3 2" xfId="15543" xr:uid="{7DD95AD4-95D6-4743-A033-3136CE55D0AF}"/>
    <cellStyle name="40% - Accent2 2 3 5 4" xfId="11326" xr:uid="{471DB4A3-AE3F-487C-929F-D80BD195C3BB}"/>
    <cellStyle name="40% - Accent2 2 3 6" xfId="2324" xr:uid="{00000000-0005-0000-0000-00009C040000}"/>
    <cellStyle name="40% - Accent2 2 3 6 2" xfId="6630" xr:uid="{00000000-0005-0000-0000-00009D040000}"/>
    <cellStyle name="40% - Accent2 2 3 6 2 2" xfId="15956" xr:uid="{CBBEF642-8AE2-4C83-84EB-2BEBAB3B9035}"/>
    <cellStyle name="40% - Accent2 2 3 6 3" xfId="11739" xr:uid="{6BE6789A-8DE5-4CF5-A404-B9B704537492}"/>
    <cellStyle name="40% - Accent2 2 3 7" xfId="4564" xr:uid="{00000000-0005-0000-0000-00009E040000}"/>
    <cellStyle name="40% - Accent2 2 3 7 2" xfId="13890" xr:uid="{D25FF1C7-DC92-4C3A-9DF5-F070B2F70F36}"/>
    <cellStyle name="40% - Accent2 2 3 8" xfId="9006" xr:uid="{E6E89EA5-B76F-4FCC-89B9-DD4135B6364B}"/>
    <cellStyle name="40% - Accent2 2 3 8 2" xfId="18330" xr:uid="{F8EA3E0C-A961-4B4F-B8C6-C72928EC7311}"/>
    <cellStyle name="40% - Accent2 2 3 9" xfId="9673" xr:uid="{04E68A42-C4B1-4DC6-8788-D2F33CCF2D3D}"/>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A4130E30-37C3-405E-86DE-8DB6CB966A87}"/>
    <cellStyle name="40% - Accent2 2 4 2 3" xfId="12229" xr:uid="{2BD8A0D6-ADE6-48E1-9E64-3BB9AD3C5B78}"/>
    <cellStyle name="40% - Accent2 2 4 3" xfId="4975" xr:uid="{00000000-0005-0000-0000-0000A2040000}"/>
    <cellStyle name="40% - Accent2 2 4 3 2" xfId="14301" xr:uid="{CAC5DCEF-2F25-49E3-B973-6E6EB94D660A}"/>
    <cellStyle name="40% - Accent2 2 4 4" xfId="9223" xr:uid="{FA9890B4-781A-4E4C-81EE-BC7448559828}"/>
    <cellStyle name="40% - Accent2 2 4 4 2" xfId="18539" xr:uid="{9B1D80ED-3499-4A8E-8F7C-FAA2F2CA0754}"/>
    <cellStyle name="40% - Accent2 2 4 5" xfId="10084" xr:uid="{A4D16C17-C5D0-4A85-B73F-7A08BE80E37E}"/>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D8735FB7-BEAB-469A-9435-36D8DBD06ECC}"/>
    <cellStyle name="40% - Accent2 2 5 2 3" xfId="12642" xr:uid="{2000490B-A75F-4017-AA5E-03CD23B8C832}"/>
    <cellStyle name="40% - Accent2 2 5 3" xfId="5388" xr:uid="{00000000-0005-0000-0000-0000A6040000}"/>
    <cellStyle name="40% - Accent2 2 5 3 2" xfId="14714" xr:uid="{3AF6999C-2BBB-4184-86EF-E5D2B195DD9D}"/>
    <cellStyle name="40% - Accent2 2 5 4" xfId="10497" xr:uid="{49AF8BFE-8AC5-4649-8031-33002D3A116D}"/>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CC13F920-7B7C-4926-8DB0-B48C616A3020}"/>
    <cellStyle name="40% - Accent2 2 6 2 3" xfId="13055" xr:uid="{5DC69C3A-017D-4962-9D8A-A6D6357968C5}"/>
    <cellStyle name="40% - Accent2 2 6 3" xfId="5801" xr:uid="{00000000-0005-0000-0000-0000AA040000}"/>
    <cellStyle name="40% - Accent2 2 6 3 2" xfId="15127" xr:uid="{2E40189E-36AA-4FFF-92F4-002F49F7219F}"/>
    <cellStyle name="40% - Accent2 2 6 4" xfId="10910" xr:uid="{2A2D4295-2BC8-4D37-80CB-9045DB3A679B}"/>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B2721D82-F46B-48F4-86D7-E0761A610DEA}"/>
    <cellStyle name="40% - Accent2 2 7 2 3" xfId="13468" xr:uid="{56E5C3C8-BE7D-4C71-A740-1C73E483705C}"/>
    <cellStyle name="40% - Accent2 2 7 3" xfId="6214" xr:uid="{00000000-0005-0000-0000-0000AE040000}"/>
    <cellStyle name="40% - Accent2 2 7 3 2" xfId="15540" xr:uid="{4A3418D5-9E37-45CF-B6B1-2795199A9771}"/>
    <cellStyle name="40% - Accent2 2 7 4" xfId="11323" xr:uid="{F45DBAAD-2778-4B3C-9964-224E1ECDAA6F}"/>
    <cellStyle name="40% - Accent2 2 8" xfId="2321" xr:uid="{00000000-0005-0000-0000-0000AF040000}"/>
    <cellStyle name="40% - Accent2 2 8 2" xfId="6627" xr:uid="{00000000-0005-0000-0000-0000B0040000}"/>
    <cellStyle name="40% - Accent2 2 8 2 2" xfId="15953" xr:uid="{382EE386-8FE2-4B84-B05C-CADDF325884C}"/>
    <cellStyle name="40% - Accent2 2 8 3" xfId="11736" xr:uid="{D7EC3AAA-C4A9-403D-B341-7207C7C2BF28}"/>
    <cellStyle name="40% - Accent2 2 9" xfId="4561" xr:uid="{00000000-0005-0000-0000-0000B1040000}"/>
    <cellStyle name="40% - Accent2 2 9 2" xfId="13887" xr:uid="{94256268-4690-4117-B385-AA33A399BE60}"/>
    <cellStyle name="40% - Accent2 3" xfId="62" xr:uid="{00000000-0005-0000-0000-0000B2040000}"/>
    <cellStyle name="40% - Accent2 3 10" xfId="9674" xr:uid="{A02506FC-DE03-4F15-BC9B-1470749C3765}"/>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C10E5989-82EC-4B07-A198-5825EE1C5585}"/>
    <cellStyle name="40% - Accent2 3 2 2 2 3" xfId="12234" xr:uid="{E6B5E736-797E-4BAA-B945-7456105EF794}"/>
    <cellStyle name="40% - Accent2 3 2 2 3" xfId="4980" xr:uid="{00000000-0005-0000-0000-0000B7040000}"/>
    <cellStyle name="40% - Accent2 3 2 2 3 2" xfId="14306" xr:uid="{03198F48-EAAB-43BC-BC71-73C6A00C38B0}"/>
    <cellStyle name="40% - Accent2 3 2 2 4" xfId="9496" xr:uid="{700FA1AF-D943-4FDB-BFB1-F903AD1F731A}"/>
    <cellStyle name="40% - Accent2 3 2 2 4 2" xfId="18811" xr:uid="{8F7983FB-A9FD-462F-8B59-EA6733918DB7}"/>
    <cellStyle name="40% - Accent2 3 2 2 5" xfId="10089" xr:uid="{275CEC36-823B-4BD5-A8BA-DACE8E46AA0B}"/>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A6627E8B-B1E0-4E49-B031-6AC1E3103A90}"/>
    <cellStyle name="40% - Accent2 3 2 3 2 3" xfId="12647" xr:uid="{1AF1012A-FB01-4DDD-BDB8-493C08B93260}"/>
    <cellStyle name="40% - Accent2 3 2 3 3" xfId="5393" xr:uid="{00000000-0005-0000-0000-0000BB040000}"/>
    <cellStyle name="40% - Accent2 3 2 3 3 2" xfId="14719" xr:uid="{33143AC0-2FE3-4DF4-8CD8-0C70731241B7}"/>
    <cellStyle name="40% - Accent2 3 2 3 4" xfId="10502" xr:uid="{BA36DE4C-5C58-40F9-842E-9504AA51E271}"/>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1DA7B532-8C8D-4563-B45F-AEE283DB0E85}"/>
    <cellStyle name="40% - Accent2 3 2 4 2 3" xfId="13060" xr:uid="{6D3FEF04-A76F-4B23-9F3D-7F5E5F933648}"/>
    <cellStyle name="40% - Accent2 3 2 4 3" xfId="5806" xr:uid="{00000000-0005-0000-0000-0000BF040000}"/>
    <cellStyle name="40% - Accent2 3 2 4 3 2" xfId="15132" xr:uid="{18E23908-9379-47F1-9DF3-2E48AD5FE7C1}"/>
    <cellStyle name="40% - Accent2 3 2 4 4" xfId="10915" xr:uid="{FCB589F5-84DA-4A0A-8C60-16450506114E}"/>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9C3394E8-114B-4A2D-856C-CDDC9F902E13}"/>
    <cellStyle name="40% - Accent2 3 2 5 2 3" xfId="13473" xr:uid="{D81DA01D-1936-4DD0-B6E1-306337BEEF2B}"/>
    <cellStyle name="40% - Accent2 3 2 5 3" xfId="6219" xr:uid="{00000000-0005-0000-0000-0000C3040000}"/>
    <cellStyle name="40% - Accent2 3 2 5 3 2" xfId="15545" xr:uid="{51E152E8-04A9-46B4-9196-75FF48F97BF4}"/>
    <cellStyle name="40% - Accent2 3 2 5 4" xfId="11328" xr:uid="{FD00EC54-CC84-44DF-98AE-38C7EFD60793}"/>
    <cellStyle name="40% - Accent2 3 2 6" xfId="2326" xr:uid="{00000000-0005-0000-0000-0000C4040000}"/>
    <cellStyle name="40% - Accent2 3 2 6 2" xfId="6632" xr:uid="{00000000-0005-0000-0000-0000C5040000}"/>
    <cellStyle name="40% - Accent2 3 2 6 2 2" xfId="15958" xr:uid="{3F317E9D-8AB9-4967-935A-6856F604BE4F}"/>
    <cellStyle name="40% - Accent2 3 2 6 3" xfId="11741" xr:uid="{B2AFD6B5-E226-45E1-B986-1FEA5FE902E2}"/>
    <cellStyle name="40% - Accent2 3 2 7" xfId="4566" xr:uid="{00000000-0005-0000-0000-0000C6040000}"/>
    <cellStyle name="40% - Accent2 3 2 7 2" xfId="13892" xr:uid="{56F82853-A8B7-4372-BA7D-EC3EEAE7C502}"/>
    <cellStyle name="40% - Accent2 3 2 8" xfId="9071" xr:uid="{B5463F05-11FC-4377-B380-DDB549C63AA9}"/>
    <cellStyle name="40% - Accent2 3 2 8 2" xfId="18395" xr:uid="{0903D58D-2488-4FCA-B6FB-74372A878302}"/>
    <cellStyle name="40% - Accent2 3 2 9" xfId="9675" xr:uid="{2DD20BF8-A63A-4F68-91B2-3C26D514D9C8}"/>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F192C34D-4EA3-4CED-BF02-42CC02501F9B}"/>
    <cellStyle name="40% - Accent2 3 3 2 3" xfId="12233" xr:uid="{47EFF6A7-E5E5-46DE-BA51-122FD729D7A7}"/>
    <cellStyle name="40% - Accent2 3 3 3" xfId="4979" xr:uid="{00000000-0005-0000-0000-0000CA040000}"/>
    <cellStyle name="40% - Accent2 3 3 3 2" xfId="14305" xr:uid="{EE4747BB-B0CD-45AE-BC1C-276DEA59CA06}"/>
    <cellStyle name="40% - Accent2 3 3 4" xfId="9289" xr:uid="{B234EB9F-4AFE-41A2-A17D-ABC1D0F80875}"/>
    <cellStyle name="40% - Accent2 3 3 4 2" xfId="18604" xr:uid="{79F0B8B0-AF92-4E66-B06F-83B5E6AEAEE0}"/>
    <cellStyle name="40% - Accent2 3 3 5" xfId="10088" xr:uid="{52774138-A6AC-49F5-A22D-7446D98BD319}"/>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623A4E73-46B9-4B6F-BE82-C49938232725}"/>
    <cellStyle name="40% - Accent2 3 4 2 3" xfId="12646" xr:uid="{4724A832-3892-4453-8C9C-03F7A39677C7}"/>
    <cellStyle name="40% - Accent2 3 4 3" xfId="5392" xr:uid="{00000000-0005-0000-0000-0000CE040000}"/>
    <cellStyle name="40% - Accent2 3 4 3 2" xfId="14718" xr:uid="{F3C4FDFB-7B27-420C-AD9E-0EF5068DD35E}"/>
    <cellStyle name="40% - Accent2 3 4 4" xfId="10501" xr:uid="{23E6ABCF-E9E4-462F-984D-F8DCBB6E6621}"/>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113F1FCA-4ACC-487D-95FC-DAD725438A39}"/>
    <cellStyle name="40% - Accent2 3 5 2 3" xfId="13059" xr:uid="{52B19B98-6B42-4B34-BE8A-871BAC68B284}"/>
    <cellStyle name="40% - Accent2 3 5 3" xfId="5805" xr:uid="{00000000-0005-0000-0000-0000D2040000}"/>
    <cellStyle name="40% - Accent2 3 5 3 2" xfId="15131" xr:uid="{02330159-C880-49EA-845C-2729FDF80345}"/>
    <cellStyle name="40% - Accent2 3 5 4" xfId="10914" xr:uid="{8DF6C7E9-EFA6-4F4C-8FB7-168C232DB6F2}"/>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827778DB-8626-48D9-857F-56D461AD2599}"/>
    <cellStyle name="40% - Accent2 3 6 2 3" xfId="13472" xr:uid="{5EE3483F-E994-4754-81D0-52D4C502477D}"/>
    <cellStyle name="40% - Accent2 3 6 3" xfId="6218" xr:uid="{00000000-0005-0000-0000-0000D6040000}"/>
    <cellStyle name="40% - Accent2 3 6 3 2" xfId="15544" xr:uid="{E2674A1E-1B54-4F1E-936E-1F1F84219426}"/>
    <cellStyle name="40% - Accent2 3 6 4" xfId="11327" xr:uid="{D8CE177C-D124-4656-90AD-72866190AF6E}"/>
    <cellStyle name="40% - Accent2 3 7" xfId="2325" xr:uid="{00000000-0005-0000-0000-0000D7040000}"/>
    <cellStyle name="40% - Accent2 3 7 2" xfId="6631" xr:uid="{00000000-0005-0000-0000-0000D8040000}"/>
    <cellStyle name="40% - Accent2 3 7 2 2" xfId="15957" xr:uid="{8BA9DA60-56AA-4EC9-95AC-6926FAAC6CE7}"/>
    <cellStyle name="40% - Accent2 3 7 3" xfId="11740" xr:uid="{62911DED-4566-4A10-A3EB-CA0E0ACAEDCE}"/>
    <cellStyle name="40% - Accent2 3 8" xfId="4565" xr:uid="{00000000-0005-0000-0000-0000D9040000}"/>
    <cellStyle name="40% - Accent2 3 8 2" xfId="13891" xr:uid="{3729CE26-53E3-441D-B171-8215EF872F2E}"/>
    <cellStyle name="40% - Accent2 3 9" xfId="8864" xr:uid="{311EF031-8CA9-4ACC-8705-6D408E1B50DB}"/>
    <cellStyle name="40% - Accent2 3 9 2" xfId="18188" xr:uid="{EF9686D3-3D14-461A-BF15-ED4A06992A85}"/>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A67979BD-D932-4CF4-82EB-25B7C058FB1A}"/>
    <cellStyle name="40% - Accent2 4 2 2 3" xfId="12235" xr:uid="{E9052570-08A3-4FDF-BD22-81B565F176DD}"/>
    <cellStyle name="40% - Accent2 4 2 3" xfId="4981" xr:uid="{00000000-0005-0000-0000-0000DE040000}"/>
    <cellStyle name="40% - Accent2 4 2 3 2" xfId="14307" xr:uid="{9B8835BF-0EE0-441D-939E-F586EFDBD423}"/>
    <cellStyle name="40% - Accent2 4 2 4" xfId="9375" xr:uid="{E0F8B4F7-419E-40A5-89E1-F3F0DF6ADFF8}"/>
    <cellStyle name="40% - Accent2 4 2 4 2" xfId="18690" xr:uid="{B241216E-6333-4050-ADA9-5A698DC70EAA}"/>
    <cellStyle name="40% - Accent2 4 2 5" xfId="10090" xr:uid="{8AB32B90-A1F4-425B-AF27-A1F5158F51AF}"/>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79CFAB5E-6A78-400B-A899-819100CED60F}"/>
    <cellStyle name="40% - Accent2 4 3 2 3" xfId="12648" xr:uid="{117BF418-0F36-4514-88A0-3CB65C28F44A}"/>
    <cellStyle name="40% - Accent2 4 3 3" xfId="5394" xr:uid="{00000000-0005-0000-0000-0000E2040000}"/>
    <cellStyle name="40% - Accent2 4 3 3 2" xfId="14720" xr:uid="{2D4ABCB2-D8B8-4BFC-BE3D-4BD151594530}"/>
    <cellStyle name="40% - Accent2 4 3 4" xfId="10503" xr:uid="{6A139A2E-AC8B-4CB0-AF90-384EF367CF18}"/>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F3020310-EA59-461C-9100-F1FD053C2E5F}"/>
    <cellStyle name="40% - Accent2 4 4 2 3" xfId="13061" xr:uid="{31136C7D-FC7D-4D66-B7C2-1964D8E2F1C6}"/>
    <cellStyle name="40% - Accent2 4 4 3" xfId="5807" xr:uid="{00000000-0005-0000-0000-0000E6040000}"/>
    <cellStyle name="40% - Accent2 4 4 3 2" xfId="15133" xr:uid="{36FC8153-2F32-4C51-8E65-53801F0CFE60}"/>
    <cellStyle name="40% - Accent2 4 4 4" xfId="10916" xr:uid="{ABFB44F6-F957-431B-94B4-602B687781B4}"/>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04B76D12-664D-43F2-848F-5F5A8FE39036}"/>
    <cellStyle name="40% - Accent2 4 5 2 3" xfId="13474" xr:uid="{C51346D8-3AF9-43D6-9FD4-328C6C6207F2}"/>
    <cellStyle name="40% - Accent2 4 5 3" xfId="6220" xr:uid="{00000000-0005-0000-0000-0000EA040000}"/>
    <cellStyle name="40% - Accent2 4 5 3 2" xfId="15546" xr:uid="{1D5A25D3-88CC-4A31-8F68-ADD0BF2DEA84}"/>
    <cellStyle name="40% - Accent2 4 5 4" xfId="11329" xr:uid="{29233219-1376-46AD-AD96-F59E48A78578}"/>
    <cellStyle name="40% - Accent2 4 6" xfId="2327" xr:uid="{00000000-0005-0000-0000-0000EB040000}"/>
    <cellStyle name="40% - Accent2 4 6 2" xfId="6633" xr:uid="{00000000-0005-0000-0000-0000EC040000}"/>
    <cellStyle name="40% - Accent2 4 6 2 2" xfId="15959" xr:uid="{93BD62F6-5A58-4AE1-B509-4B8AFD1E2C2F}"/>
    <cellStyle name="40% - Accent2 4 6 3" xfId="11742" xr:uid="{681DA5C6-8836-42BD-905F-C1D3F7D66083}"/>
    <cellStyle name="40% - Accent2 4 7" xfId="4567" xr:uid="{00000000-0005-0000-0000-0000ED040000}"/>
    <cellStyle name="40% - Accent2 4 7 2" xfId="13893" xr:uid="{3C02B305-A8B4-4BBD-BCF6-C38390A02728}"/>
    <cellStyle name="40% - Accent2 4 8" xfId="8950" xr:uid="{02FCA414-0598-4779-8636-7B176A3552C0}"/>
    <cellStyle name="40% - Accent2 4 8 2" xfId="18274" xr:uid="{D4DB2C0E-15A3-4B33-AE88-96A0CE8FAEB3}"/>
    <cellStyle name="40% - Accent2 4 9" xfId="9676" xr:uid="{B3D1743B-8EB2-49DE-81A7-4DF7D355876C}"/>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6F3C6222-07EE-4324-9711-9AB2A5897518}"/>
    <cellStyle name="40% - Accent2 5 2 3" xfId="12228" xr:uid="{E1117BEC-57F4-4179-974C-864EAC630A51}"/>
    <cellStyle name="40% - Accent2 5 3" xfId="4974" xr:uid="{00000000-0005-0000-0000-0000F1040000}"/>
    <cellStyle name="40% - Accent2 5 3 2" xfId="14300" xr:uid="{F3E79149-6284-4C7C-B990-2B0FFB88FA4D}"/>
    <cellStyle name="40% - Accent2 5 4" xfId="9183" xr:uid="{071EDB8E-9FD1-4063-BCEF-70B734E5ECF1}"/>
    <cellStyle name="40% - Accent2 5 4 2" xfId="18501" xr:uid="{B73F5533-7EA8-477F-850D-4F7AEB95EA24}"/>
    <cellStyle name="40% - Accent2 5 5" xfId="10083" xr:uid="{92A7F8E2-7196-4225-A4A0-C0095A22526C}"/>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B730BEA5-C14A-430B-98A6-D58A10A1DA40}"/>
    <cellStyle name="40% - Accent2 6 2 3" xfId="12641" xr:uid="{0C61F9F3-DBEF-4075-9B5E-91197FEBD452}"/>
    <cellStyle name="40% - Accent2 6 3" xfId="5387" xr:uid="{00000000-0005-0000-0000-0000F5040000}"/>
    <cellStyle name="40% - Accent2 6 3 2" xfId="14713" xr:uid="{C9D8FCB4-CD58-4EBD-BE15-1F817495B41D}"/>
    <cellStyle name="40% - Accent2 6 4" xfId="10496" xr:uid="{5F16866A-81FD-4E6C-AD8C-6D1B7F49FA07}"/>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A9BBF8B0-7990-4281-B14C-9BB1F28B5D90}"/>
    <cellStyle name="40% - Accent2 7 2 3" xfId="13054" xr:uid="{B288E0A4-8F79-47AC-BC1C-70BA90EB29BD}"/>
    <cellStyle name="40% - Accent2 7 3" xfId="5800" xr:uid="{00000000-0005-0000-0000-0000F9040000}"/>
    <cellStyle name="40% - Accent2 7 3 2" xfId="15126" xr:uid="{99E8712F-5FA9-42B1-8CB1-46B371D5D4AC}"/>
    <cellStyle name="40% - Accent2 7 4" xfId="10909" xr:uid="{2441D7D0-8280-4B71-8B03-359EBE53FC22}"/>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E6A7C40D-8151-456F-B25E-E59A43F8F5E0}"/>
    <cellStyle name="40% - Accent2 8 2 3" xfId="13467" xr:uid="{0BE40C3D-5A6D-4913-A5B7-9148FD4B98DB}"/>
    <cellStyle name="40% - Accent2 8 3" xfId="6213" xr:uid="{00000000-0005-0000-0000-0000FD040000}"/>
    <cellStyle name="40% - Accent2 8 3 2" xfId="15539" xr:uid="{A311AED9-7EA7-485F-B492-70A019F4AD96}"/>
    <cellStyle name="40% - Accent2 8 4" xfId="11322" xr:uid="{B22E4E1E-C8E3-4428-9B98-92B176645FF2}"/>
    <cellStyle name="40% - Accent2 9" xfId="2320" xr:uid="{00000000-0005-0000-0000-0000FE040000}"/>
    <cellStyle name="40% - Accent2 9 2" xfId="6626" xr:uid="{00000000-0005-0000-0000-0000FF040000}"/>
    <cellStyle name="40% - Accent2 9 2 2" xfId="15952" xr:uid="{AC08D652-B600-465A-8025-37D46172CBA8}"/>
    <cellStyle name="40% - Accent2 9 3" xfId="11735" xr:uid="{BA0B2DE8-1C26-4CF6-A593-5EF047EBD38C}"/>
    <cellStyle name="40% - Accent3" xfId="65" builtinId="39" customBuiltin="1"/>
    <cellStyle name="40% - Accent3 10" xfId="4568" xr:uid="{00000000-0005-0000-0000-000001050000}"/>
    <cellStyle name="40% - Accent3 10 2" xfId="13894" xr:uid="{275DFD0A-768C-4D02-A559-63CC6A081E7D}"/>
    <cellStyle name="40% - Accent3 11" xfId="8763" xr:uid="{CEFBFA85-5B68-4AEB-BF0D-8E604938B05F}"/>
    <cellStyle name="40% - Accent3 11 2" xfId="18087" xr:uid="{D9D99315-57C9-4876-AC3A-380CFF0A0B1B}"/>
    <cellStyle name="40% - Accent3 12" xfId="9677" xr:uid="{31949A23-8DD9-4824-9400-78254157D6B8}"/>
    <cellStyle name="40% - Accent3 2" xfId="66" xr:uid="{00000000-0005-0000-0000-000002050000}"/>
    <cellStyle name="40% - Accent3 2 10" xfId="8800" xr:uid="{00FF2AAD-7D96-45B5-8981-0BB923A3505B}"/>
    <cellStyle name="40% - Accent3 2 10 2" xfId="18124" xr:uid="{D7DEEF20-288C-45D3-B388-2566391ADDE1}"/>
    <cellStyle name="40% - Accent3 2 11" xfId="9678" xr:uid="{4E6C8EB4-DD0B-45EB-8C58-E1F63D62F0F9}"/>
    <cellStyle name="40% - Accent3 2 2" xfId="67" xr:uid="{00000000-0005-0000-0000-000003050000}"/>
    <cellStyle name="40% - Accent3 2 2 10" xfId="9679" xr:uid="{C4818F1C-290A-46C9-94EE-EBEDF40BB572}"/>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8322D57A-9B34-4E92-9FB8-693C4739AB4F}"/>
    <cellStyle name="40% - Accent3 2 2 2 2 2 3" xfId="12239" xr:uid="{B7E00A97-7C5A-43FF-83DE-7BC1C78C5AAB}"/>
    <cellStyle name="40% - Accent3 2 2 2 2 3" xfId="4985" xr:uid="{00000000-0005-0000-0000-000008050000}"/>
    <cellStyle name="40% - Accent3 2 2 2 2 3 2" xfId="14311" xr:uid="{E7CC4805-3916-41F1-9316-9305C4DA1133}"/>
    <cellStyle name="40% - Accent3 2 2 2 2 4" xfId="9535" xr:uid="{3AC66435-D4C7-42EF-A799-3DC81A57BDF4}"/>
    <cellStyle name="40% - Accent3 2 2 2 2 4 2" xfId="18850" xr:uid="{6A43A74B-2D24-4824-8DE6-955037930CBA}"/>
    <cellStyle name="40% - Accent3 2 2 2 2 5" xfId="10094" xr:uid="{CF3B1D4A-B471-48DA-9FCC-71EB0C66810B}"/>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1963401E-093C-449F-94F4-CBF35C32F371}"/>
    <cellStyle name="40% - Accent3 2 2 2 3 2 3" xfId="12652" xr:uid="{E84F9772-06FD-4425-BA11-6A7E7CFC0665}"/>
    <cellStyle name="40% - Accent3 2 2 2 3 3" xfId="5398" xr:uid="{00000000-0005-0000-0000-00000C050000}"/>
    <cellStyle name="40% - Accent3 2 2 2 3 3 2" xfId="14724" xr:uid="{5D0BA2F4-C63F-41D2-97FF-8CD07A6ADCA0}"/>
    <cellStyle name="40% - Accent3 2 2 2 3 4" xfId="10507" xr:uid="{ECC11E3A-B7AB-49B9-9FA8-C356FBE79DC7}"/>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5C299B6C-88EB-443B-B4F8-19E3515D1AFB}"/>
    <cellStyle name="40% - Accent3 2 2 2 4 2 3" xfId="13065" xr:uid="{8E6D6451-2F2C-4BFD-8ABB-90A5A1C89427}"/>
    <cellStyle name="40% - Accent3 2 2 2 4 3" xfId="5811" xr:uid="{00000000-0005-0000-0000-000010050000}"/>
    <cellStyle name="40% - Accent3 2 2 2 4 3 2" xfId="15137" xr:uid="{1FDEECA9-1764-4994-833A-7F5BEE4B22D7}"/>
    <cellStyle name="40% - Accent3 2 2 2 4 4" xfId="10920" xr:uid="{3181554A-CB69-4F95-9B29-5454B8C275D9}"/>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1E3258AB-32D4-4671-B7FA-6FB98E211750}"/>
    <cellStyle name="40% - Accent3 2 2 2 5 2 3" xfId="13478" xr:uid="{02BFDA50-26AD-4607-AD17-132FB4F64625}"/>
    <cellStyle name="40% - Accent3 2 2 2 5 3" xfId="6224" xr:uid="{00000000-0005-0000-0000-000014050000}"/>
    <cellStyle name="40% - Accent3 2 2 2 5 3 2" xfId="15550" xr:uid="{072F9144-DE61-4779-A6CE-445F4BC4EFA6}"/>
    <cellStyle name="40% - Accent3 2 2 2 5 4" xfId="11333" xr:uid="{F939B19E-7648-43E5-A19A-F37CCBE76EFB}"/>
    <cellStyle name="40% - Accent3 2 2 2 6" xfId="2331" xr:uid="{00000000-0005-0000-0000-000015050000}"/>
    <cellStyle name="40% - Accent3 2 2 2 6 2" xfId="6637" xr:uid="{00000000-0005-0000-0000-000016050000}"/>
    <cellStyle name="40% - Accent3 2 2 2 6 2 2" xfId="15963" xr:uid="{9C055E64-05AF-46C4-A733-44E76163FEED}"/>
    <cellStyle name="40% - Accent3 2 2 2 6 3" xfId="11746" xr:uid="{1B82F2FD-3073-45E4-999C-55B516C63925}"/>
    <cellStyle name="40% - Accent3 2 2 2 7" xfId="4571" xr:uid="{00000000-0005-0000-0000-000017050000}"/>
    <cellStyle name="40% - Accent3 2 2 2 7 2" xfId="13897" xr:uid="{66FA7BE3-1172-45EE-B33C-91D9A70412AD}"/>
    <cellStyle name="40% - Accent3 2 2 2 8" xfId="9110" xr:uid="{E41CBEF9-86F8-44B9-895F-532A7BDC9A2A}"/>
    <cellStyle name="40% - Accent3 2 2 2 8 2" xfId="18434" xr:uid="{BEEA3928-E62C-4B00-875B-18122F3CE84E}"/>
    <cellStyle name="40% - Accent3 2 2 2 9" xfId="9680" xr:uid="{FECBF8F5-1DB7-4D47-B5C2-3CEF24EF924E}"/>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2F86B2BE-C9B3-482E-BC67-6E98A63DA9AE}"/>
    <cellStyle name="40% - Accent3 2 2 3 2 3" xfId="12238" xr:uid="{15487323-BD42-4BDA-8B18-4E2F22C0D097}"/>
    <cellStyle name="40% - Accent3 2 2 3 3" xfId="4984" xr:uid="{00000000-0005-0000-0000-00001B050000}"/>
    <cellStyle name="40% - Accent3 2 2 3 3 2" xfId="14310" xr:uid="{1E321BC3-E85D-4226-902D-91B9B22FCB7D}"/>
    <cellStyle name="40% - Accent3 2 2 3 4" xfId="9328" xr:uid="{1DAEB9B9-01CE-426D-A8F1-CE08999D7264}"/>
    <cellStyle name="40% - Accent3 2 2 3 4 2" xfId="18643" xr:uid="{1768DE9A-FDEB-4F70-BBAE-EAA5C44DFFF8}"/>
    <cellStyle name="40% - Accent3 2 2 3 5" xfId="10093" xr:uid="{67C08283-A0E4-499F-8012-77620EBA9048}"/>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E1B55D4F-79B8-4E15-A8B7-6C5932F23220}"/>
    <cellStyle name="40% - Accent3 2 2 4 2 3" xfId="12651" xr:uid="{AB58E008-DBF2-4429-9CF1-2B1F45CA70D2}"/>
    <cellStyle name="40% - Accent3 2 2 4 3" xfId="5397" xr:uid="{00000000-0005-0000-0000-00001F050000}"/>
    <cellStyle name="40% - Accent3 2 2 4 3 2" xfId="14723" xr:uid="{3789F9B5-E53A-40AF-8D27-49BC99EBD4F4}"/>
    <cellStyle name="40% - Accent3 2 2 4 4" xfId="10506" xr:uid="{BD713493-D961-4635-BBCB-F020EA1DABE1}"/>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2D5C72B6-4488-49CB-A047-5BADB3060981}"/>
    <cellStyle name="40% - Accent3 2 2 5 2 3" xfId="13064" xr:uid="{F5853BA3-A94D-4497-918B-66A1614E4B36}"/>
    <cellStyle name="40% - Accent3 2 2 5 3" xfId="5810" xr:uid="{00000000-0005-0000-0000-000023050000}"/>
    <cellStyle name="40% - Accent3 2 2 5 3 2" xfId="15136" xr:uid="{7BAB7870-9962-4B74-81C9-55A10BC65D53}"/>
    <cellStyle name="40% - Accent3 2 2 5 4" xfId="10919" xr:uid="{E1181662-CD9D-4F99-B791-2225064A0497}"/>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EEF77846-8417-4F6B-82A5-F2E7EB98909B}"/>
    <cellStyle name="40% - Accent3 2 2 6 2 3" xfId="13477" xr:uid="{C7888F7A-88F0-47B1-BF19-01E30151E3CB}"/>
    <cellStyle name="40% - Accent3 2 2 6 3" xfId="6223" xr:uid="{00000000-0005-0000-0000-000027050000}"/>
    <cellStyle name="40% - Accent3 2 2 6 3 2" xfId="15549" xr:uid="{45D6BABD-408C-471A-97A8-D186C8863DC7}"/>
    <cellStyle name="40% - Accent3 2 2 6 4" xfId="11332" xr:uid="{4AB599C0-BFC1-41BF-8E37-6283938EECBE}"/>
    <cellStyle name="40% - Accent3 2 2 7" xfId="2330" xr:uid="{00000000-0005-0000-0000-000028050000}"/>
    <cellStyle name="40% - Accent3 2 2 7 2" xfId="6636" xr:uid="{00000000-0005-0000-0000-000029050000}"/>
    <cellStyle name="40% - Accent3 2 2 7 2 2" xfId="15962" xr:uid="{ED074C61-B40C-44D8-B6E9-D5C185F67EA2}"/>
    <cellStyle name="40% - Accent3 2 2 7 3" xfId="11745" xr:uid="{87C262FA-36E8-4064-9120-0DEB68415F03}"/>
    <cellStyle name="40% - Accent3 2 2 8" xfId="4570" xr:uid="{00000000-0005-0000-0000-00002A050000}"/>
    <cellStyle name="40% - Accent3 2 2 8 2" xfId="13896" xr:uid="{3E664175-BF89-4A7B-A315-CC902016B527}"/>
    <cellStyle name="40% - Accent3 2 2 9" xfId="8903" xr:uid="{D9C85917-26AE-466C-8B98-905BCDA9E329}"/>
    <cellStyle name="40% - Accent3 2 2 9 2" xfId="18227" xr:uid="{E0D26D56-5E41-46CD-BCF5-253CF2B035D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81CF5966-B072-44C5-B273-4848C203A284}"/>
    <cellStyle name="40% - Accent3 2 3 2 2 3" xfId="12240" xr:uid="{0568EC80-7001-4B84-879C-7F6A3865B0CD}"/>
    <cellStyle name="40% - Accent3 2 3 2 3" xfId="4986" xr:uid="{00000000-0005-0000-0000-00002F050000}"/>
    <cellStyle name="40% - Accent3 2 3 2 3 2" xfId="14312" xr:uid="{59E5048F-9901-4822-B59C-BE927B3456D2}"/>
    <cellStyle name="40% - Accent3 2 3 2 4" xfId="9432" xr:uid="{54D6848B-0200-4F42-820D-262A8F9A2C0F}"/>
    <cellStyle name="40% - Accent3 2 3 2 4 2" xfId="18747" xr:uid="{74788C73-AFDA-4F5F-9D77-0C4D0AB267C8}"/>
    <cellStyle name="40% - Accent3 2 3 2 5" xfId="10095" xr:uid="{1C4B8BB5-381F-4A4F-8527-16220DF3902E}"/>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636AEFCB-B05A-440C-BD16-2F04FEB0CD7A}"/>
    <cellStyle name="40% - Accent3 2 3 3 2 3" xfId="12653" xr:uid="{A646DCA4-CEEC-4A76-849F-78920DBA5D11}"/>
    <cellStyle name="40% - Accent3 2 3 3 3" xfId="5399" xr:uid="{00000000-0005-0000-0000-000033050000}"/>
    <cellStyle name="40% - Accent3 2 3 3 3 2" xfId="14725" xr:uid="{7C9EA4ED-0253-44DB-8A99-5991A93E1CEE}"/>
    <cellStyle name="40% - Accent3 2 3 3 4" xfId="10508" xr:uid="{31A1CB9E-4859-43C9-BC4D-82CFF552E750}"/>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D44D294C-4577-48A7-A60A-ED90A74C7CCE}"/>
    <cellStyle name="40% - Accent3 2 3 4 2 3" xfId="13066" xr:uid="{EC14D1C6-D12A-4356-99E1-B919D8ADFB73}"/>
    <cellStyle name="40% - Accent3 2 3 4 3" xfId="5812" xr:uid="{00000000-0005-0000-0000-000037050000}"/>
    <cellStyle name="40% - Accent3 2 3 4 3 2" xfId="15138" xr:uid="{E933A7B9-432A-491A-B07A-C7D84DDBBBB4}"/>
    <cellStyle name="40% - Accent3 2 3 4 4" xfId="10921" xr:uid="{6E13073B-2A52-46FF-AA8E-2920FBED26DC}"/>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A7F2546B-C450-48E9-B8FC-50044F6F68B2}"/>
    <cellStyle name="40% - Accent3 2 3 5 2 3" xfId="13479" xr:uid="{7B5B307B-74B4-4E7D-B256-01D471891B0E}"/>
    <cellStyle name="40% - Accent3 2 3 5 3" xfId="6225" xr:uid="{00000000-0005-0000-0000-00003B050000}"/>
    <cellStyle name="40% - Accent3 2 3 5 3 2" xfId="15551" xr:uid="{D9277FDF-0F24-4520-B384-39F842A2B05C}"/>
    <cellStyle name="40% - Accent3 2 3 5 4" xfId="11334" xr:uid="{F1DD178F-719E-4163-AEA4-3AAACF335924}"/>
    <cellStyle name="40% - Accent3 2 3 6" xfId="2332" xr:uid="{00000000-0005-0000-0000-00003C050000}"/>
    <cellStyle name="40% - Accent3 2 3 6 2" xfId="6638" xr:uid="{00000000-0005-0000-0000-00003D050000}"/>
    <cellStyle name="40% - Accent3 2 3 6 2 2" xfId="15964" xr:uid="{2DC7CA72-C15F-457C-9C68-A48315C636B3}"/>
    <cellStyle name="40% - Accent3 2 3 6 3" xfId="11747" xr:uid="{064FE09C-106A-4CED-9ACD-231416F802D7}"/>
    <cellStyle name="40% - Accent3 2 3 7" xfId="4572" xr:uid="{00000000-0005-0000-0000-00003E050000}"/>
    <cellStyle name="40% - Accent3 2 3 7 2" xfId="13898" xr:uid="{96F4BA7B-74E0-413E-A344-18F8494AD889}"/>
    <cellStyle name="40% - Accent3 2 3 8" xfId="9007" xr:uid="{2DEFD82C-2A62-4C1E-AA8D-7F2606BD9091}"/>
    <cellStyle name="40% - Accent3 2 3 8 2" xfId="18331" xr:uid="{51CE6339-A965-402F-B75D-D6F170A68E6A}"/>
    <cellStyle name="40% - Accent3 2 3 9" xfId="9681" xr:uid="{5EC98E5D-A655-4BE4-9444-BA7D3979F45D}"/>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6187BFD6-AF38-44AC-AA5A-2EC566CCC4A2}"/>
    <cellStyle name="40% - Accent3 2 4 2 3" xfId="12237" xr:uid="{7A4B88AF-76FE-4E39-9669-2549D361E18E}"/>
    <cellStyle name="40% - Accent3 2 4 3" xfId="4983" xr:uid="{00000000-0005-0000-0000-000042050000}"/>
    <cellStyle name="40% - Accent3 2 4 3 2" xfId="14309" xr:uid="{6C4C9105-CA89-4705-9BA7-67FCE262579A}"/>
    <cellStyle name="40% - Accent3 2 4 4" xfId="9224" xr:uid="{6B91012A-BFF2-4F1F-901C-A91F06F80031}"/>
    <cellStyle name="40% - Accent3 2 4 4 2" xfId="18540" xr:uid="{394AB859-E125-451B-B3B9-B84B76D5E2AD}"/>
    <cellStyle name="40% - Accent3 2 4 5" xfId="10092" xr:uid="{727DEBB1-DFED-45E1-95FD-B6495EAFB8C8}"/>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5DB23AEF-DD0C-41C9-876F-05103B7AA9A6}"/>
    <cellStyle name="40% - Accent3 2 5 2 3" xfId="12650" xr:uid="{F718F22C-6808-404B-BE71-E4125CF757FD}"/>
    <cellStyle name="40% - Accent3 2 5 3" xfId="5396" xr:uid="{00000000-0005-0000-0000-000046050000}"/>
    <cellStyle name="40% - Accent3 2 5 3 2" xfId="14722" xr:uid="{B1AF1AB9-DEBB-429B-A667-576BA848E01F}"/>
    <cellStyle name="40% - Accent3 2 5 4" xfId="10505" xr:uid="{11546498-6F30-402E-A256-1F25CD4F255C}"/>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BEA863AE-261C-4053-A0C9-FBD20CACD93A}"/>
    <cellStyle name="40% - Accent3 2 6 2 3" xfId="13063" xr:uid="{B301D71E-95D7-4959-BF4A-A4CB37294DFC}"/>
    <cellStyle name="40% - Accent3 2 6 3" xfId="5809" xr:uid="{00000000-0005-0000-0000-00004A050000}"/>
    <cellStyle name="40% - Accent3 2 6 3 2" xfId="15135" xr:uid="{8F0B29D1-94D6-4A0B-91A8-64C12BCE0D4D}"/>
    <cellStyle name="40% - Accent3 2 6 4" xfId="10918" xr:uid="{8F82767F-1A76-4EF2-9D72-5E3C535C4437}"/>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5FC6471F-FFCF-4510-B964-30108A7545FA}"/>
    <cellStyle name="40% - Accent3 2 7 2 3" xfId="13476" xr:uid="{06F64E88-0A33-4C33-8E70-B4DE528F4964}"/>
    <cellStyle name="40% - Accent3 2 7 3" xfId="6222" xr:uid="{00000000-0005-0000-0000-00004E050000}"/>
    <cellStyle name="40% - Accent3 2 7 3 2" xfId="15548" xr:uid="{F2E74C66-32C1-4E5F-A9B1-65C07C650C1C}"/>
    <cellStyle name="40% - Accent3 2 7 4" xfId="11331" xr:uid="{A5E9815E-140F-4986-9DF8-A8437AB3C1A6}"/>
    <cellStyle name="40% - Accent3 2 8" xfId="2329" xr:uid="{00000000-0005-0000-0000-00004F050000}"/>
    <cellStyle name="40% - Accent3 2 8 2" xfId="6635" xr:uid="{00000000-0005-0000-0000-000050050000}"/>
    <cellStyle name="40% - Accent3 2 8 2 2" xfId="15961" xr:uid="{E1349A49-D1CD-4040-B385-F7048CB964D9}"/>
    <cellStyle name="40% - Accent3 2 8 3" xfId="11744" xr:uid="{5F8419CD-B56A-4098-9477-457F130E5C83}"/>
    <cellStyle name="40% - Accent3 2 9" xfId="4569" xr:uid="{00000000-0005-0000-0000-000051050000}"/>
    <cellStyle name="40% - Accent3 2 9 2" xfId="13895" xr:uid="{558CAA60-3102-46D8-95F2-DC60D22CF6A1}"/>
    <cellStyle name="40% - Accent3 3" xfId="70" xr:uid="{00000000-0005-0000-0000-000052050000}"/>
    <cellStyle name="40% - Accent3 3 10" xfId="9682" xr:uid="{ABB2AD22-2713-4CAE-8C4E-9E67331FA50A}"/>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F9901AE5-BBAC-492A-B8BC-0231815820EA}"/>
    <cellStyle name="40% - Accent3 3 2 2 2 3" xfId="12242" xr:uid="{1EB2DB0D-7323-4D0B-946C-99C49EEC41D7}"/>
    <cellStyle name="40% - Accent3 3 2 2 3" xfId="4988" xr:uid="{00000000-0005-0000-0000-000057050000}"/>
    <cellStyle name="40% - Accent3 3 2 2 3 2" xfId="14314" xr:uid="{3A0858DF-2DB0-4F56-AA6D-44AA82198EDB}"/>
    <cellStyle name="40% - Accent3 3 2 2 4" xfId="9498" xr:uid="{7C43CF58-5AE0-4BAA-9D2B-CAB92F3612F1}"/>
    <cellStyle name="40% - Accent3 3 2 2 4 2" xfId="18813" xr:uid="{935C0BE6-2827-474E-BD7F-719CF59A30AD}"/>
    <cellStyle name="40% - Accent3 3 2 2 5" xfId="10097" xr:uid="{183618AC-A35D-473D-923D-E64BDA7EE1A5}"/>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F4E21920-ACF0-4BBB-9712-03E6260B3187}"/>
    <cellStyle name="40% - Accent3 3 2 3 2 3" xfId="12655" xr:uid="{75BEC9D6-6577-4A0C-B0B0-A9B642C37F0C}"/>
    <cellStyle name="40% - Accent3 3 2 3 3" xfId="5401" xr:uid="{00000000-0005-0000-0000-00005B050000}"/>
    <cellStyle name="40% - Accent3 3 2 3 3 2" xfId="14727" xr:uid="{5D96A547-E522-4F3A-8967-63E3BBC68D66}"/>
    <cellStyle name="40% - Accent3 3 2 3 4" xfId="10510" xr:uid="{5A84AF41-0B9D-45B1-8B86-36B4039B0B6F}"/>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2985D116-7E92-4BD7-8F0B-6D9488EED645}"/>
    <cellStyle name="40% - Accent3 3 2 4 2 3" xfId="13068" xr:uid="{EB5FDDAA-AD6C-4B02-87D8-E8D96A5A1893}"/>
    <cellStyle name="40% - Accent3 3 2 4 3" xfId="5814" xr:uid="{00000000-0005-0000-0000-00005F050000}"/>
    <cellStyle name="40% - Accent3 3 2 4 3 2" xfId="15140" xr:uid="{B8CA71A5-E3EF-449D-90A5-26062DC17123}"/>
    <cellStyle name="40% - Accent3 3 2 4 4" xfId="10923" xr:uid="{BB53FEDC-5047-4DE9-B38F-58EAFB668CA8}"/>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8714BC16-CBF0-4BA0-934A-461B45663B0B}"/>
    <cellStyle name="40% - Accent3 3 2 5 2 3" xfId="13481" xr:uid="{17C2BEEE-4374-4CA8-9EFF-63EC84E13AC3}"/>
    <cellStyle name="40% - Accent3 3 2 5 3" xfId="6227" xr:uid="{00000000-0005-0000-0000-000063050000}"/>
    <cellStyle name="40% - Accent3 3 2 5 3 2" xfId="15553" xr:uid="{74793A37-CF08-44DD-AE3D-2D8600EF91BA}"/>
    <cellStyle name="40% - Accent3 3 2 5 4" xfId="11336" xr:uid="{BA336DFB-3EA3-4F4D-A0B7-1BB7AE08BA90}"/>
    <cellStyle name="40% - Accent3 3 2 6" xfId="2334" xr:uid="{00000000-0005-0000-0000-000064050000}"/>
    <cellStyle name="40% - Accent3 3 2 6 2" xfId="6640" xr:uid="{00000000-0005-0000-0000-000065050000}"/>
    <cellStyle name="40% - Accent3 3 2 6 2 2" xfId="15966" xr:uid="{E84E8739-8D83-4592-8880-9A327F36C9E7}"/>
    <cellStyle name="40% - Accent3 3 2 6 3" xfId="11749" xr:uid="{D2F578FD-E272-48AE-90AE-A4B80F79B111}"/>
    <cellStyle name="40% - Accent3 3 2 7" xfId="4574" xr:uid="{00000000-0005-0000-0000-000066050000}"/>
    <cellStyle name="40% - Accent3 3 2 7 2" xfId="13900" xr:uid="{ECBF7D62-E169-44F5-A063-F78F3A12694B}"/>
    <cellStyle name="40% - Accent3 3 2 8" xfId="9073" xr:uid="{0E71C752-2CF0-411D-A05E-4DA4A73CFC34}"/>
    <cellStyle name="40% - Accent3 3 2 8 2" xfId="18397" xr:uid="{6592DAD0-A71C-485D-BCEC-BB63AE7DDB69}"/>
    <cellStyle name="40% - Accent3 3 2 9" xfId="9683" xr:uid="{0F4F4BAC-649C-49CC-B7DC-2D8004839459}"/>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076142BE-3F96-4BB6-B896-4798553DD57F}"/>
    <cellStyle name="40% - Accent3 3 3 2 3" xfId="12241" xr:uid="{F1624E46-598C-4E1D-98C2-7CFB1EDCA311}"/>
    <cellStyle name="40% - Accent3 3 3 3" xfId="4987" xr:uid="{00000000-0005-0000-0000-00006A050000}"/>
    <cellStyle name="40% - Accent3 3 3 3 2" xfId="14313" xr:uid="{80022DAF-B54F-49A9-9429-41DBF7C2E8D2}"/>
    <cellStyle name="40% - Accent3 3 3 4" xfId="9291" xr:uid="{59AB3F6D-A8C6-4A37-A8E3-967850079A77}"/>
    <cellStyle name="40% - Accent3 3 3 4 2" xfId="18606" xr:uid="{619B82FE-F476-4D21-B257-2C80863AF7B7}"/>
    <cellStyle name="40% - Accent3 3 3 5" xfId="10096" xr:uid="{92580A30-8E54-418D-A32F-C17F1F554BDD}"/>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8E5A0316-2FA0-4E50-8242-25A56957C772}"/>
    <cellStyle name="40% - Accent3 3 4 2 3" xfId="12654" xr:uid="{335C4D1C-8923-43D6-8181-5C4E0A71F8B7}"/>
    <cellStyle name="40% - Accent3 3 4 3" xfId="5400" xr:uid="{00000000-0005-0000-0000-00006E050000}"/>
    <cellStyle name="40% - Accent3 3 4 3 2" xfId="14726" xr:uid="{426D6E82-B59C-472D-9D27-2314B40EBFE4}"/>
    <cellStyle name="40% - Accent3 3 4 4" xfId="10509" xr:uid="{34BB467C-A456-4386-8E40-75F5FD655297}"/>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F39E26AA-98B1-4D50-A04C-74220475D5F7}"/>
    <cellStyle name="40% - Accent3 3 5 2 3" xfId="13067" xr:uid="{8EB9B6BB-65AE-4C76-A095-F36AE2ADEE31}"/>
    <cellStyle name="40% - Accent3 3 5 3" xfId="5813" xr:uid="{00000000-0005-0000-0000-000072050000}"/>
    <cellStyle name="40% - Accent3 3 5 3 2" xfId="15139" xr:uid="{5A7C76E5-8D0F-4562-A774-A6BCCE193D4A}"/>
    <cellStyle name="40% - Accent3 3 5 4" xfId="10922" xr:uid="{5D62D61A-83E5-4F31-873B-81A0ADAC69EC}"/>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6E703245-88B3-4509-930B-C2B0A8272644}"/>
    <cellStyle name="40% - Accent3 3 6 2 3" xfId="13480" xr:uid="{BCC9D773-35DE-4451-A807-CD4B1D8E7ED0}"/>
    <cellStyle name="40% - Accent3 3 6 3" xfId="6226" xr:uid="{00000000-0005-0000-0000-000076050000}"/>
    <cellStyle name="40% - Accent3 3 6 3 2" xfId="15552" xr:uid="{5FFA48CD-EA06-40ED-8DE0-10C6F3F5EA56}"/>
    <cellStyle name="40% - Accent3 3 6 4" xfId="11335" xr:uid="{C20631A0-56E9-4D65-BCF0-27FBA595614F}"/>
    <cellStyle name="40% - Accent3 3 7" xfId="2333" xr:uid="{00000000-0005-0000-0000-000077050000}"/>
    <cellStyle name="40% - Accent3 3 7 2" xfId="6639" xr:uid="{00000000-0005-0000-0000-000078050000}"/>
    <cellStyle name="40% - Accent3 3 7 2 2" xfId="15965" xr:uid="{79751B40-3FE5-4F3B-BA00-0E8496010A88}"/>
    <cellStyle name="40% - Accent3 3 7 3" xfId="11748" xr:uid="{298CD028-94BC-4836-8BCD-27AA8CADA7CF}"/>
    <cellStyle name="40% - Accent3 3 8" xfId="4573" xr:uid="{00000000-0005-0000-0000-000079050000}"/>
    <cellStyle name="40% - Accent3 3 8 2" xfId="13899" xr:uid="{3291E2EE-59B4-45AA-B332-A014CAF99CAA}"/>
    <cellStyle name="40% - Accent3 3 9" xfId="8866" xr:uid="{1A1EF43E-4A2B-42A8-98A3-CEC34DD3B00D}"/>
    <cellStyle name="40% - Accent3 3 9 2" xfId="18190" xr:uid="{0079F906-4BF7-4968-8E4E-61E14A4ECF0B}"/>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6DD33B13-4E13-4A21-9C44-55952C9E1B2C}"/>
    <cellStyle name="40% - Accent3 4 2 2 3" xfId="12243" xr:uid="{82B7AB94-5704-43B7-858F-7FC145686737}"/>
    <cellStyle name="40% - Accent3 4 2 3" xfId="4989" xr:uid="{00000000-0005-0000-0000-00007E050000}"/>
    <cellStyle name="40% - Accent3 4 2 3 2" xfId="14315" xr:uid="{DE126BA2-DEDD-461C-AF8E-E4A9DC64A099}"/>
    <cellStyle name="40% - Accent3 4 2 4" xfId="9377" xr:uid="{F4393833-4E73-4685-9332-CF918D5239A9}"/>
    <cellStyle name="40% - Accent3 4 2 4 2" xfId="18692" xr:uid="{3B5756E0-A5D8-4B87-A65C-BC351B580806}"/>
    <cellStyle name="40% - Accent3 4 2 5" xfId="10098" xr:uid="{062C318A-B62A-483A-9ACC-7BBE88D7E28A}"/>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CEB8EB48-697A-4FFA-A0C9-0C01FA92541F}"/>
    <cellStyle name="40% - Accent3 4 3 2 3" xfId="12656" xr:uid="{CE2092A2-46BA-4A12-AEB7-29CAE5BEA3E7}"/>
    <cellStyle name="40% - Accent3 4 3 3" xfId="5402" xr:uid="{00000000-0005-0000-0000-000082050000}"/>
    <cellStyle name="40% - Accent3 4 3 3 2" xfId="14728" xr:uid="{01F04DB0-6EA2-4066-84A3-10036555D9FC}"/>
    <cellStyle name="40% - Accent3 4 3 4" xfId="10511" xr:uid="{663C99BC-246A-42B3-9B6C-D445C416CB3A}"/>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C24F9A9E-828C-4B5B-9642-5550A47A77AC}"/>
    <cellStyle name="40% - Accent3 4 4 2 3" xfId="13069" xr:uid="{B6EA2355-7667-4EC3-A2FA-7DEBDDE03A8D}"/>
    <cellStyle name="40% - Accent3 4 4 3" xfId="5815" xr:uid="{00000000-0005-0000-0000-000086050000}"/>
    <cellStyle name="40% - Accent3 4 4 3 2" xfId="15141" xr:uid="{EA42FF42-C5B9-4C1C-A571-86BBA7E8D725}"/>
    <cellStyle name="40% - Accent3 4 4 4" xfId="10924" xr:uid="{7C00989E-A4D2-4DB6-87D2-4BF9A8588D93}"/>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ED0FFB90-8247-466F-B504-40369C75F892}"/>
    <cellStyle name="40% - Accent3 4 5 2 3" xfId="13482" xr:uid="{03CA3603-4D2C-4C03-9370-6B230DDDFBC0}"/>
    <cellStyle name="40% - Accent3 4 5 3" xfId="6228" xr:uid="{00000000-0005-0000-0000-00008A050000}"/>
    <cellStyle name="40% - Accent3 4 5 3 2" xfId="15554" xr:uid="{AA6C2832-6EAA-4C21-83DC-FD9311204FA4}"/>
    <cellStyle name="40% - Accent3 4 5 4" xfId="11337" xr:uid="{89B9240C-3AA0-4220-9A60-434190BC33EA}"/>
    <cellStyle name="40% - Accent3 4 6" xfId="2335" xr:uid="{00000000-0005-0000-0000-00008B050000}"/>
    <cellStyle name="40% - Accent3 4 6 2" xfId="6641" xr:uid="{00000000-0005-0000-0000-00008C050000}"/>
    <cellStyle name="40% - Accent3 4 6 2 2" xfId="15967" xr:uid="{CC4302AA-7DE5-46DE-8D79-11628C9EDA9C}"/>
    <cellStyle name="40% - Accent3 4 6 3" xfId="11750" xr:uid="{8F5ED9D5-07EB-4905-8576-70F94199F19D}"/>
    <cellStyle name="40% - Accent3 4 7" xfId="4575" xr:uid="{00000000-0005-0000-0000-00008D050000}"/>
    <cellStyle name="40% - Accent3 4 7 2" xfId="13901" xr:uid="{980824B2-D2CB-4242-B5A9-6D99DE1BC7E5}"/>
    <cellStyle name="40% - Accent3 4 8" xfId="8952" xr:uid="{74BF8F1E-4A34-4787-9BA1-0B97E446635F}"/>
    <cellStyle name="40% - Accent3 4 8 2" xfId="18276" xr:uid="{18CD9065-E4C6-470D-ACD6-6B65BCA9A3DA}"/>
    <cellStyle name="40% - Accent3 4 9" xfId="9684" xr:uid="{9E310249-818C-466F-BA51-E8B248F17706}"/>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0DE035DB-4243-430D-A840-86A5CF11E774}"/>
    <cellStyle name="40% - Accent3 5 2 3" xfId="12236" xr:uid="{2080C442-C447-4E59-91B2-B5DAAE272D9B}"/>
    <cellStyle name="40% - Accent3 5 3" xfId="4982" xr:uid="{00000000-0005-0000-0000-000091050000}"/>
    <cellStyle name="40% - Accent3 5 3 2" xfId="14308" xr:uid="{C54EA148-8935-46E0-9480-253A4EA6D92E}"/>
    <cellStyle name="40% - Accent3 5 4" xfId="9185" xr:uid="{526F025D-EBF7-4976-9E38-4C0631A2843B}"/>
    <cellStyle name="40% - Accent3 5 4 2" xfId="18503" xr:uid="{90EE57ED-223E-4679-A392-0499C6F57A59}"/>
    <cellStyle name="40% - Accent3 5 5" xfId="10091" xr:uid="{5CA2E9B2-284D-4A95-9742-E52B51E3FE1E}"/>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6A2C29B9-1219-4392-B6F8-0EB4D58C572A}"/>
    <cellStyle name="40% - Accent3 6 2 3" xfId="12649" xr:uid="{80EDE840-C110-42C9-A73A-A786FBF0F145}"/>
    <cellStyle name="40% - Accent3 6 3" xfId="5395" xr:uid="{00000000-0005-0000-0000-000095050000}"/>
    <cellStyle name="40% - Accent3 6 3 2" xfId="14721" xr:uid="{C8100BD2-3EF5-4D96-AF42-732EB3863A7C}"/>
    <cellStyle name="40% - Accent3 6 4" xfId="10504" xr:uid="{512C5967-7831-4CF8-91BC-944C5CFB07FB}"/>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3A516079-9EC7-408A-B231-655EE241D6A0}"/>
    <cellStyle name="40% - Accent3 7 2 3" xfId="13062" xr:uid="{C21A4780-040A-4BA9-A55A-3DA970654083}"/>
    <cellStyle name="40% - Accent3 7 3" xfId="5808" xr:uid="{00000000-0005-0000-0000-000099050000}"/>
    <cellStyle name="40% - Accent3 7 3 2" xfId="15134" xr:uid="{EEF29544-5098-4524-97C8-B4CCFCC7AACC}"/>
    <cellStyle name="40% - Accent3 7 4" xfId="10917" xr:uid="{ACD5A309-84CC-40AB-B34A-DAB405009390}"/>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BFC12A73-444C-4727-8B41-6E1B2BC8FFB4}"/>
    <cellStyle name="40% - Accent3 8 2 3" xfId="13475" xr:uid="{F3F8FEBA-FA1A-4300-9CA3-3A822778A175}"/>
    <cellStyle name="40% - Accent3 8 3" xfId="6221" xr:uid="{00000000-0005-0000-0000-00009D050000}"/>
    <cellStyle name="40% - Accent3 8 3 2" xfId="15547" xr:uid="{9721FBC2-49B6-4BA5-8D5D-9573078B2CBB}"/>
    <cellStyle name="40% - Accent3 8 4" xfId="11330" xr:uid="{E0C79A36-64B3-436E-98D5-EB06DDC8BFEE}"/>
    <cellStyle name="40% - Accent3 9" xfId="2328" xr:uid="{00000000-0005-0000-0000-00009E050000}"/>
    <cellStyle name="40% - Accent3 9 2" xfId="6634" xr:uid="{00000000-0005-0000-0000-00009F050000}"/>
    <cellStyle name="40% - Accent3 9 2 2" xfId="15960" xr:uid="{C9605ADC-AB8A-4023-982F-31253C455106}"/>
    <cellStyle name="40% - Accent3 9 3" xfId="11743" xr:uid="{6D5E7FAE-F495-4201-9A39-C47627FB31DE}"/>
    <cellStyle name="40% - Accent4" xfId="73" builtinId="43" customBuiltin="1"/>
    <cellStyle name="40% - Accent4 10" xfId="4576" xr:uid="{00000000-0005-0000-0000-0000A1050000}"/>
    <cellStyle name="40% - Accent4 10 2" xfId="13902" xr:uid="{D31AD079-F1C7-41B2-A21D-01C521A80292}"/>
    <cellStyle name="40% - Accent4 11" xfId="8765" xr:uid="{18B6B6D6-5043-43D1-BB02-3855BF7027C3}"/>
    <cellStyle name="40% - Accent4 11 2" xfId="18089" xr:uid="{E8A46C99-60DF-4C2C-8F71-A908295B7C04}"/>
    <cellStyle name="40% - Accent4 12" xfId="9685" xr:uid="{631E6899-AC4D-4D22-83F5-4E576C95D6FC}"/>
    <cellStyle name="40% - Accent4 2" xfId="74" xr:uid="{00000000-0005-0000-0000-0000A2050000}"/>
    <cellStyle name="40% - Accent4 2 10" xfId="8801" xr:uid="{223FCC58-A05E-4022-8080-E75A80678FA6}"/>
    <cellStyle name="40% - Accent4 2 10 2" xfId="18125" xr:uid="{145E6982-7760-4715-B601-C9D141EEE8E8}"/>
    <cellStyle name="40% - Accent4 2 11" xfId="9686" xr:uid="{8B1172F1-5FE6-4C24-9FD8-BED7CC16F54F}"/>
    <cellStyle name="40% - Accent4 2 2" xfId="75" xr:uid="{00000000-0005-0000-0000-0000A3050000}"/>
    <cellStyle name="40% - Accent4 2 2 10" xfId="9687" xr:uid="{BE24E99B-AFE0-4EF2-94AD-45A56BB77B53}"/>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BEA7EE0B-A73B-4219-96B0-C30F352455C5}"/>
    <cellStyle name="40% - Accent4 2 2 2 2 2 3" xfId="12247" xr:uid="{9376864B-C986-46FF-A13E-1C52FC0505EA}"/>
    <cellStyle name="40% - Accent4 2 2 2 2 3" xfId="4993" xr:uid="{00000000-0005-0000-0000-0000A8050000}"/>
    <cellStyle name="40% - Accent4 2 2 2 2 3 2" xfId="14319" xr:uid="{A260A23E-7DA9-4CB4-AFE3-9164C671794D}"/>
    <cellStyle name="40% - Accent4 2 2 2 2 4" xfId="9536" xr:uid="{4351D24F-CE30-4CFD-968F-4B882F0FC9B5}"/>
    <cellStyle name="40% - Accent4 2 2 2 2 4 2" xfId="18851" xr:uid="{DDB32444-AC59-4349-B6A6-F732DF556B42}"/>
    <cellStyle name="40% - Accent4 2 2 2 2 5" xfId="10102" xr:uid="{D45CEF06-41E6-4424-9C42-1A4385EAD132}"/>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668E3AEB-23B8-4352-A943-0D82E4883C90}"/>
    <cellStyle name="40% - Accent4 2 2 2 3 2 3" xfId="12660" xr:uid="{85E1959C-34B4-499E-A07B-10E39D12B74B}"/>
    <cellStyle name="40% - Accent4 2 2 2 3 3" xfId="5406" xr:uid="{00000000-0005-0000-0000-0000AC050000}"/>
    <cellStyle name="40% - Accent4 2 2 2 3 3 2" xfId="14732" xr:uid="{427D38ED-C117-4D27-9C8E-013B03917F1A}"/>
    <cellStyle name="40% - Accent4 2 2 2 3 4" xfId="10515" xr:uid="{CB3C5759-288D-486F-ACA8-0714FA32D6D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149F0318-C1A6-4C0E-8ED9-26A4A4F52F07}"/>
    <cellStyle name="40% - Accent4 2 2 2 4 2 3" xfId="13073" xr:uid="{AA324037-FF00-4091-A746-DF306A18BCF2}"/>
    <cellStyle name="40% - Accent4 2 2 2 4 3" xfId="5819" xr:uid="{00000000-0005-0000-0000-0000B0050000}"/>
    <cellStyle name="40% - Accent4 2 2 2 4 3 2" xfId="15145" xr:uid="{E30CE53A-173E-406E-886F-8F5C666C51CC}"/>
    <cellStyle name="40% - Accent4 2 2 2 4 4" xfId="10928" xr:uid="{87261C71-430F-496A-818E-3A5922C834C7}"/>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5C5E9F1C-88E8-4877-9406-588ECE0894EB}"/>
    <cellStyle name="40% - Accent4 2 2 2 5 2 3" xfId="13486" xr:uid="{4DA6E356-50EB-4B93-82CD-EA6952070E3D}"/>
    <cellStyle name="40% - Accent4 2 2 2 5 3" xfId="6232" xr:uid="{00000000-0005-0000-0000-0000B4050000}"/>
    <cellStyle name="40% - Accent4 2 2 2 5 3 2" xfId="15558" xr:uid="{893BA6CE-6427-420F-BDE8-470190723DBC}"/>
    <cellStyle name="40% - Accent4 2 2 2 5 4" xfId="11341" xr:uid="{2710F556-6ADE-4F9C-A329-79F645D8E8C7}"/>
    <cellStyle name="40% - Accent4 2 2 2 6" xfId="2339" xr:uid="{00000000-0005-0000-0000-0000B5050000}"/>
    <cellStyle name="40% - Accent4 2 2 2 6 2" xfId="6645" xr:uid="{00000000-0005-0000-0000-0000B6050000}"/>
    <cellStyle name="40% - Accent4 2 2 2 6 2 2" xfId="15971" xr:uid="{4AB19880-6B8C-475B-811A-DC406FB6D0DE}"/>
    <cellStyle name="40% - Accent4 2 2 2 6 3" xfId="11754" xr:uid="{5C4E9D41-DDCC-4713-B166-115CF080938C}"/>
    <cellStyle name="40% - Accent4 2 2 2 7" xfId="4579" xr:uid="{00000000-0005-0000-0000-0000B7050000}"/>
    <cellStyle name="40% - Accent4 2 2 2 7 2" xfId="13905" xr:uid="{B27011B0-E03B-49F8-9A71-F196C86DE61C}"/>
    <cellStyle name="40% - Accent4 2 2 2 8" xfId="9111" xr:uid="{1DD86F12-0D11-497C-88D9-78D90E1EF65F}"/>
    <cellStyle name="40% - Accent4 2 2 2 8 2" xfId="18435" xr:uid="{BB19A38A-77AA-40EE-B8BD-BFA46CAE7C4B}"/>
    <cellStyle name="40% - Accent4 2 2 2 9" xfId="9688" xr:uid="{6B0CEB92-5F37-4D94-9356-356F0C17F3E7}"/>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00F6D1F9-BFD4-4A21-81E6-C60498B73917}"/>
    <cellStyle name="40% - Accent4 2 2 3 2 3" xfId="12246" xr:uid="{2B7D58AB-C592-4CA1-ACEF-E6430BBB98D3}"/>
    <cellStyle name="40% - Accent4 2 2 3 3" xfId="4992" xr:uid="{00000000-0005-0000-0000-0000BB050000}"/>
    <cellStyle name="40% - Accent4 2 2 3 3 2" xfId="14318" xr:uid="{229DAC94-5348-41B3-848B-D9E8C8142F59}"/>
    <cellStyle name="40% - Accent4 2 2 3 4" xfId="9329" xr:uid="{62CB3536-9FC4-4DBF-9121-AD0025D891C9}"/>
    <cellStyle name="40% - Accent4 2 2 3 4 2" xfId="18644" xr:uid="{BE48DEE2-0269-4FA5-AC22-9BF99B422735}"/>
    <cellStyle name="40% - Accent4 2 2 3 5" xfId="10101" xr:uid="{87D811A7-A024-4500-B478-5D889AE73FA1}"/>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C59501B8-8220-4D6A-A884-5DD7456387C6}"/>
    <cellStyle name="40% - Accent4 2 2 4 2 3" xfId="12659" xr:uid="{852FAAFB-DD4C-4950-A5F9-A7C31FF371BA}"/>
    <cellStyle name="40% - Accent4 2 2 4 3" xfId="5405" xr:uid="{00000000-0005-0000-0000-0000BF050000}"/>
    <cellStyle name="40% - Accent4 2 2 4 3 2" xfId="14731" xr:uid="{04613FE1-BC4C-461E-A041-6F83994A28E1}"/>
    <cellStyle name="40% - Accent4 2 2 4 4" xfId="10514" xr:uid="{1B66C3B3-AB06-4BA6-ADBC-7CBBB4FAB07C}"/>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AE9E5E07-075B-4747-8DEC-11A9D5096AF3}"/>
    <cellStyle name="40% - Accent4 2 2 5 2 3" xfId="13072" xr:uid="{C3C44F4D-D1A2-4745-9CEC-6B07AC034BA9}"/>
    <cellStyle name="40% - Accent4 2 2 5 3" xfId="5818" xr:uid="{00000000-0005-0000-0000-0000C3050000}"/>
    <cellStyle name="40% - Accent4 2 2 5 3 2" xfId="15144" xr:uid="{611B6624-F3D9-40FD-84BA-4D7168ABA0FE}"/>
    <cellStyle name="40% - Accent4 2 2 5 4" xfId="10927" xr:uid="{88B8DBE9-A5A2-4B66-BEF4-756C331FCA32}"/>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3221719B-D07D-4EB7-8E04-71C54E194378}"/>
    <cellStyle name="40% - Accent4 2 2 6 2 3" xfId="13485" xr:uid="{82529C15-5B54-4EB3-8CFC-4D90A2750DAD}"/>
    <cellStyle name="40% - Accent4 2 2 6 3" xfId="6231" xr:uid="{00000000-0005-0000-0000-0000C7050000}"/>
    <cellStyle name="40% - Accent4 2 2 6 3 2" xfId="15557" xr:uid="{81783CB0-9355-4BE8-9120-F85AC60C4BBC}"/>
    <cellStyle name="40% - Accent4 2 2 6 4" xfId="11340" xr:uid="{617B3E83-D455-4D58-96CC-5674A8B44A9B}"/>
    <cellStyle name="40% - Accent4 2 2 7" xfId="2338" xr:uid="{00000000-0005-0000-0000-0000C8050000}"/>
    <cellStyle name="40% - Accent4 2 2 7 2" xfId="6644" xr:uid="{00000000-0005-0000-0000-0000C9050000}"/>
    <cellStyle name="40% - Accent4 2 2 7 2 2" xfId="15970" xr:uid="{4D3BCB22-9F7F-4117-9B40-4A6C0C506BCC}"/>
    <cellStyle name="40% - Accent4 2 2 7 3" xfId="11753" xr:uid="{363A302F-DA2A-40B3-B445-E902D090248C}"/>
    <cellStyle name="40% - Accent4 2 2 8" xfId="4578" xr:uid="{00000000-0005-0000-0000-0000CA050000}"/>
    <cellStyle name="40% - Accent4 2 2 8 2" xfId="13904" xr:uid="{9C33888F-2688-46E6-ABF9-3541C3A0EE01}"/>
    <cellStyle name="40% - Accent4 2 2 9" xfId="8904" xr:uid="{64C959C5-2FAF-462D-88B6-14B59CDC763B}"/>
    <cellStyle name="40% - Accent4 2 2 9 2" xfId="18228" xr:uid="{B3C917C0-C56A-41C8-9028-8C014581275A}"/>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FAF162CF-29DB-44EB-9CCA-499BF6C0CFC8}"/>
    <cellStyle name="40% - Accent4 2 3 2 2 3" xfId="12248" xr:uid="{7F2577D5-C62F-451B-9082-4D56786E77E5}"/>
    <cellStyle name="40% - Accent4 2 3 2 3" xfId="4994" xr:uid="{00000000-0005-0000-0000-0000CF050000}"/>
    <cellStyle name="40% - Accent4 2 3 2 3 2" xfId="14320" xr:uid="{8FE7DFA0-8A1D-4913-9848-991975254F9B}"/>
    <cellStyle name="40% - Accent4 2 3 2 4" xfId="9433" xr:uid="{058786D1-7E7D-40D9-9218-B4C7219F4E53}"/>
    <cellStyle name="40% - Accent4 2 3 2 4 2" xfId="18748" xr:uid="{7BDBE9EE-5746-47EC-85A3-909FEC802F8D}"/>
    <cellStyle name="40% - Accent4 2 3 2 5" xfId="10103" xr:uid="{08DF718A-E09D-4EE1-A1C6-EF6C0061661E}"/>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56AB7C3D-8A09-4055-BD1A-120E2C959453}"/>
    <cellStyle name="40% - Accent4 2 3 3 2 3" xfId="12661" xr:uid="{8CA4EF00-F119-498B-96D3-90985339DD3D}"/>
    <cellStyle name="40% - Accent4 2 3 3 3" xfId="5407" xr:uid="{00000000-0005-0000-0000-0000D3050000}"/>
    <cellStyle name="40% - Accent4 2 3 3 3 2" xfId="14733" xr:uid="{3D58F324-6CB1-4F9C-AB0B-D3E8087B8C60}"/>
    <cellStyle name="40% - Accent4 2 3 3 4" xfId="10516" xr:uid="{6A823ED8-5C55-4CC0-8CC2-2F7E9817187F}"/>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229D6535-4D37-408B-A331-ECE758201D9C}"/>
    <cellStyle name="40% - Accent4 2 3 4 2 3" xfId="13074" xr:uid="{D8316632-7A15-4852-9E25-00B4AE60B042}"/>
    <cellStyle name="40% - Accent4 2 3 4 3" xfId="5820" xr:uid="{00000000-0005-0000-0000-0000D7050000}"/>
    <cellStyle name="40% - Accent4 2 3 4 3 2" xfId="15146" xr:uid="{758CE27F-883A-4D71-9C54-D32CC32291DA}"/>
    <cellStyle name="40% - Accent4 2 3 4 4" xfId="10929" xr:uid="{4AFB42D0-2B29-4E01-8A63-3F9D0F8DCDC6}"/>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FECA4A96-5E1E-4E8B-AF2E-EA13AB441779}"/>
    <cellStyle name="40% - Accent4 2 3 5 2 3" xfId="13487" xr:uid="{E9995787-0187-49A3-A91F-6F1F60DB0854}"/>
    <cellStyle name="40% - Accent4 2 3 5 3" xfId="6233" xr:uid="{00000000-0005-0000-0000-0000DB050000}"/>
    <cellStyle name="40% - Accent4 2 3 5 3 2" xfId="15559" xr:uid="{3F811AC4-E023-4A08-8CA4-2ECFCB66F12C}"/>
    <cellStyle name="40% - Accent4 2 3 5 4" xfId="11342" xr:uid="{8EF2C517-BBCF-491F-96C3-DDB93AA6E90C}"/>
    <cellStyle name="40% - Accent4 2 3 6" xfId="2340" xr:uid="{00000000-0005-0000-0000-0000DC050000}"/>
    <cellStyle name="40% - Accent4 2 3 6 2" xfId="6646" xr:uid="{00000000-0005-0000-0000-0000DD050000}"/>
    <cellStyle name="40% - Accent4 2 3 6 2 2" xfId="15972" xr:uid="{7047D176-8F5F-4934-8392-1806B2D8C732}"/>
    <cellStyle name="40% - Accent4 2 3 6 3" xfId="11755" xr:uid="{D8D19A94-5E97-4A65-9499-98015787DEC9}"/>
    <cellStyle name="40% - Accent4 2 3 7" xfId="4580" xr:uid="{00000000-0005-0000-0000-0000DE050000}"/>
    <cellStyle name="40% - Accent4 2 3 7 2" xfId="13906" xr:uid="{AD0A3FCE-C9C8-468A-A25B-25F805F1B42E}"/>
    <cellStyle name="40% - Accent4 2 3 8" xfId="9008" xr:uid="{270F4CAB-C86F-4D9D-804F-69497913908B}"/>
    <cellStyle name="40% - Accent4 2 3 8 2" xfId="18332" xr:uid="{25C5C67D-753E-4638-BD39-24E93ECDC3C9}"/>
    <cellStyle name="40% - Accent4 2 3 9" xfId="9689" xr:uid="{CEC5BC22-72C4-4C3C-BC6E-ABF3B8256784}"/>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B2F7D2DC-EC20-40BE-81E3-CC1B60B606DC}"/>
    <cellStyle name="40% - Accent4 2 4 2 3" xfId="12245" xr:uid="{7F0A9066-6F8E-4544-A829-D0C4730FD043}"/>
    <cellStyle name="40% - Accent4 2 4 3" xfId="4991" xr:uid="{00000000-0005-0000-0000-0000E2050000}"/>
    <cellStyle name="40% - Accent4 2 4 3 2" xfId="14317" xr:uid="{83505F33-A1D1-47AA-9712-D1370461D519}"/>
    <cellStyle name="40% - Accent4 2 4 4" xfId="9225" xr:uid="{40EEB981-54C4-40E4-A2F9-BCD479248D23}"/>
    <cellStyle name="40% - Accent4 2 4 4 2" xfId="18541" xr:uid="{E34F3468-7F49-4D02-AE6D-19667CEF9E7D}"/>
    <cellStyle name="40% - Accent4 2 4 5" xfId="10100" xr:uid="{3443CDA2-2D70-4E0F-9DEC-DFF17982A610}"/>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D343EBBB-56BB-4FE6-9DA5-10FA5FB87F9B}"/>
    <cellStyle name="40% - Accent4 2 5 2 3" xfId="12658" xr:uid="{7FE31356-9407-48F2-8172-D2F0D24988E3}"/>
    <cellStyle name="40% - Accent4 2 5 3" xfId="5404" xr:uid="{00000000-0005-0000-0000-0000E6050000}"/>
    <cellStyle name="40% - Accent4 2 5 3 2" xfId="14730" xr:uid="{B98E3C81-5891-4C9D-924B-47F6073A0A70}"/>
    <cellStyle name="40% - Accent4 2 5 4" xfId="10513" xr:uid="{84DD0ED9-0D55-46A1-A668-80A9315161F1}"/>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75E155CB-35C0-4474-AF84-41315B47C224}"/>
    <cellStyle name="40% - Accent4 2 6 2 3" xfId="13071" xr:uid="{F066F00E-4B24-4EA4-8E0F-197D35E2A0D8}"/>
    <cellStyle name="40% - Accent4 2 6 3" xfId="5817" xr:uid="{00000000-0005-0000-0000-0000EA050000}"/>
    <cellStyle name="40% - Accent4 2 6 3 2" xfId="15143" xr:uid="{18D83248-BDB4-46F9-9AA9-1485E9A74067}"/>
    <cellStyle name="40% - Accent4 2 6 4" xfId="10926" xr:uid="{6543340A-02D5-43EC-903B-E9242D596B46}"/>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F7E4A9C6-00B7-4D91-AEC3-B886E05FCB59}"/>
    <cellStyle name="40% - Accent4 2 7 2 3" xfId="13484" xr:uid="{87B7F2EE-CBD7-4401-BF3D-0808B442EAFF}"/>
    <cellStyle name="40% - Accent4 2 7 3" xfId="6230" xr:uid="{00000000-0005-0000-0000-0000EE050000}"/>
    <cellStyle name="40% - Accent4 2 7 3 2" xfId="15556" xr:uid="{423DF7D6-4349-4432-B232-0FCAD663D697}"/>
    <cellStyle name="40% - Accent4 2 7 4" xfId="11339" xr:uid="{8D8A09E8-79C1-4947-86F6-1B970355715A}"/>
    <cellStyle name="40% - Accent4 2 8" xfId="2337" xr:uid="{00000000-0005-0000-0000-0000EF050000}"/>
    <cellStyle name="40% - Accent4 2 8 2" xfId="6643" xr:uid="{00000000-0005-0000-0000-0000F0050000}"/>
    <cellStyle name="40% - Accent4 2 8 2 2" xfId="15969" xr:uid="{C34A9BE1-3681-4EBE-8ED5-A7237899D200}"/>
    <cellStyle name="40% - Accent4 2 8 3" xfId="11752" xr:uid="{5F5490C8-E1E7-49D5-9FAB-765F2C263D6E}"/>
    <cellStyle name="40% - Accent4 2 9" xfId="4577" xr:uid="{00000000-0005-0000-0000-0000F1050000}"/>
    <cellStyle name="40% - Accent4 2 9 2" xfId="13903" xr:uid="{D88DCD11-898D-4015-AD3F-5B47D1C19ABA}"/>
    <cellStyle name="40% - Accent4 3" xfId="78" xr:uid="{00000000-0005-0000-0000-0000F2050000}"/>
    <cellStyle name="40% - Accent4 3 10" xfId="9690" xr:uid="{DCB31616-B904-41D2-9953-BC0B1A9CCE2A}"/>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237DEF2D-78BC-46B8-A8E9-5D6201F8D305}"/>
    <cellStyle name="40% - Accent4 3 2 2 2 3" xfId="12250" xr:uid="{B984430D-63EB-402F-A54F-448AD664D6EC}"/>
    <cellStyle name="40% - Accent4 3 2 2 3" xfId="4996" xr:uid="{00000000-0005-0000-0000-0000F7050000}"/>
    <cellStyle name="40% - Accent4 3 2 2 3 2" xfId="14322" xr:uid="{65F986A5-31A9-486F-8F3A-E6E488265101}"/>
    <cellStyle name="40% - Accent4 3 2 2 4" xfId="9500" xr:uid="{EAAAC99F-A3A1-40FB-B78D-6862EF121B7A}"/>
    <cellStyle name="40% - Accent4 3 2 2 4 2" xfId="18815" xr:uid="{71892F65-F884-4155-B5A0-D2D19DAA65B2}"/>
    <cellStyle name="40% - Accent4 3 2 2 5" xfId="10105" xr:uid="{AF5C5AC4-B643-4527-B17E-26E75FD46B50}"/>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4DAC4022-4D9D-49B3-BB2D-EC9C570DF68B}"/>
    <cellStyle name="40% - Accent4 3 2 3 2 3" xfId="12663" xr:uid="{A51F87F2-26D5-4909-B33C-9823C700BD92}"/>
    <cellStyle name="40% - Accent4 3 2 3 3" xfId="5409" xr:uid="{00000000-0005-0000-0000-0000FB050000}"/>
    <cellStyle name="40% - Accent4 3 2 3 3 2" xfId="14735" xr:uid="{4E1BCFE5-4F18-478D-A2F1-533072B7CE68}"/>
    <cellStyle name="40% - Accent4 3 2 3 4" xfId="10518" xr:uid="{46483FDE-13EF-47D2-B74B-06CB7725B121}"/>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96837ECC-93A3-4254-9DA3-47E85A03A987}"/>
    <cellStyle name="40% - Accent4 3 2 4 2 3" xfId="13076" xr:uid="{72EE5FFA-A16C-4678-B224-FD65F159431D}"/>
    <cellStyle name="40% - Accent4 3 2 4 3" xfId="5822" xr:uid="{00000000-0005-0000-0000-0000FF050000}"/>
    <cellStyle name="40% - Accent4 3 2 4 3 2" xfId="15148" xr:uid="{FF07E50A-95AF-4D9A-9901-C23D5E3A189C}"/>
    <cellStyle name="40% - Accent4 3 2 4 4" xfId="10931" xr:uid="{EAC0224B-A287-4215-8716-7791E4D1A0E0}"/>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A9346459-F594-48EB-899A-6B68A333C140}"/>
    <cellStyle name="40% - Accent4 3 2 5 2 3" xfId="13489" xr:uid="{AC10B567-B44E-4290-A677-FFBC6E3995A3}"/>
    <cellStyle name="40% - Accent4 3 2 5 3" xfId="6235" xr:uid="{00000000-0005-0000-0000-000003060000}"/>
    <cellStyle name="40% - Accent4 3 2 5 3 2" xfId="15561" xr:uid="{F5118127-AC3A-40C1-B1F2-6C7AAF635C73}"/>
    <cellStyle name="40% - Accent4 3 2 5 4" xfId="11344" xr:uid="{D3DBFF47-D640-48C1-8A26-356071840D2A}"/>
    <cellStyle name="40% - Accent4 3 2 6" xfId="2342" xr:uid="{00000000-0005-0000-0000-000004060000}"/>
    <cellStyle name="40% - Accent4 3 2 6 2" xfId="6648" xr:uid="{00000000-0005-0000-0000-000005060000}"/>
    <cellStyle name="40% - Accent4 3 2 6 2 2" xfId="15974" xr:uid="{03C4B2D8-0880-4B0B-9CF3-38BD931BC9E7}"/>
    <cellStyle name="40% - Accent4 3 2 6 3" xfId="11757" xr:uid="{1B32CD64-8776-4752-9A46-0E0A3CD7F99E}"/>
    <cellStyle name="40% - Accent4 3 2 7" xfId="4582" xr:uid="{00000000-0005-0000-0000-000006060000}"/>
    <cellStyle name="40% - Accent4 3 2 7 2" xfId="13908" xr:uid="{264866CE-21D7-4C75-A1F4-20536E80BB55}"/>
    <cellStyle name="40% - Accent4 3 2 8" xfId="9075" xr:uid="{6C51FF47-5618-4E1E-BC97-01FFF287A6C3}"/>
    <cellStyle name="40% - Accent4 3 2 8 2" xfId="18399" xr:uid="{D9B4A7A5-2B3C-4B6F-AE31-82693B524A55}"/>
    <cellStyle name="40% - Accent4 3 2 9" xfId="9691" xr:uid="{BFEAE55C-6F37-49CE-8FA3-25B8D0C8C66B}"/>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6C07C8EF-F1F2-4372-BAB8-264921CECF25}"/>
    <cellStyle name="40% - Accent4 3 3 2 3" xfId="12249" xr:uid="{8237F628-8581-4E38-9FC8-275AA9BF2266}"/>
    <cellStyle name="40% - Accent4 3 3 3" xfId="4995" xr:uid="{00000000-0005-0000-0000-00000A060000}"/>
    <cellStyle name="40% - Accent4 3 3 3 2" xfId="14321" xr:uid="{A0F09F2D-CCD4-47FF-915A-0CE45CF1CFCA}"/>
    <cellStyle name="40% - Accent4 3 3 4" xfId="9293" xr:uid="{4A28D7F5-3617-45DC-A350-6C6596CDA765}"/>
    <cellStyle name="40% - Accent4 3 3 4 2" xfId="18608" xr:uid="{53ECE3E0-3741-4D37-9064-14C8408CE7D3}"/>
    <cellStyle name="40% - Accent4 3 3 5" xfId="10104" xr:uid="{EAA15B8C-B2EF-42FF-85A2-2FE08E915620}"/>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BD14295E-A2DD-4F21-B3A2-FE07D985C3B4}"/>
    <cellStyle name="40% - Accent4 3 4 2 3" xfId="12662" xr:uid="{4C5E444A-E353-4528-BC76-DC59544EBF6F}"/>
    <cellStyle name="40% - Accent4 3 4 3" xfId="5408" xr:uid="{00000000-0005-0000-0000-00000E060000}"/>
    <cellStyle name="40% - Accent4 3 4 3 2" xfId="14734" xr:uid="{BCD67452-0205-4D0C-93D1-BBDD7FB1B1C7}"/>
    <cellStyle name="40% - Accent4 3 4 4" xfId="10517" xr:uid="{3B50CC8B-DED0-4DDE-A3D3-E6C762ED8729}"/>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4978E424-F76D-4649-AEC3-9161D8BA9152}"/>
    <cellStyle name="40% - Accent4 3 5 2 3" xfId="13075" xr:uid="{01D60955-0998-404C-91B4-17DA72A6FAC1}"/>
    <cellStyle name="40% - Accent4 3 5 3" xfId="5821" xr:uid="{00000000-0005-0000-0000-000012060000}"/>
    <cellStyle name="40% - Accent4 3 5 3 2" xfId="15147" xr:uid="{29731B87-D907-4902-968B-85920D651956}"/>
    <cellStyle name="40% - Accent4 3 5 4" xfId="10930" xr:uid="{7A8613F1-3BEE-4B5F-B122-EEFEE93B4801}"/>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8A0DD814-B1E2-44AE-9A4C-4A3266F21051}"/>
    <cellStyle name="40% - Accent4 3 6 2 3" xfId="13488" xr:uid="{45D2563C-1D4F-4107-A188-A0FDAF0E7D0B}"/>
    <cellStyle name="40% - Accent4 3 6 3" xfId="6234" xr:uid="{00000000-0005-0000-0000-000016060000}"/>
    <cellStyle name="40% - Accent4 3 6 3 2" xfId="15560" xr:uid="{24AC9E05-CFEB-4A8C-B422-E726CF993BD5}"/>
    <cellStyle name="40% - Accent4 3 6 4" xfId="11343" xr:uid="{30CE7565-F878-4122-ACE3-CED3BCB2CD17}"/>
    <cellStyle name="40% - Accent4 3 7" xfId="2341" xr:uid="{00000000-0005-0000-0000-000017060000}"/>
    <cellStyle name="40% - Accent4 3 7 2" xfId="6647" xr:uid="{00000000-0005-0000-0000-000018060000}"/>
    <cellStyle name="40% - Accent4 3 7 2 2" xfId="15973" xr:uid="{021C9DC2-F56F-4AAC-9A47-BEEA0EA5E77C}"/>
    <cellStyle name="40% - Accent4 3 7 3" xfId="11756" xr:uid="{33F98810-44E2-41F3-A815-80FC0A27019D}"/>
    <cellStyle name="40% - Accent4 3 8" xfId="4581" xr:uid="{00000000-0005-0000-0000-000019060000}"/>
    <cellStyle name="40% - Accent4 3 8 2" xfId="13907" xr:uid="{6AF78E80-23E8-461D-AADC-25D8F58C682F}"/>
    <cellStyle name="40% - Accent4 3 9" xfId="8868" xr:uid="{538D9F50-ACCA-4DB0-A3F1-A129ACFFA0BF}"/>
    <cellStyle name="40% - Accent4 3 9 2" xfId="18192" xr:uid="{895DBFF7-EA28-4566-8CED-BA6D2827C298}"/>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8AD42127-3A94-4CCA-A694-33C13E419821}"/>
    <cellStyle name="40% - Accent4 4 2 2 3" xfId="12251" xr:uid="{00C1E44F-6F7A-40E4-A2CE-2FBB3B104BB7}"/>
    <cellStyle name="40% - Accent4 4 2 3" xfId="4997" xr:uid="{00000000-0005-0000-0000-00001E060000}"/>
    <cellStyle name="40% - Accent4 4 2 3 2" xfId="14323" xr:uid="{9BAE6A35-52A9-4547-B43C-7B63E3B1E085}"/>
    <cellStyle name="40% - Accent4 4 2 4" xfId="9379" xr:uid="{EE31EAE0-1741-4D6E-B7B4-C5DB59044F55}"/>
    <cellStyle name="40% - Accent4 4 2 4 2" xfId="18694" xr:uid="{AA971045-D8DF-4439-85E6-5CA1C22182F8}"/>
    <cellStyle name="40% - Accent4 4 2 5" xfId="10106" xr:uid="{B03BD410-A4F1-44F0-8E2E-BF2CC6D5BAB6}"/>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517F1A9A-8731-41CD-A1BF-E788BC0DED6E}"/>
    <cellStyle name="40% - Accent4 4 3 2 3" xfId="12664" xr:uid="{9A4F7576-FFB5-4B2B-93AA-11124053678C}"/>
    <cellStyle name="40% - Accent4 4 3 3" xfId="5410" xr:uid="{00000000-0005-0000-0000-000022060000}"/>
    <cellStyle name="40% - Accent4 4 3 3 2" xfId="14736" xr:uid="{63C495F7-F4EC-4D60-B41F-A6690C739271}"/>
    <cellStyle name="40% - Accent4 4 3 4" xfId="10519" xr:uid="{06817FEC-EFDB-44C8-A458-B071687004EF}"/>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3E054085-D436-49B7-97AC-922B6D5C58F4}"/>
    <cellStyle name="40% - Accent4 4 4 2 3" xfId="13077" xr:uid="{16373B75-172E-4EC6-AE90-9D6A0537789D}"/>
    <cellStyle name="40% - Accent4 4 4 3" xfId="5823" xr:uid="{00000000-0005-0000-0000-000026060000}"/>
    <cellStyle name="40% - Accent4 4 4 3 2" xfId="15149" xr:uid="{071BF7E7-D029-4C0A-8605-2E3C627AF32B}"/>
    <cellStyle name="40% - Accent4 4 4 4" xfId="10932" xr:uid="{8D10D14D-CAE4-4988-B9D1-37C8A8F707E7}"/>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06334860-B26F-44D1-BF23-96207F574C36}"/>
    <cellStyle name="40% - Accent4 4 5 2 3" xfId="13490" xr:uid="{3BEADB94-157D-40A8-A2A0-7B4A48D556E5}"/>
    <cellStyle name="40% - Accent4 4 5 3" xfId="6236" xr:uid="{00000000-0005-0000-0000-00002A060000}"/>
    <cellStyle name="40% - Accent4 4 5 3 2" xfId="15562" xr:uid="{B01F6258-1341-459B-A3CD-8324167E0E16}"/>
    <cellStyle name="40% - Accent4 4 5 4" xfId="11345" xr:uid="{05E1EAB6-470A-4890-8383-05B1B0E54ECD}"/>
    <cellStyle name="40% - Accent4 4 6" xfId="2343" xr:uid="{00000000-0005-0000-0000-00002B060000}"/>
    <cellStyle name="40% - Accent4 4 6 2" xfId="6649" xr:uid="{00000000-0005-0000-0000-00002C060000}"/>
    <cellStyle name="40% - Accent4 4 6 2 2" xfId="15975" xr:uid="{0E30FB09-2F0C-44AB-AB47-2326B2D73F63}"/>
    <cellStyle name="40% - Accent4 4 6 3" xfId="11758" xr:uid="{6468BE2B-93A7-43F3-85FD-CEB3CEED6212}"/>
    <cellStyle name="40% - Accent4 4 7" xfId="4583" xr:uid="{00000000-0005-0000-0000-00002D060000}"/>
    <cellStyle name="40% - Accent4 4 7 2" xfId="13909" xr:uid="{AE63E70F-50AE-4F9B-A38A-A0CE38237700}"/>
    <cellStyle name="40% - Accent4 4 8" xfId="8954" xr:uid="{2C178683-58B3-4513-85E7-15FAC3AC035D}"/>
    <cellStyle name="40% - Accent4 4 8 2" xfId="18278" xr:uid="{2040E3EC-B357-465C-9210-4A199BF809B4}"/>
    <cellStyle name="40% - Accent4 4 9" xfId="9692" xr:uid="{5CF6C27C-92A9-41CF-BF87-8F45BCB6CB23}"/>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8904A56B-13E6-4764-8C1D-1BB6A088837D}"/>
    <cellStyle name="40% - Accent4 5 2 3" xfId="12244" xr:uid="{CBB58BD0-9517-4F8B-B5B0-122741F57335}"/>
    <cellStyle name="40% - Accent4 5 3" xfId="4990" xr:uid="{00000000-0005-0000-0000-000031060000}"/>
    <cellStyle name="40% - Accent4 5 3 2" xfId="14316" xr:uid="{7BB79528-788B-43BB-8FDF-CADF84107E50}"/>
    <cellStyle name="40% - Accent4 5 4" xfId="9187" xr:uid="{33022C89-0CDD-4091-8005-358F63FF8F46}"/>
    <cellStyle name="40% - Accent4 5 4 2" xfId="18505" xr:uid="{28E7643A-5D0F-40C8-B777-6F0C2CA14C1D}"/>
    <cellStyle name="40% - Accent4 5 5" xfId="10099" xr:uid="{7BEACBE2-F3C8-4668-8491-048249C74DAB}"/>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7C6057E9-4585-4344-AA33-DA4BF2735F39}"/>
    <cellStyle name="40% - Accent4 6 2 3" xfId="12657" xr:uid="{AEA6F753-3B32-4288-9327-75FC08968CCD}"/>
    <cellStyle name="40% - Accent4 6 3" xfId="5403" xr:uid="{00000000-0005-0000-0000-000035060000}"/>
    <cellStyle name="40% - Accent4 6 3 2" xfId="14729" xr:uid="{87D6911E-7B24-4E54-8031-ED5A8F0EE512}"/>
    <cellStyle name="40% - Accent4 6 4" xfId="10512" xr:uid="{8C8E0CC7-299A-4299-B3E4-FDE9052A767F}"/>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8A6AA1FB-B2AD-47B3-A6FB-05A785DE594B}"/>
    <cellStyle name="40% - Accent4 7 2 3" xfId="13070" xr:uid="{4399FE4B-8AD9-4B13-8669-B5D1AE945D39}"/>
    <cellStyle name="40% - Accent4 7 3" xfId="5816" xr:uid="{00000000-0005-0000-0000-000039060000}"/>
    <cellStyle name="40% - Accent4 7 3 2" xfId="15142" xr:uid="{BC0E94FE-3B6A-4815-ABDD-C146BA953060}"/>
    <cellStyle name="40% - Accent4 7 4" xfId="10925" xr:uid="{16C173D6-9559-41AA-99E2-3A3D9DB8C5FF}"/>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1177F697-BBFA-4067-AE7C-C5D6164B33C1}"/>
    <cellStyle name="40% - Accent4 8 2 3" xfId="13483" xr:uid="{AF325917-2B06-4CB4-B7F9-A5C72834963B}"/>
    <cellStyle name="40% - Accent4 8 3" xfId="6229" xr:uid="{00000000-0005-0000-0000-00003D060000}"/>
    <cellStyle name="40% - Accent4 8 3 2" xfId="15555" xr:uid="{4C525700-FF24-4FA6-B002-9AB3F9E6AE0A}"/>
    <cellStyle name="40% - Accent4 8 4" xfId="11338" xr:uid="{B142AA4B-633B-4473-B360-128FA1E0B9B7}"/>
    <cellStyle name="40% - Accent4 9" xfId="2336" xr:uid="{00000000-0005-0000-0000-00003E060000}"/>
    <cellStyle name="40% - Accent4 9 2" xfId="6642" xr:uid="{00000000-0005-0000-0000-00003F060000}"/>
    <cellStyle name="40% - Accent4 9 2 2" xfId="15968" xr:uid="{87F3DBD9-C310-4FA7-85DE-5F07089FAB47}"/>
    <cellStyle name="40% - Accent4 9 3" xfId="11751" xr:uid="{9AD8B65D-1327-4AC4-95D8-17CBE038D656}"/>
    <cellStyle name="40% - Accent5" xfId="81" builtinId="47" customBuiltin="1"/>
    <cellStyle name="40% - Accent5 10" xfId="4584" xr:uid="{00000000-0005-0000-0000-000041060000}"/>
    <cellStyle name="40% - Accent5 10 2" xfId="13910" xr:uid="{9FEC2F84-C81A-4FFA-8FC4-6452B1D4E6AB}"/>
    <cellStyle name="40% - Accent5 11" xfId="8767" xr:uid="{7A46ADF8-3420-4D4A-A3FE-8E96F0FA38E7}"/>
    <cellStyle name="40% - Accent5 11 2" xfId="18091" xr:uid="{3F9D4A1D-E8D9-46AA-93EB-FED1F0F17424}"/>
    <cellStyle name="40% - Accent5 12" xfId="9693" xr:uid="{7937648C-57D5-4F09-9CF9-032982C9C9A8}"/>
    <cellStyle name="40% - Accent5 2" xfId="82" xr:uid="{00000000-0005-0000-0000-000042060000}"/>
    <cellStyle name="40% - Accent5 2 10" xfId="8802" xr:uid="{CF9BFF45-99AC-47A3-8B01-051C55FBB24D}"/>
    <cellStyle name="40% - Accent5 2 10 2" xfId="18126" xr:uid="{02B1FC82-8E1E-4616-85DC-702641799392}"/>
    <cellStyle name="40% - Accent5 2 11" xfId="9694" xr:uid="{3970D6FD-BD91-4265-AB25-8FB755F82C23}"/>
    <cellStyle name="40% - Accent5 2 2" xfId="83" xr:uid="{00000000-0005-0000-0000-000043060000}"/>
    <cellStyle name="40% - Accent5 2 2 10" xfId="9695" xr:uid="{AB6B097D-F8A3-4F61-9FBB-200850ADB862}"/>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F935730F-65F3-4848-9090-CBDF5131C425}"/>
    <cellStyle name="40% - Accent5 2 2 2 2 2 3" xfId="12255" xr:uid="{3E2DE8EB-9A73-4AF7-BB46-DF2B202DE401}"/>
    <cellStyle name="40% - Accent5 2 2 2 2 3" xfId="5001" xr:uid="{00000000-0005-0000-0000-000048060000}"/>
    <cellStyle name="40% - Accent5 2 2 2 2 3 2" xfId="14327" xr:uid="{8D2E7F79-0584-446D-905A-7DB152903AC6}"/>
    <cellStyle name="40% - Accent5 2 2 2 2 4" xfId="9537" xr:uid="{83834145-5D3F-4083-A609-6DB90651C4CE}"/>
    <cellStyle name="40% - Accent5 2 2 2 2 4 2" xfId="18852" xr:uid="{CDB0BF76-C2DC-4AF7-86DA-3DB0292DBBDD}"/>
    <cellStyle name="40% - Accent5 2 2 2 2 5" xfId="10110" xr:uid="{B878B3E9-4C8D-4D64-B6D5-44B920D6305C}"/>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F2BFE896-124F-407B-B0EF-E3C33AD68926}"/>
    <cellStyle name="40% - Accent5 2 2 2 3 2 3" xfId="12668" xr:uid="{D4F21511-0D55-4AFA-AD7E-9DC30965ACA2}"/>
    <cellStyle name="40% - Accent5 2 2 2 3 3" xfId="5414" xr:uid="{00000000-0005-0000-0000-00004C060000}"/>
    <cellStyle name="40% - Accent5 2 2 2 3 3 2" xfId="14740" xr:uid="{E522EC22-A71C-498D-BAC5-71D1ECBF1C79}"/>
    <cellStyle name="40% - Accent5 2 2 2 3 4" xfId="10523" xr:uid="{8F7552E7-F80E-4175-8B2F-82B164295C3B}"/>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22BD9E99-64D0-4DA8-8951-108AAA76E7D5}"/>
    <cellStyle name="40% - Accent5 2 2 2 4 2 3" xfId="13081" xr:uid="{6BA31FCC-BE3C-4AB5-86C7-C3BAA19D8D26}"/>
    <cellStyle name="40% - Accent5 2 2 2 4 3" xfId="5827" xr:uid="{00000000-0005-0000-0000-000050060000}"/>
    <cellStyle name="40% - Accent5 2 2 2 4 3 2" xfId="15153" xr:uid="{981F1805-0BE5-4C4E-BFDD-748EB1FA61F9}"/>
    <cellStyle name="40% - Accent5 2 2 2 4 4" xfId="10936" xr:uid="{BE27B6C0-6E7C-40B1-BB76-A0FBC28AB92D}"/>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55045B87-C1C2-4DED-BAB0-8504EB24EFEB}"/>
    <cellStyle name="40% - Accent5 2 2 2 5 2 3" xfId="13494" xr:uid="{C0EF16B9-580F-430E-8C2D-34AFD74D22DA}"/>
    <cellStyle name="40% - Accent5 2 2 2 5 3" xfId="6240" xr:uid="{00000000-0005-0000-0000-000054060000}"/>
    <cellStyle name="40% - Accent5 2 2 2 5 3 2" xfId="15566" xr:uid="{B56DF5B9-3839-41F6-92AD-C735B4861019}"/>
    <cellStyle name="40% - Accent5 2 2 2 5 4" xfId="11349" xr:uid="{3FB9C51B-9F03-4E23-B0AE-DD682DDA174F}"/>
    <cellStyle name="40% - Accent5 2 2 2 6" xfId="2347" xr:uid="{00000000-0005-0000-0000-000055060000}"/>
    <cellStyle name="40% - Accent5 2 2 2 6 2" xfId="6653" xr:uid="{00000000-0005-0000-0000-000056060000}"/>
    <cellStyle name="40% - Accent5 2 2 2 6 2 2" xfId="15979" xr:uid="{B5CDC6D6-A739-477C-9245-BD135EB311B7}"/>
    <cellStyle name="40% - Accent5 2 2 2 6 3" xfId="11762" xr:uid="{B8A035F5-5916-4109-A2DA-65EF98990ABE}"/>
    <cellStyle name="40% - Accent5 2 2 2 7" xfId="4587" xr:uid="{00000000-0005-0000-0000-000057060000}"/>
    <cellStyle name="40% - Accent5 2 2 2 7 2" xfId="13913" xr:uid="{CF8A25CD-E359-459B-B4F2-4475E744CEEC}"/>
    <cellStyle name="40% - Accent5 2 2 2 8" xfId="9112" xr:uid="{65D0CC40-E9D0-4CE3-B684-8DE4A2C7BCD7}"/>
    <cellStyle name="40% - Accent5 2 2 2 8 2" xfId="18436" xr:uid="{A6D1755C-5CC8-48C3-9AB6-6FB0AA7DF6EC}"/>
    <cellStyle name="40% - Accent5 2 2 2 9" xfId="9696" xr:uid="{0B9DA5C5-8981-4170-978B-0BB177C033C1}"/>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7085C7DF-8A61-4FE7-B5A2-D7950172EEB0}"/>
    <cellStyle name="40% - Accent5 2 2 3 2 3" xfId="12254" xr:uid="{7A649A7B-A739-461B-A083-C8D535AAEFDA}"/>
    <cellStyle name="40% - Accent5 2 2 3 3" xfId="5000" xr:uid="{00000000-0005-0000-0000-00005B060000}"/>
    <cellStyle name="40% - Accent5 2 2 3 3 2" xfId="14326" xr:uid="{BABC6365-D350-4212-9F42-ECA1F0DFCA62}"/>
    <cellStyle name="40% - Accent5 2 2 3 4" xfId="9330" xr:uid="{75959B30-FD84-42A5-95AE-69048CCC8361}"/>
    <cellStyle name="40% - Accent5 2 2 3 4 2" xfId="18645" xr:uid="{582A8329-8D02-4D36-850B-0DA6BD748DD7}"/>
    <cellStyle name="40% - Accent5 2 2 3 5" xfId="10109" xr:uid="{71F41AE6-81BF-4D07-8C20-293F1239F5F7}"/>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3EA420F1-16B1-4B8B-9DB7-A2BEA97AE02B}"/>
    <cellStyle name="40% - Accent5 2 2 4 2 3" xfId="12667" xr:uid="{D0058105-2C7F-40A4-9E96-14641B8C5E3A}"/>
    <cellStyle name="40% - Accent5 2 2 4 3" xfId="5413" xr:uid="{00000000-0005-0000-0000-00005F060000}"/>
    <cellStyle name="40% - Accent5 2 2 4 3 2" xfId="14739" xr:uid="{4CEA7804-CDA8-4615-91A8-1B18B5EBF86E}"/>
    <cellStyle name="40% - Accent5 2 2 4 4" xfId="10522" xr:uid="{EF082FED-3C05-468B-A794-DF9CF8B20C7D}"/>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71CD6693-F978-48E8-8C84-D52310B0A4E2}"/>
    <cellStyle name="40% - Accent5 2 2 5 2 3" xfId="13080" xr:uid="{6B69AD42-1920-4A7A-8E9A-ADAE4829EBCC}"/>
    <cellStyle name="40% - Accent5 2 2 5 3" xfId="5826" xr:uid="{00000000-0005-0000-0000-000063060000}"/>
    <cellStyle name="40% - Accent5 2 2 5 3 2" xfId="15152" xr:uid="{0F853651-7106-4CE7-B4E2-E59897D67ED6}"/>
    <cellStyle name="40% - Accent5 2 2 5 4" xfId="10935" xr:uid="{FB0F66CD-C4A4-45EE-8339-203BA96B6E22}"/>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FE791B33-ACF0-4678-91D9-58EB64C2B9BA}"/>
    <cellStyle name="40% - Accent5 2 2 6 2 3" xfId="13493" xr:uid="{89AE4DF6-1CF9-49E9-BF55-985AD575F795}"/>
    <cellStyle name="40% - Accent5 2 2 6 3" xfId="6239" xr:uid="{00000000-0005-0000-0000-000067060000}"/>
    <cellStyle name="40% - Accent5 2 2 6 3 2" xfId="15565" xr:uid="{0326BC5E-355A-4B16-AA4D-89C759D4CB34}"/>
    <cellStyle name="40% - Accent5 2 2 6 4" xfId="11348" xr:uid="{73E532A8-5F1B-4480-BFAD-6E93388C285E}"/>
    <cellStyle name="40% - Accent5 2 2 7" xfId="2346" xr:uid="{00000000-0005-0000-0000-000068060000}"/>
    <cellStyle name="40% - Accent5 2 2 7 2" xfId="6652" xr:uid="{00000000-0005-0000-0000-000069060000}"/>
    <cellStyle name="40% - Accent5 2 2 7 2 2" xfId="15978" xr:uid="{56ED755D-19DF-4A35-805E-2EE5507B8B8F}"/>
    <cellStyle name="40% - Accent5 2 2 7 3" xfId="11761" xr:uid="{5D7CA2DD-BF85-4AFF-9EA0-91794A8B6469}"/>
    <cellStyle name="40% - Accent5 2 2 8" xfId="4586" xr:uid="{00000000-0005-0000-0000-00006A060000}"/>
    <cellStyle name="40% - Accent5 2 2 8 2" xfId="13912" xr:uid="{47732271-9581-4A02-B860-7F802F3327E7}"/>
    <cellStyle name="40% - Accent5 2 2 9" xfId="8905" xr:uid="{3B48B2AE-2C2B-47FB-A8F4-43FECCDBCFEF}"/>
    <cellStyle name="40% - Accent5 2 2 9 2" xfId="18229" xr:uid="{80EA2250-3AA6-4D29-AF29-7AA0AA7EA5F8}"/>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34B929E5-716F-4F84-97BB-1DB4CD5304FD}"/>
    <cellStyle name="40% - Accent5 2 3 2 2 3" xfId="12256" xr:uid="{BC98531E-B2AC-4E63-9425-DBA602A7F5F0}"/>
    <cellStyle name="40% - Accent5 2 3 2 3" xfId="5002" xr:uid="{00000000-0005-0000-0000-00006F060000}"/>
    <cellStyle name="40% - Accent5 2 3 2 3 2" xfId="14328" xr:uid="{521B6538-605F-4F18-B2EF-B5B4E05512C1}"/>
    <cellStyle name="40% - Accent5 2 3 2 4" xfId="9434" xr:uid="{512EAA64-F150-4B15-8534-EB34D6D41408}"/>
    <cellStyle name="40% - Accent5 2 3 2 4 2" xfId="18749" xr:uid="{B1B3D021-A397-4495-A7B2-A09F8E553414}"/>
    <cellStyle name="40% - Accent5 2 3 2 5" xfId="10111" xr:uid="{37C556CC-6DF5-4F35-92E6-A551B4AC4CA3}"/>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52F5D5D6-B48C-4B54-85B0-80C675126AAB}"/>
    <cellStyle name="40% - Accent5 2 3 3 2 3" xfId="12669" xr:uid="{18DEE333-6631-4AD4-9E95-CDCBC24EE9E7}"/>
    <cellStyle name="40% - Accent5 2 3 3 3" xfId="5415" xr:uid="{00000000-0005-0000-0000-000073060000}"/>
    <cellStyle name="40% - Accent5 2 3 3 3 2" xfId="14741" xr:uid="{0178085C-082F-424B-B7F2-770FCAD20E49}"/>
    <cellStyle name="40% - Accent5 2 3 3 4" xfId="10524" xr:uid="{406AB849-74B3-47CC-ACBA-EEF2D74A688C}"/>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D4850D4A-B1ED-48EB-8CB8-F4E402A9E336}"/>
    <cellStyle name="40% - Accent5 2 3 4 2 3" xfId="13082" xr:uid="{62CFD483-07AE-4187-A93D-877DFD51CF5D}"/>
    <cellStyle name="40% - Accent5 2 3 4 3" xfId="5828" xr:uid="{00000000-0005-0000-0000-000077060000}"/>
    <cellStyle name="40% - Accent5 2 3 4 3 2" xfId="15154" xr:uid="{9C64C640-5579-449F-BD80-6B71049FC11E}"/>
    <cellStyle name="40% - Accent5 2 3 4 4" xfId="10937" xr:uid="{A15273ED-EA57-4D0D-BE8A-A7447732F5AB}"/>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312CF2FB-F826-42D0-99F2-16A76EB10505}"/>
    <cellStyle name="40% - Accent5 2 3 5 2 3" xfId="13495" xr:uid="{CC150F00-F802-42E9-9B9E-D23B234BC4FD}"/>
    <cellStyle name="40% - Accent5 2 3 5 3" xfId="6241" xr:uid="{00000000-0005-0000-0000-00007B060000}"/>
    <cellStyle name="40% - Accent5 2 3 5 3 2" xfId="15567" xr:uid="{051C85AA-DC72-4CA0-A841-E32338B0C7C7}"/>
    <cellStyle name="40% - Accent5 2 3 5 4" xfId="11350" xr:uid="{5633D593-66D8-4201-92D5-18EA99653B63}"/>
    <cellStyle name="40% - Accent5 2 3 6" xfId="2348" xr:uid="{00000000-0005-0000-0000-00007C060000}"/>
    <cellStyle name="40% - Accent5 2 3 6 2" xfId="6654" xr:uid="{00000000-0005-0000-0000-00007D060000}"/>
    <cellStyle name="40% - Accent5 2 3 6 2 2" xfId="15980" xr:uid="{0290ED6A-D319-4FE7-9F79-5294FF5D9DE7}"/>
    <cellStyle name="40% - Accent5 2 3 6 3" xfId="11763" xr:uid="{D8D8723C-35EF-4449-A3BB-E5A017BCDEA8}"/>
    <cellStyle name="40% - Accent5 2 3 7" xfId="4588" xr:uid="{00000000-0005-0000-0000-00007E060000}"/>
    <cellStyle name="40% - Accent5 2 3 7 2" xfId="13914" xr:uid="{5146BCAE-2D49-4C66-AA86-3F8F61C7BF12}"/>
    <cellStyle name="40% - Accent5 2 3 8" xfId="9009" xr:uid="{DE8B6E41-761F-4ED0-BA8A-00A6A898A2FC}"/>
    <cellStyle name="40% - Accent5 2 3 8 2" xfId="18333" xr:uid="{2CE5D5E4-1F4D-4412-8F2F-FF4D09705D9B}"/>
    <cellStyle name="40% - Accent5 2 3 9" xfId="9697" xr:uid="{D655947D-F8AD-4214-9E3C-BD4342EEAA5E}"/>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90D919B9-5629-4888-9C6E-3ECAEDF43F6A}"/>
    <cellStyle name="40% - Accent5 2 4 2 3" xfId="12253" xr:uid="{CCDCE1CF-6202-4372-B403-8C64DA35D8D9}"/>
    <cellStyle name="40% - Accent5 2 4 3" xfId="4999" xr:uid="{00000000-0005-0000-0000-000082060000}"/>
    <cellStyle name="40% - Accent5 2 4 3 2" xfId="14325" xr:uid="{557E1224-C98B-45D8-88DE-7A3FAC78B1CF}"/>
    <cellStyle name="40% - Accent5 2 4 4" xfId="9226" xr:uid="{6A688709-D29B-458C-973B-231279FAFEF5}"/>
    <cellStyle name="40% - Accent5 2 4 4 2" xfId="18542" xr:uid="{2C425611-A298-4083-A373-E39806986A9F}"/>
    <cellStyle name="40% - Accent5 2 4 5" xfId="10108" xr:uid="{810E55C2-AA3C-4006-9D1A-C77CD0A72D85}"/>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7DBFD700-2980-4B04-868E-4AE4BBE0CD09}"/>
    <cellStyle name="40% - Accent5 2 5 2 3" xfId="12666" xr:uid="{6AB53233-27CB-4299-9F21-E3800472DDD8}"/>
    <cellStyle name="40% - Accent5 2 5 3" xfId="5412" xr:uid="{00000000-0005-0000-0000-000086060000}"/>
    <cellStyle name="40% - Accent5 2 5 3 2" xfId="14738" xr:uid="{44856B97-7914-4A93-8901-516DCC0B1C72}"/>
    <cellStyle name="40% - Accent5 2 5 4" xfId="10521" xr:uid="{890AABCD-E288-4066-9CA5-6560FABFD310}"/>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2A9E2A37-C563-43A8-AB9D-BD950E04EE4A}"/>
    <cellStyle name="40% - Accent5 2 6 2 3" xfId="13079" xr:uid="{55542BFE-0680-4BD4-B5A0-1C4B6B911741}"/>
    <cellStyle name="40% - Accent5 2 6 3" xfId="5825" xr:uid="{00000000-0005-0000-0000-00008A060000}"/>
    <cellStyle name="40% - Accent5 2 6 3 2" xfId="15151" xr:uid="{2DDE1B04-D63B-4AC7-BB34-961905A1A1B8}"/>
    <cellStyle name="40% - Accent5 2 6 4" xfId="10934" xr:uid="{43D048A8-52C8-4398-A6A0-AC819ECC8680}"/>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4DBC817D-3609-49F0-83E9-D743D5F67B68}"/>
    <cellStyle name="40% - Accent5 2 7 2 3" xfId="13492" xr:uid="{9686AA52-ED61-4DE3-AC44-9B6C58E755B9}"/>
    <cellStyle name="40% - Accent5 2 7 3" xfId="6238" xr:uid="{00000000-0005-0000-0000-00008E060000}"/>
    <cellStyle name="40% - Accent5 2 7 3 2" xfId="15564" xr:uid="{BA8C20D7-ED7D-47E7-B9AE-55C5AF9496C3}"/>
    <cellStyle name="40% - Accent5 2 7 4" xfId="11347" xr:uid="{513F3CE3-8920-4143-976E-1156797E70B4}"/>
    <cellStyle name="40% - Accent5 2 8" xfId="2345" xr:uid="{00000000-0005-0000-0000-00008F060000}"/>
    <cellStyle name="40% - Accent5 2 8 2" xfId="6651" xr:uid="{00000000-0005-0000-0000-000090060000}"/>
    <cellStyle name="40% - Accent5 2 8 2 2" xfId="15977" xr:uid="{AE669610-4335-48D9-9CE8-6A34D0418217}"/>
    <cellStyle name="40% - Accent5 2 8 3" xfId="11760" xr:uid="{9A855CEB-F72F-4F22-AF46-1107112137A8}"/>
    <cellStyle name="40% - Accent5 2 9" xfId="4585" xr:uid="{00000000-0005-0000-0000-000091060000}"/>
    <cellStyle name="40% - Accent5 2 9 2" xfId="13911" xr:uid="{443D07F3-B61B-48AF-9C01-C8C328AB3136}"/>
    <cellStyle name="40% - Accent5 3" xfId="86" xr:uid="{00000000-0005-0000-0000-000092060000}"/>
    <cellStyle name="40% - Accent5 3 10" xfId="9698" xr:uid="{B242E94F-268D-4AD6-9392-B5C9CC2340D4}"/>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823D858E-3B56-4596-82B6-88A37FDB2E24}"/>
    <cellStyle name="40% - Accent5 3 2 2 2 3" xfId="12258" xr:uid="{484D4B85-473A-41B9-BEB3-3972D1FEA8C0}"/>
    <cellStyle name="40% - Accent5 3 2 2 3" xfId="5004" xr:uid="{00000000-0005-0000-0000-000097060000}"/>
    <cellStyle name="40% - Accent5 3 2 2 3 2" xfId="14330" xr:uid="{5E1036B3-1FB2-4091-AF7A-092425C65333}"/>
    <cellStyle name="40% - Accent5 3 2 2 4" xfId="9502" xr:uid="{96903B0D-DCFE-4149-8088-461BCB03A73B}"/>
    <cellStyle name="40% - Accent5 3 2 2 4 2" xfId="18817" xr:uid="{4C636128-AF8D-467F-8507-90F688CC56B2}"/>
    <cellStyle name="40% - Accent5 3 2 2 5" xfId="10113" xr:uid="{5203CC8A-F97B-4B2D-923C-5DCCC4526B4E}"/>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4F60E4EE-B1E6-4FFB-BECD-F892FC1A6965}"/>
    <cellStyle name="40% - Accent5 3 2 3 2 3" xfId="12671" xr:uid="{90B7F140-0399-4E21-AB9B-4BDC38B50CE0}"/>
    <cellStyle name="40% - Accent5 3 2 3 3" xfId="5417" xr:uid="{00000000-0005-0000-0000-00009B060000}"/>
    <cellStyle name="40% - Accent5 3 2 3 3 2" xfId="14743" xr:uid="{47882FE5-5345-48AC-921C-4BBCDF08B907}"/>
    <cellStyle name="40% - Accent5 3 2 3 4" xfId="10526" xr:uid="{8B2BF6A5-DCB5-47ED-9284-8C2E69E4E211}"/>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3D3A39E5-BDFA-4E58-8678-704905051937}"/>
    <cellStyle name="40% - Accent5 3 2 4 2 3" xfId="13084" xr:uid="{780BC7EC-1033-4FDD-A076-3651A0690481}"/>
    <cellStyle name="40% - Accent5 3 2 4 3" xfId="5830" xr:uid="{00000000-0005-0000-0000-00009F060000}"/>
    <cellStyle name="40% - Accent5 3 2 4 3 2" xfId="15156" xr:uid="{93C8BF66-3C4F-431B-9E68-19C31770B24A}"/>
    <cellStyle name="40% - Accent5 3 2 4 4" xfId="10939" xr:uid="{26FC77EB-A215-48E2-9F6E-973035C6F1C4}"/>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DDAB153A-D452-4E1F-A0BD-DFD7B213C477}"/>
    <cellStyle name="40% - Accent5 3 2 5 2 3" xfId="13497" xr:uid="{0AB5BF3D-CEC9-4074-986E-EFB8C9C9CA44}"/>
    <cellStyle name="40% - Accent5 3 2 5 3" xfId="6243" xr:uid="{00000000-0005-0000-0000-0000A3060000}"/>
    <cellStyle name="40% - Accent5 3 2 5 3 2" xfId="15569" xr:uid="{2200E5B4-B201-45F9-B440-EDA7630E4ECD}"/>
    <cellStyle name="40% - Accent5 3 2 5 4" xfId="11352" xr:uid="{38298520-6F71-4B7C-A182-837439D95326}"/>
    <cellStyle name="40% - Accent5 3 2 6" xfId="2350" xr:uid="{00000000-0005-0000-0000-0000A4060000}"/>
    <cellStyle name="40% - Accent5 3 2 6 2" xfId="6656" xr:uid="{00000000-0005-0000-0000-0000A5060000}"/>
    <cellStyle name="40% - Accent5 3 2 6 2 2" xfId="15982" xr:uid="{37A49714-5ECC-4B94-BE8B-F265A16D7B1B}"/>
    <cellStyle name="40% - Accent5 3 2 6 3" xfId="11765" xr:uid="{80AFBDBE-133E-4908-941D-B8A6CCF7C5C5}"/>
    <cellStyle name="40% - Accent5 3 2 7" xfId="4590" xr:uid="{00000000-0005-0000-0000-0000A6060000}"/>
    <cellStyle name="40% - Accent5 3 2 7 2" xfId="13916" xr:uid="{1A1A4DD4-E291-4DFF-A1A5-BC7AD07799D4}"/>
    <cellStyle name="40% - Accent5 3 2 8" xfId="9077" xr:uid="{8842DD15-54E4-487D-B492-3A505722387C}"/>
    <cellStyle name="40% - Accent5 3 2 8 2" xfId="18401" xr:uid="{5BDD82F8-30CA-4A13-9179-C7F60B38A15D}"/>
    <cellStyle name="40% - Accent5 3 2 9" xfId="9699" xr:uid="{3C396861-5200-443F-9820-5D133CF3FCA1}"/>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448939B1-F4BF-470D-A130-E734848B49EE}"/>
    <cellStyle name="40% - Accent5 3 3 2 3" xfId="12257" xr:uid="{830F3372-E75B-4000-88F6-FF1CA5FF2EC3}"/>
    <cellStyle name="40% - Accent5 3 3 3" xfId="5003" xr:uid="{00000000-0005-0000-0000-0000AA060000}"/>
    <cellStyle name="40% - Accent5 3 3 3 2" xfId="14329" xr:uid="{FB447FC7-D32B-4549-B09A-FC83FC17AC8C}"/>
    <cellStyle name="40% - Accent5 3 3 4" xfId="9295" xr:uid="{0D42C89E-252E-426A-8E1F-7D3AD6B9FE55}"/>
    <cellStyle name="40% - Accent5 3 3 4 2" xfId="18610" xr:uid="{C80D6154-EF17-4A59-8776-76A04DC47F42}"/>
    <cellStyle name="40% - Accent5 3 3 5" xfId="10112" xr:uid="{31CB1751-111C-4A7E-9450-ABF675BA4721}"/>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D1AD6465-FD0A-4548-98B5-F671DFFF1A9E}"/>
    <cellStyle name="40% - Accent5 3 4 2 3" xfId="12670" xr:uid="{4967EC0E-A7E9-4ECC-B164-7C50F8AC66BA}"/>
    <cellStyle name="40% - Accent5 3 4 3" xfId="5416" xr:uid="{00000000-0005-0000-0000-0000AE060000}"/>
    <cellStyle name="40% - Accent5 3 4 3 2" xfId="14742" xr:uid="{CB3A7252-CD35-4FAA-903D-D360A26C6350}"/>
    <cellStyle name="40% - Accent5 3 4 4" xfId="10525" xr:uid="{289B1A2E-4A92-4DD2-A0B1-E5070649433B}"/>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24DF3BF9-E1D3-43A7-88B7-84DF0DB58446}"/>
    <cellStyle name="40% - Accent5 3 5 2 3" xfId="13083" xr:uid="{8CB91C8D-7BDC-47BC-8454-0184D13AD809}"/>
    <cellStyle name="40% - Accent5 3 5 3" xfId="5829" xr:uid="{00000000-0005-0000-0000-0000B2060000}"/>
    <cellStyle name="40% - Accent5 3 5 3 2" xfId="15155" xr:uid="{6C6C62C6-73E4-4970-9ACD-BBCB332DA55C}"/>
    <cellStyle name="40% - Accent5 3 5 4" xfId="10938" xr:uid="{68C818BF-C673-4259-AECE-BBC236145E06}"/>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EE6A6A3D-CB70-4360-8EAA-317F3C6A93B3}"/>
    <cellStyle name="40% - Accent5 3 6 2 3" xfId="13496" xr:uid="{6295A1AE-A099-4211-A857-53DD941BD45A}"/>
    <cellStyle name="40% - Accent5 3 6 3" xfId="6242" xr:uid="{00000000-0005-0000-0000-0000B6060000}"/>
    <cellStyle name="40% - Accent5 3 6 3 2" xfId="15568" xr:uid="{EEA8A969-758C-44DB-A5EB-BBBCFE34E7EE}"/>
    <cellStyle name="40% - Accent5 3 6 4" xfId="11351" xr:uid="{490DF701-9C86-447C-8BA3-DCD46624B37D}"/>
    <cellStyle name="40% - Accent5 3 7" xfId="2349" xr:uid="{00000000-0005-0000-0000-0000B7060000}"/>
    <cellStyle name="40% - Accent5 3 7 2" xfId="6655" xr:uid="{00000000-0005-0000-0000-0000B8060000}"/>
    <cellStyle name="40% - Accent5 3 7 2 2" xfId="15981" xr:uid="{BBBABD9E-B361-45E2-B0E7-A006B0366863}"/>
    <cellStyle name="40% - Accent5 3 7 3" xfId="11764" xr:uid="{F51B8C28-B40B-4E0D-B9D9-3CCBF3A8DBD2}"/>
    <cellStyle name="40% - Accent5 3 8" xfId="4589" xr:uid="{00000000-0005-0000-0000-0000B9060000}"/>
    <cellStyle name="40% - Accent5 3 8 2" xfId="13915" xr:uid="{78314E76-F120-40BF-BDD7-527B0B3ED331}"/>
    <cellStyle name="40% - Accent5 3 9" xfId="8870" xr:uid="{F7DB5D96-1272-4D48-B3B6-48053CFCBA44}"/>
    <cellStyle name="40% - Accent5 3 9 2" xfId="18194" xr:uid="{192FA1EA-FDBE-47FF-BDA9-C1334D2BD688}"/>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994B94C3-FCAD-4260-8B78-933555ED448F}"/>
    <cellStyle name="40% - Accent5 4 2 2 3" xfId="12259" xr:uid="{12DD756C-4AE5-485B-A7B9-7F965B151289}"/>
    <cellStyle name="40% - Accent5 4 2 3" xfId="5005" xr:uid="{00000000-0005-0000-0000-0000BE060000}"/>
    <cellStyle name="40% - Accent5 4 2 3 2" xfId="14331" xr:uid="{5A4D0F52-54E1-4815-9176-C21BC37B4AD3}"/>
    <cellStyle name="40% - Accent5 4 2 4" xfId="9381" xr:uid="{6D86932C-AFC4-4FF0-967D-0F56E90E02E1}"/>
    <cellStyle name="40% - Accent5 4 2 4 2" xfId="18696" xr:uid="{13E5C3A4-B48C-4B55-B249-03C1358982CB}"/>
    <cellStyle name="40% - Accent5 4 2 5" xfId="10114" xr:uid="{EE89CDC2-471F-4378-AB52-6C99A0FE2EE7}"/>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B27FC8DA-E680-4090-8E1F-D8D085792355}"/>
    <cellStyle name="40% - Accent5 4 3 2 3" xfId="12672" xr:uid="{52EBC954-5947-406D-808C-A170634F1390}"/>
    <cellStyle name="40% - Accent5 4 3 3" xfId="5418" xr:uid="{00000000-0005-0000-0000-0000C2060000}"/>
    <cellStyle name="40% - Accent5 4 3 3 2" xfId="14744" xr:uid="{EE2C3563-342D-4B62-820F-4E54B9A15CA4}"/>
    <cellStyle name="40% - Accent5 4 3 4" xfId="10527" xr:uid="{170ABB94-4CD3-4EFB-9A47-8695A6838E33}"/>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A2A9E956-ECA3-4D92-BE0B-570C9D7660E0}"/>
    <cellStyle name="40% - Accent5 4 4 2 3" xfId="13085" xr:uid="{DBB0EEB5-5F42-42BB-AAAD-2466AF59A3A3}"/>
    <cellStyle name="40% - Accent5 4 4 3" xfId="5831" xr:uid="{00000000-0005-0000-0000-0000C6060000}"/>
    <cellStyle name="40% - Accent5 4 4 3 2" xfId="15157" xr:uid="{B15A97A1-5F37-4E2B-9B27-9502A51069DE}"/>
    <cellStyle name="40% - Accent5 4 4 4" xfId="10940" xr:uid="{14924F82-35D6-45E0-9B33-A2D530245C83}"/>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96D44584-A1E6-46AF-AC18-39162954CEDB}"/>
    <cellStyle name="40% - Accent5 4 5 2 3" xfId="13498" xr:uid="{AF64E76B-ABE4-4EFE-8234-1ED3F1B2F6C9}"/>
    <cellStyle name="40% - Accent5 4 5 3" xfId="6244" xr:uid="{00000000-0005-0000-0000-0000CA060000}"/>
    <cellStyle name="40% - Accent5 4 5 3 2" xfId="15570" xr:uid="{4E704212-81DD-4CDD-A387-7C756E90E60F}"/>
    <cellStyle name="40% - Accent5 4 5 4" xfId="11353" xr:uid="{32E79699-2C90-4DE6-9138-FEC3DC3CE778}"/>
    <cellStyle name="40% - Accent5 4 6" xfId="2351" xr:uid="{00000000-0005-0000-0000-0000CB060000}"/>
    <cellStyle name="40% - Accent5 4 6 2" xfId="6657" xr:uid="{00000000-0005-0000-0000-0000CC060000}"/>
    <cellStyle name="40% - Accent5 4 6 2 2" xfId="15983" xr:uid="{A85F8E3D-F9A4-42FE-B5DC-F419579944A9}"/>
    <cellStyle name="40% - Accent5 4 6 3" xfId="11766" xr:uid="{3D4EFE68-D801-4F1C-9FA2-A1D61D33C690}"/>
    <cellStyle name="40% - Accent5 4 7" xfId="4591" xr:uid="{00000000-0005-0000-0000-0000CD060000}"/>
    <cellStyle name="40% - Accent5 4 7 2" xfId="13917" xr:uid="{A94716CF-1295-40DB-ADD1-C6E3299625A1}"/>
    <cellStyle name="40% - Accent5 4 8" xfId="8956" xr:uid="{20EBAEFE-DF5E-4B38-878B-CDA5BD3DABC1}"/>
    <cellStyle name="40% - Accent5 4 8 2" xfId="18280" xr:uid="{8D62D528-214A-4D67-97DC-D0D4D520FDFF}"/>
    <cellStyle name="40% - Accent5 4 9" xfId="9700" xr:uid="{768E10C2-38D9-4E8E-B41C-CFA0521BF7E8}"/>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5CE06E84-E518-4982-B4F6-5B589E0BC8B3}"/>
    <cellStyle name="40% - Accent5 5 2 3" xfId="12252" xr:uid="{20C8F718-8E56-4ABB-9AF5-23CD0192DFC8}"/>
    <cellStyle name="40% - Accent5 5 3" xfId="4998" xr:uid="{00000000-0005-0000-0000-0000D1060000}"/>
    <cellStyle name="40% - Accent5 5 3 2" xfId="14324" xr:uid="{DE7AC806-763F-4F7B-A038-591624391A6F}"/>
    <cellStyle name="40% - Accent5 5 4" xfId="9189" xr:uid="{AE9A155E-B06B-4FF1-8984-8F7810581B15}"/>
    <cellStyle name="40% - Accent5 5 4 2" xfId="18507" xr:uid="{B9871510-F9D4-4457-B7B6-81FD5D20E221}"/>
    <cellStyle name="40% - Accent5 5 5" xfId="10107" xr:uid="{31A2DE5A-0BB0-4D4B-856A-42BDE3704248}"/>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42906BAA-FE91-4E15-8D8D-D2E71950BD5D}"/>
    <cellStyle name="40% - Accent5 6 2 3" xfId="12665" xr:uid="{92A0F4DD-906D-482C-A9EB-01C081600A30}"/>
    <cellStyle name="40% - Accent5 6 3" xfId="5411" xr:uid="{00000000-0005-0000-0000-0000D5060000}"/>
    <cellStyle name="40% - Accent5 6 3 2" xfId="14737" xr:uid="{34281C64-EE5D-4044-8650-1E3A2D3A253D}"/>
    <cellStyle name="40% - Accent5 6 4" xfId="10520" xr:uid="{CCA7C7B5-F061-40E3-A5F8-29517C1DD740}"/>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72E46D02-28EE-4FB7-986C-CFA370A257E7}"/>
    <cellStyle name="40% - Accent5 7 2 3" xfId="13078" xr:uid="{0EB79B54-1A94-469D-97D9-A67BAABDB938}"/>
    <cellStyle name="40% - Accent5 7 3" xfId="5824" xr:uid="{00000000-0005-0000-0000-0000D9060000}"/>
    <cellStyle name="40% - Accent5 7 3 2" xfId="15150" xr:uid="{D9129F67-BC27-404D-885E-08E6077CB35F}"/>
    <cellStyle name="40% - Accent5 7 4" xfId="10933" xr:uid="{210A373E-B807-4545-9C4A-8D43ED1D87B6}"/>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7D1F2411-A463-4C6D-AF74-70B0D07A3104}"/>
    <cellStyle name="40% - Accent5 8 2 3" xfId="13491" xr:uid="{ABA648DF-3591-464D-AD18-E44EA03D8DB3}"/>
    <cellStyle name="40% - Accent5 8 3" xfId="6237" xr:uid="{00000000-0005-0000-0000-0000DD060000}"/>
    <cellStyle name="40% - Accent5 8 3 2" xfId="15563" xr:uid="{CA84E687-E05F-41E7-92EF-97E1F90E0DAD}"/>
    <cellStyle name="40% - Accent5 8 4" xfId="11346" xr:uid="{B50B2871-459A-494D-90D0-79306D424F14}"/>
    <cellStyle name="40% - Accent5 9" xfId="2344" xr:uid="{00000000-0005-0000-0000-0000DE060000}"/>
    <cellStyle name="40% - Accent5 9 2" xfId="6650" xr:uid="{00000000-0005-0000-0000-0000DF060000}"/>
    <cellStyle name="40% - Accent5 9 2 2" xfId="15976" xr:uid="{88D740C2-D79E-46C8-8D48-E0A77D87CB65}"/>
    <cellStyle name="40% - Accent5 9 3" xfId="11759" xr:uid="{FB59EEAA-22D1-4873-90CB-4E2916ED4CA5}"/>
    <cellStyle name="40% - Accent6" xfId="89" builtinId="51" customBuiltin="1"/>
    <cellStyle name="40% - Accent6 10" xfId="4592" xr:uid="{00000000-0005-0000-0000-0000E1060000}"/>
    <cellStyle name="40% - Accent6 10 2" xfId="13918" xr:uid="{F82EF11B-BDB4-40AB-931E-DDAAFB7AAC33}"/>
    <cellStyle name="40% - Accent6 11" xfId="8769" xr:uid="{8369FE49-3815-490F-BF3A-3BEB88E35DFA}"/>
    <cellStyle name="40% - Accent6 11 2" xfId="18093" xr:uid="{7BD037E1-A2B0-4473-816B-36B4939E0601}"/>
    <cellStyle name="40% - Accent6 12" xfId="9701" xr:uid="{B291D7D2-CE5D-4536-8D2C-1173C597CDB9}"/>
    <cellStyle name="40% - Accent6 2" xfId="90" xr:uid="{00000000-0005-0000-0000-0000E2060000}"/>
    <cellStyle name="40% - Accent6 2 10" xfId="8803" xr:uid="{3530B69D-EB1D-41EA-A6FB-440FE4FE29AB}"/>
    <cellStyle name="40% - Accent6 2 10 2" xfId="18127" xr:uid="{314A2F65-D99D-483B-B29C-470EFAF27F9C}"/>
    <cellStyle name="40% - Accent6 2 11" xfId="9702" xr:uid="{5CAA9227-5A3E-4CB5-8BBD-3E71E8EB87BA}"/>
    <cellStyle name="40% - Accent6 2 2" xfId="91" xr:uid="{00000000-0005-0000-0000-0000E3060000}"/>
    <cellStyle name="40% - Accent6 2 2 10" xfId="9703" xr:uid="{47035442-9206-4B03-AEC6-314A16E2378F}"/>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FAF2038B-16F4-4399-8E04-3AD9FFAB56EA}"/>
    <cellStyle name="40% - Accent6 2 2 2 2 2 3" xfId="12263" xr:uid="{9A7D1DA9-CF53-4B2F-8818-3F6345E5C1DA}"/>
    <cellStyle name="40% - Accent6 2 2 2 2 3" xfId="5009" xr:uid="{00000000-0005-0000-0000-0000E8060000}"/>
    <cellStyle name="40% - Accent6 2 2 2 2 3 2" xfId="14335" xr:uid="{79122C81-BB28-4654-A305-606077B7C893}"/>
    <cellStyle name="40% - Accent6 2 2 2 2 4" xfId="9538" xr:uid="{D1801D0B-FDF1-4C59-8DE2-DEC53081BC5D}"/>
    <cellStyle name="40% - Accent6 2 2 2 2 4 2" xfId="18853" xr:uid="{ABAB787F-A91B-4E55-A222-B1AC7899CA2B}"/>
    <cellStyle name="40% - Accent6 2 2 2 2 5" xfId="10118" xr:uid="{30ED41BA-269C-4B21-8CFF-FD6902F1FE11}"/>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730402BE-08AE-4C23-B9BD-BB633DC0B380}"/>
    <cellStyle name="40% - Accent6 2 2 2 3 2 3" xfId="12676" xr:uid="{08D7671F-14E9-4A86-B5D2-F16156B0EC6F}"/>
    <cellStyle name="40% - Accent6 2 2 2 3 3" xfId="5422" xr:uid="{00000000-0005-0000-0000-0000EC060000}"/>
    <cellStyle name="40% - Accent6 2 2 2 3 3 2" xfId="14748" xr:uid="{DD01D822-9914-4294-B95A-C239ECE609F4}"/>
    <cellStyle name="40% - Accent6 2 2 2 3 4" xfId="10531" xr:uid="{5AE15E54-62D8-481F-8E21-F572A451D604}"/>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D4CE9F5B-817A-46B5-AF59-C203EEBEBCC0}"/>
    <cellStyle name="40% - Accent6 2 2 2 4 2 3" xfId="13089" xr:uid="{3DBF2DEB-A885-46F0-8366-6F415696DF01}"/>
    <cellStyle name="40% - Accent6 2 2 2 4 3" xfId="5835" xr:uid="{00000000-0005-0000-0000-0000F0060000}"/>
    <cellStyle name="40% - Accent6 2 2 2 4 3 2" xfId="15161" xr:uid="{3FDA54AB-6C8B-4244-948F-8A872948DD83}"/>
    <cellStyle name="40% - Accent6 2 2 2 4 4" xfId="10944" xr:uid="{3D32999E-0FAF-4F85-B87F-41E839DFEA8E}"/>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1E061209-87AC-4EDD-A425-9C7F1C11AFA7}"/>
    <cellStyle name="40% - Accent6 2 2 2 5 2 3" xfId="13502" xr:uid="{4E74C420-A1C4-4F04-B0E2-C2A26076FB0C}"/>
    <cellStyle name="40% - Accent6 2 2 2 5 3" xfId="6248" xr:uid="{00000000-0005-0000-0000-0000F4060000}"/>
    <cellStyle name="40% - Accent6 2 2 2 5 3 2" xfId="15574" xr:uid="{967B177F-54E1-48F5-95DB-CCD10F96424D}"/>
    <cellStyle name="40% - Accent6 2 2 2 5 4" xfId="11357" xr:uid="{63CCB2A8-B6D0-4E65-8AAC-19947F63DB82}"/>
    <cellStyle name="40% - Accent6 2 2 2 6" xfId="2355" xr:uid="{00000000-0005-0000-0000-0000F5060000}"/>
    <cellStyle name="40% - Accent6 2 2 2 6 2" xfId="6661" xr:uid="{00000000-0005-0000-0000-0000F6060000}"/>
    <cellStyle name="40% - Accent6 2 2 2 6 2 2" xfId="15987" xr:uid="{B72202CE-295D-4118-9443-79445883B195}"/>
    <cellStyle name="40% - Accent6 2 2 2 6 3" xfId="11770" xr:uid="{A74961D9-B1BB-466C-96AA-C0C7E63584D8}"/>
    <cellStyle name="40% - Accent6 2 2 2 7" xfId="4595" xr:uid="{00000000-0005-0000-0000-0000F7060000}"/>
    <cellStyle name="40% - Accent6 2 2 2 7 2" xfId="13921" xr:uid="{E5F677BD-12F6-41F5-9745-9A2EA4CCAAB0}"/>
    <cellStyle name="40% - Accent6 2 2 2 8" xfId="9113" xr:uid="{D9373B4A-E1DA-437A-874A-FCE4D00708EB}"/>
    <cellStyle name="40% - Accent6 2 2 2 8 2" xfId="18437" xr:uid="{6832C96A-5236-44BF-84F2-F0C77F62D412}"/>
    <cellStyle name="40% - Accent6 2 2 2 9" xfId="9704" xr:uid="{BE1FCD9D-60A6-440F-B58A-CE9631DB6753}"/>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CD788B4E-F21A-4F6F-B0E4-43DEA73F18D5}"/>
    <cellStyle name="40% - Accent6 2 2 3 2 3" xfId="12262" xr:uid="{885B68A0-F406-40F6-9251-E0F530DB56A7}"/>
    <cellStyle name="40% - Accent6 2 2 3 3" xfId="5008" xr:uid="{00000000-0005-0000-0000-0000FB060000}"/>
    <cellStyle name="40% - Accent6 2 2 3 3 2" xfId="14334" xr:uid="{DC2BFA4B-3988-4CEF-8020-D1FA1594C781}"/>
    <cellStyle name="40% - Accent6 2 2 3 4" xfId="9331" xr:uid="{223B62DA-AA8A-4703-B6D5-D6AA8918B034}"/>
    <cellStyle name="40% - Accent6 2 2 3 4 2" xfId="18646" xr:uid="{1684CEF8-69FC-42AE-970C-B9530456B6AB}"/>
    <cellStyle name="40% - Accent6 2 2 3 5" xfId="10117" xr:uid="{4AA8EA77-7099-4C3E-8832-B889DB29EE73}"/>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A9A1785C-7F55-45F9-98D5-A8F4F98F5420}"/>
    <cellStyle name="40% - Accent6 2 2 4 2 3" xfId="12675" xr:uid="{1099F9D3-506F-4CF5-9337-A37647A830AD}"/>
    <cellStyle name="40% - Accent6 2 2 4 3" xfId="5421" xr:uid="{00000000-0005-0000-0000-0000FF060000}"/>
    <cellStyle name="40% - Accent6 2 2 4 3 2" xfId="14747" xr:uid="{08D6EE64-F7A0-47D4-B8F5-58A9E67A3EDB}"/>
    <cellStyle name="40% - Accent6 2 2 4 4" xfId="10530" xr:uid="{828C348D-038F-4228-B3F3-DD6D5D2EEACC}"/>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2E1DD6CE-03EA-4B14-945E-DEFECDC78449}"/>
    <cellStyle name="40% - Accent6 2 2 5 2 3" xfId="13088" xr:uid="{D44D2FAE-16BE-4309-B308-8D12B9F4F8C1}"/>
    <cellStyle name="40% - Accent6 2 2 5 3" xfId="5834" xr:uid="{00000000-0005-0000-0000-000003070000}"/>
    <cellStyle name="40% - Accent6 2 2 5 3 2" xfId="15160" xr:uid="{958C7D7D-1C7E-4D99-A760-7A32680BC797}"/>
    <cellStyle name="40% - Accent6 2 2 5 4" xfId="10943" xr:uid="{7AEA924E-348F-4CD8-81A0-242DE2931135}"/>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ACA453A5-6E07-4748-9991-D7036AA08275}"/>
    <cellStyle name="40% - Accent6 2 2 6 2 3" xfId="13501" xr:uid="{FC922BE0-3B83-45EB-8944-77DDA00EE045}"/>
    <cellStyle name="40% - Accent6 2 2 6 3" xfId="6247" xr:uid="{00000000-0005-0000-0000-000007070000}"/>
    <cellStyle name="40% - Accent6 2 2 6 3 2" xfId="15573" xr:uid="{7B1DAF27-FE0C-49E9-90DF-3EE11AA6FA9F}"/>
    <cellStyle name="40% - Accent6 2 2 6 4" xfId="11356" xr:uid="{0412AA67-261B-4489-8798-5B00340E4D34}"/>
    <cellStyle name="40% - Accent6 2 2 7" xfId="2354" xr:uid="{00000000-0005-0000-0000-000008070000}"/>
    <cellStyle name="40% - Accent6 2 2 7 2" xfId="6660" xr:uid="{00000000-0005-0000-0000-000009070000}"/>
    <cellStyle name="40% - Accent6 2 2 7 2 2" xfId="15986" xr:uid="{97F7C5A0-B8B1-4086-B3B9-0500C445C5D4}"/>
    <cellStyle name="40% - Accent6 2 2 7 3" xfId="11769" xr:uid="{423F9C8E-D605-4B38-9DCB-DCAA7B4B2D30}"/>
    <cellStyle name="40% - Accent6 2 2 8" xfId="4594" xr:uid="{00000000-0005-0000-0000-00000A070000}"/>
    <cellStyle name="40% - Accent6 2 2 8 2" xfId="13920" xr:uid="{2B58EB1A-4EA4-4753-B450-017F92F15582}"/>
    <cellStyle name="40% - Accent6 2 2 9" xfId="8906" xr:uid="{C30FCA09-BA1A-4F54-9397-4FC676425C46}"/>
    <cellStyle name="40% - Accent6 2 2 9 2" xfId="18230" xr:uid="{8D78127C-DDA0-4261-87CE-5F988225858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61833DF9-C29E-4C08-84C5-C27DC2FD590D}"/>
    <cellStyle name="40% - Accent6 2 3 2 2 3" xfId="12264" xr:uid="{ACB3E16A-B283-4449-B541-9D44EE6F82BF}"/>
    <cellStyle name="40% - Accent6 2 3 2 3" xfId="5010" xr:uid="{00000000-0005-0000-0000-00000F070000}"/>
    <cellStyle name="40% - Accent6 2 3 2 3 2" xfId="14336" xr:uid="{6D0B0C09-4C07-4BDB-A7AF-37CA391F7A3F}"/>
    <cellStyle name="40% - Accent6 2 3 2 4" xfId="9435" xr:uid="{36535681-1736-4584-8CB6-F8F38C9E0E5B}"/>
    <cellStyle name="40% - Accent6 2 3 2 4 2" xfId="18750" xr:uid="{8ADC6FA9-59F1-4BCD-B1D0-23F87C5CD4A4}"/>
    <cellStyle name="40% - Accent6 2 3 2 5" xfId="10119" xr:uid="{FF1567A8-AAFD-4044-AA8F-6F5EC3FD4145}"/>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E4CA402C-BBAE-43C3-BE0F-49EDEAD76C47}"/>
    <cellStyle name="40% - Accent6 2 3 3 2 3" xfId="12677" xr:uid="{86526AEB-393E-43CC-AD4B-921C81DFCAE8}"/>
    <cellStyle name="40% - Accent6 2 3 3 3" xfId="5423" xr:uid="{00000000-0005-0000-0000-000013070000}"/>
    <cellStyle name="40% - Accent6 2 3 3 3 2" xfId="14749" xr:uid="{313A3409-DC61-4D52-8346-1183E644F029}"/>
    <cellStyle name="40% - Accent6 2 3 3 4" xfId="10532" xr:uid="{C93C853E-C554-40B2-9053-975934B81FDB}"/>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1E22C9C1-35F4-452B-B9B9-1BA05A054A32}"/>
    <cellStyle name="40% - Accent6 2 3 4 2 3" xfId="13090" xr:uid="{12F8774A-0C89-49F8-9890-F064440601B9}"/>
    <cellStyle name="40% - Accent6 2 3 4 3" xfId="5836" xr:uid="{00000000-0005-0000-0000-000017070000}"/>
    <cellStyle name="40% - Accent6 2 3 4 3 2" xfId="15162" xr:uid="{BBFC1DA0-BAAD-4DEB-9F26-0D0855F6EFBB}"/>
    <cellStyle name="40% - Accent6 2 3 4 4" xfId="10945" xr:uid="{DD09B9C5-7909-4C67-958B-C37863D2CC81}"/>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50DC60FF-2F28-4660-9EAF-A9B8BE8EF616}"/>
    <cellStyle name="40% - Accent6 2 3 5 2 3" xfId="13503" xr:uid="{6A5A0DBB-59BA-4220-BA4B-2C0269107DDF}"/>
    <cellStyle name="40% - Accent6 2 3 5 3" xfId="6249" xr:uid="{00000000-0005-0000-0000-00001B070000}"/>
    <cellStyle name="40% - Accent6 2 3 5 3 2" xfId="15575" xr:uid="{FFFAB34F-A40B-45A2-8B34-AF7576C85CED}"/>
    <cellStyle name="40% - Accent6 2 3 5 4" xfId="11358" xr:uid="{19F1CA21-6A57-4C97-B212-3C68616F5278}"/>
    <cellStyle name="40% - Accent6 2 3 6" xfId="2356" xr:uid="{00000000-0005-0000-0000-00001C070000}"/>
    <cellStyle name="40% - Accent6 2 3 6 2" xfId="6662" xr:uid="{00000000-0005-0000-0000-00001D070000}"/>
    <cellStyle name="40% - Accent6 2 3 6 2 2" xfId="15988" xr:uid="{66DC78FB-1A07-404F-950F-A8EFF969D900}"/>
    <cellStyle name="40% - Accent6 2 3 6 3" xfId="11771" xr:uid="{34AAEA04-DD5B-4286-82E5-2A9C9403BFC8}"/>
    <cellStyle name="40% - Accent6 2 3 7" xfId="4596" xr:uid="{00000000-0005-0000-0000-00001E070000}"/>
    <cellStyle name="40% - Accent6 2 3 7 2" xfId="13922" xr:uid="{B34D3506-3383-49F7-AD95-AFE60FBB8828}"/>
    <cellStyle name="40% - Accent6 2 3 8" xfId="9010" xr:uid="{63E1B5F8-FE5F-441F-B768-94B1D98CB2B1}"/>
    <cellStyle name="40% - Accent6 2 3 8 2" xfId="18334" xr:uid="{FFC1D9BB-9CE9-47DE-AC8D-9113B6F528DF}"/>
    <cellStyle name="40% - Accent6 2 3 9" xfId="9705" xr:uid="{F5E6E690-8230-448F-A484-4950BE35A006}"/>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A7564C4F-7585-43E7-BE39-DB7C0408A560}"/>
    <cellStyle name="40% - Accent6 2 4 2 3" xfId="12261" xr:uid="{452B570D-6778-492D-9615-4027049779FF}"/>
    <cellStyle name="40% - Accent6 2 4 3" xfId="5007" xr:uid="{00000000-0005-0000-0000-000022070000}"/>
    <cellStyle name="40% - Accent6 2 4 3 2" xfId="14333" xr:uid="{D8EAC57D-4060-43C7-956C-61262BC90B75}"/>
    <cellStyle name="40% - Accent6 2 4 4" xfId="9227" xr:uid="{61BC3AC1-FAE9-47DF-8143-7EECE05FF8D3}"/>
    <cellStyle name="40% - Accent6 2 4 4 2" xfId="18543" xr:uid="{38559E30-D4D7-4725-ADEC-2C1EDE69C086}"/>
    <cellStyle name="40% - Accent6 2 4 5" xfId="10116" xr:uid="{BDB06EAF-F7A5-442B-A7D3-5D26F3EA273F}"/>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1E4EECC4-1A8C-41DB-95AD-BE25B293124C}"/>
    <cellStyle name="40% - Accent6 2 5 2 3" xfId="12674" xr:uid="{801222CD-9A7E-41C0-B905-7EF27ADD7C7F}"/>
    <cellStyle name="40% - Accent6 2 5 3" xfId="5420" xr:uid="{00000000-0005-0000-0000-000026070000}"/>
    <cellStyle name="40% - Accent6 2 5 3 2" xfId="14746" xr:uid="{0AFBFE47-52C9-46C4-99E3-95CDC9361774}"/>
    <cellStyle name="40% - Accent6 2 5 4" xfId="10529" xr:uid="{D770A8A9-0E26-4BCA-8737-737BB9C0968F}"/>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B98FE772-440E-41FF-9033-0DC94BF9B803}"/>
    <cellStyle name="40% - Accent6 2 6 2 3" xfId="13087" xr:uid="{7F5A1311-4479-4240-8B84-D6DA7C901907}"/>
    <cellStyle name="40% - Accent6 2 6 3" xfId="5833" xr:uid="{00000000-0005-0000-0000-00002A070000}"/>
    <cellStyle name="40% - Accent6 2 6 3 2" xfId="15159" xr:uid="{7899D8AD-4700-4C7E-B01F-46C2F6CD7A8A}"/>
    <cellStyle name="40% - Accent6 2 6 4" xfId="10942" xr:uid="{DF849FC1-CD3A-4D38-ABF3-B3122225B9FB}"/>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35E364FF-EB50-48EC-AEDC-148EDC811B47}"/>
    <cellStyle name="40% - Accent6 2 7 2 3" xfId="13500" xr:uid="{B6595568-B031-44D5-A309-CB6C5B8319A3}"/>
    <cellStyle name="40% - Accent6 2 7 3" xfId="6246" xr:uid="{00000000-0005-0000-0000-00002E070000}"/>
    <cellStyle name="40% - Accent6 2 7 3 2" xfId="15572" xr:uid="{2F8E5EDD-E9D7-4799-B559-307C428D8690}"/>
    <cellStyle name="40% - Accent6 2 7 4" xfId="11355" xr:uid="{F2895CA2-61E5-40D2-B5A9-5162F47516FA}"/>
    <cellStyle name="40% - Accent6 2 8" xfId="2353" xr:uid="{00000000-0005-0000-0000-00002F070000}"/>
    <cellStyle name="40% - Accent6 2 8 2" xfId="6659" xr:uid="{00000000-0005-0000-0000-000030070000}"/>
    <cellStyle name="40% - Accent6 2 8 2 2" xfId="15985" xr:uid="{DD652666-B3EC-4FE5-9B7E-4513CCE38038}"/>
    <cellStyle name="40% - Accent6 2 8 3" xfId="11768" xr:uid="{17055194-415F-445E-A8EF-7BBF45A7EE50}"/>
    <cellStyle name="40% - Accent6 2 9" xfId="4593" xr:uid="{00000000-0005-0000-0000-000031070000}"/>
    <cellStyle name="40% - Accent6 2 9 2" xfId="13919" xr:uid="{6B80C170-E619-4B82-9A07-40F20000B59B}"/>
    <cellStyle name="40% - Accent6 3" xfId="94" xr:uid="{00000000-0005-0000-0000-000032070000}"/>
    <cellStyle name="40% - Accent6 3 10" xfId="9706" xr:uid="{BB93701F-0D67-49DA-9A7B-75AB860A6869}"/>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6364BE3E-AD76-4F11-93D7-6C0F3557DE19}"/>
    <cellStyle name="40% - Accent6 3 2 2 2 3" xfId="12266" xr:uid="{EEE84949-E17B-4601-8369-991BA95B2E48}"/>
    <cellStyle name="40% - Accent6 3 2 2 3" xfId="5012" xr:uid="{00000000-0005-0000-0000-000037070000}"/>
    <cellStyle name="40% - Accent6 3 2 2 3 2" xfId="14338" xr:uid="{9E3DA61F-9010-4F32-B10C-03EF69BA31E6}"/>
    <cellStyle name="40% - Accent6 3 2 2 4" xfId="9504" xr:uid="{23E46585-FD8F-4BA3-8B65-284D6884E4FD}"/>
    <cellStyle name="40% - Accent6 3 2 2 4 2" xfId="18819" xr:uid="{75FD0FA3-0E3D-432B-8689-4756A3101B2B}"/>
    <cellStyle name="40% - Accent6 3 2 2 5" xfId="10121" xr:uid="{A572DA72-5CDB-4E1E-AF2C-F2566AAB66D1}"/>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432AC5B6-770E-4B7A-805E-B8C2CAF5ACB1}"/>
    <cellStyle name="40% - Accent6 3 2 3 2 3" xfId="12679" xr:uid="{2F036215-762A-4218-868C-400E5249DA60}"/>
    <cellStyle name="40% - Accent6 3 2 3 3" xfId="5425" xr:uid="{00000000-0005-0000-0000-00003B070000}"/>
    <cellStyle name="40% - Accent6 3 2 3 3 2" xfId="14751" xr:uid="{F922B63D-5622-4E94-AFED-3ED6FB171FCD}"/>
    <cellStyle name="40% - Accent6 3 2 3 4" xfId="10534" xr:uid="{569009CA-AC44-4ACF-9442-E6F7A67745F0}"/>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32FC128E-521F-44F0-94DF-23B35A7B6CC9}"/>
    <cellStyle name="40% - Accent6 3 2 4 2 3" xfId="13092" xr:uid="{4C4B586C-B622-46E7-A6FE-BC635759B61B}"/>
    <cellStyle name="40% - Accent6 3 2 4 3" xfId="5838" xr:uid="{00000000-0005-0000-0000-00003F070000}"/>
    <cellStyle name="40% - Accent6 3 2 4 3 2" xfId="15164" xr:uid="{864303D6-0217-4938-828D-6661C8D33E03}"/>
    <cellStyle name="40% - Accent6 3 2 4 4" xfId="10947" xr:uid="{04B25948-53F6-44F2-AD75-4C15A47304BF}"/>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9227D6F9-F77C-4643-B9E4-752BB96929F8}"/>
    <cellStyle name="40% - Accent6 3 2 5 2 3" xfId="13505" xr:uid="{08D18795-3218-46DA-8DE6-D327FF7F9441}"/>
    <cellStyle name="40% - Accent6 3 2 5 3" xfId="6251" xr:uid="{00000000-0005-0000-0000-000043070000}"/>
    <cellStyle name="40% - Accent6 3 2 5 3 2" xfId="15577" xr:uid="{21A0A8FE-3FB4-4E17-9F1A-C5C4C6089A93}"/>
    <cellStyle name="40% - Accent6 3 2 5 4" xfId="11360" xr:uid="{088A0D62-4D19-442B-9FB9-DB9F7E663C14}"/>
    <cellStyle name="40% - Accent6 3 2 6" xfId="2358" xr:uid="{00000000-0005-0000-0000-000044070000}"/>
    <cellStyle name="40% - Accent6 3 2 6 2" xfId="6664" xr:uid="{00000000-0005-0000-0000-000045070000}"/>
    <cellStyle name="40% - Accent6 3 2 6 2 2" xfId="15990" xr:uid="{97D17E65-444A-437C-A411-4FE65577F13C}"/>
    <cellStyle name="40% - Accent6 3 2 6 3" xfId="11773" xr:uid="{95008AB3-794B-40C2-872C-788776E86739}"/>
    <cellStyle name="40% - Accent6 3 2 7" xfId="4598" xr:uid="{00000000-0005-0000-0000-000046070000}"/>
    <cellStyle name="40% - Accent6 3 2 7 2" xfId="13924" xr:uid="{0871B50F-55DF-48D4-8F42-BA173F5F4A55}"/>
    <cellStyle name="40% - Accent6 3 2 8" xfId="9079" xr:uid="{7FA93E2E-699F-4676-8533-A3CC5F80D807}"/>
    <cellStyle name="40% - Accent6 3 2 8 2" xfId="18403" xr:uid="{390F173B-6ACE-4327-B71A-572C4F87A1A4}"/>
    <cellStyle name="40% - Accent6 3 2 9" xfId="9707" xr:uid="{87AD5029-D285-4461-B0EC-EF0EFF14D101}"/>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B29D945A-D0F6-48DA-9E85-8D6C91C0A74C}"/>
    <cellStyle name="40% - Accent6 3 3 2 3" xfId="12265" xr:uid="{262BC2F5-4EA5-408B-8465-445AA92B83ED}"/>
    <cellStyle name="40% - Accent6 3 3 3" xfId="5011" xr:uid="{00000000-0005-0000-0000-00004A070000}"/>
    <cellStyle name="40% - Accent6 3 3 3 2" xfId="14337" xr:uid="{42A080F9-ED66-4D22-9AEE-D239CF2229A2}"/>
    <cellStyle name="40% - Accent6 3 3 4" xfId="9297" xr:uid="{1226E28F-09E7-4580-8D19-7F14AC1CB4B3}"/>
    <cellStyle name="40% - Accent6 3 3 4 2" xfId="18612" xr:uid="{38BBC6CF-1D98-4EFC-919D-1FCF11BB333F}"/>
    <cellStyle name="40% - Accent6 3 3 5" xfId="10120" xr:uid="{29CFBC80-0520-4A1B-8C00-BC4E8FC9079E}"/>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DFE0A9AF-A11C-4190-8AF4-C32BC7F48C2F}"/>
    <cellStyle name="40% - Accent6 3 4 2 3" xfId="12678" xr:uid="{0AADEA0F-54A0-497F-A9ED-04D0D4118F40}"/>
    <cellStyle name="40% - Accent6 3 4 3" xfId="5424" xr:uid="{00000000-0005-0000-0000-00004E070000}"/>
    <cellStyle name="40% - Accent6 3 4 3 2" xfId="14750" xr:uid="{65FC74F2-4B51-4526-83E5-ED287F6EAF5E}"/>
    <cellStyle name="40% - Accent6 3 4 4" xfId="10533" xr:uid="{382F2B62-6E07-42BF-A440-7C973200011D}"/>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18AF8334-35DC-48F8-BD46-60A1ADD63B91}"/>
    <cellStyle name="40% - Accent6 3 5 2 3" xfId="13091" xr:uid="{766BED00-E101-40FB-8BC7-882DE9ED7224}"/>
    <cellStyle name="40% - Accent6 3 5 3" xfId="5837" xr:uid="{00000000-0005-0000-0000-000052070000}"/>
    <cellStyle name="40% - Accent6 3 5 3 2" xfId="15163" xr:uid="{AED2FA99-5A41-4E8D-93A8-0D084741E14B}"/>
    <cellStyle name="40% - Accent6 3 5 4" xfId="10946" xr:uid="{C0DBAF6F-AB06-42F0-B805-CAF713389B02}"/>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FCCD5565-B92C-43F9-95C7-A1B95B6A2754}"/>
    <cellStyle name="40% - Accent6 3 6 2 3" xfId="13504" xr:uid="{779D9525-8EBD-4F5D-B606-8EEAF4228B5C}"/>
    <cellStyle name="40% - Accent6 3 6 3" xfId="6250" xr:uid="{00000000-0005-0000-0000-000056070000}"/>
    <cellStyle name="40% - Accent6 3 6 3 2" xfId="15576" xr:uid="{EF34F190-E5CB-42E1-8E8F-E0CE50CE12B7}"/>
    <cellStyle name="40% - Accent6 3 6 4" xfId="11359" xr:uid="{5E05CB49-E5B0-4A9F-9632-B1F762E0BCE6}"/>
    <cellStyle name="40% - Accent6 3 7" xfId="2357" xr:uid="{00000000-0005-0000-0000-000057070000}"/>
    <cellStyle name="40% - Accent6 3 7 2" xfId="6663" xr:uid="{00000000-0005-0000-0000-000058070000}"/>
    <cellStyle name="40% - Accent6 3 7 2 2" xfId="15989" xr:uid="{F222318C-6158-4007-9DEC-910D6BA2F254}"/>
    <cellStyle name="40% - Accent6 3 7 3" xfId="11772" xr:uid="{C233139B-3292-4A59-B462-5E1ED6ECE1A8}"/>
    <cellStyle name="40% - Accent6 3 8" xfId="4597" xr:uid="{00000000-0005-0000-0000-000059070000}"/>
    <cellStyle name="40% - Accent6 3 8 2" xfId="13923" xr:uid="{33794110-3B41-47F6-8203-838FE66FD312}"/>
    <cellStyle name="40% - Accent6 3 9" xfId="8872" xr:uid="{E018AF0F-504E-4DED-BF70-CC97997D74E9}"/>
    <cellStyle name="40% - Accent6 3 9 2" xfId="18196" xr:uid="{F6471F87-3C8D-41D5-8866-9F233422B66A}"/>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C1F3CA9A-D354-409A-9F05-21791E42D4CD}"/>
    <cellStyle name="40% - Accent6 4 2 2 3" xfId="12267" xr:uid="{8AFB6662-261A-4A9F-A7D2-92BD6B1D647E}"/>
    <cellStyle name="40% - Accent6 4 2 3" xfId="5013" xr:uid="{00000000-0005-0000-0000-00005E070000}"/>
    <cellStyle name="40% - Accent6 4 2 3 2" xfId="14339" xr:uid="{CF9794BD-6883-42E3-AC81-5A2A24CF5490}"/>
    <cellStyle name="40% - Accent6 4 2 4" xfId="9383" xr:uid="{07C7426F-B517-4815-A0BF-2BAE02B26B53}"/>
    <cellStyle name="40% - Accent6 4 2 4 2" xfId="18698" xr:uid="{B76A894E-29C8-4AA9-9233-16D7B0E8FBD0}"/>
    <cellStyle name="40% - Accent6 4 2 5" xfId="10122" xr:uid="{2118CE26-C2CD-421E-B2A5-9FE33DFE68BC}"/>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5B09214A-34B9-4E34-807A-54A00A7941A4}"/>
    <cellStyle name="40% - Accent6 4 3 2 3" xfId="12680" xr:uid="{BF31246C-E22F-4966-8DC5-D837251A4832}"/>
    <cellStyle name="40% - Accent6 4 3 3" xfId="5426" xr:uid="{00000000-0005-0000-0000-000062070000}"/>
    <cellStyle name="40% - Accent6 4 3 3 2" xfId="14752" xr:uid="{926225A7-82AC-4A5F-96DA-D3DF23CEDE65}"/>
    <cellStyle name="40% - Accent6 4 3 4" xfId="10535" xr:uid="{137F2EED-99B2-4E01-90F8-8D114E1FF9B7}"/>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E5732A4E-1FC1-4731-9DA7-86FD0489087D}"/>
    <cellStyle name="40% - Accent6 4 4 2 3" xfId="13093" xr:uid="{2975436A-9526-4E65-8324-D750C20FB2DA}"/>
    <cellStyle name="40% - Accent6 4 4 3" xfId="5839" xr:uid="{00000000-0005-0000-0000-000066070000}"/>
    <cellStyle name="40% - Accent6 4 4 3 2" xfId="15165" xr:uid="{8734FBDB-B113-4EC5-8754-9068475AE47D}"/>
    <cellStyle name="40% - Accent6 4 4 4" xfId="10948" xr:uid="{326BB27F-3D9B-4126-AF62-196B3BFC0125}"/>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02777068-4E8F-4A8C-A02E-5A53F7C70F17}"/>
    <cellStyle name="40% - Accent6 4 5 2 3" xfId="13506" xr:uid="{D1E8F746-496F-448B-9E91-8A0D6E50A137}"/>
    <cellStyle name="40% - Accent6 4 5 3" xfId="6252" xr:uid="{00000000-0005-0000-0000-00006A070000}"/>
    <cellStyle name="40% - Accent6 4 5 3 2" xfId="15578" xr:uid="{6A9FCF24-44FE-46FE-BC4E-FEFF6A5EF9BF}"/>
    <cellStyle name="40% - Accent6 4 5 4" xfId="11361" xr:uid="{737AF8AA-C678-4F23-B97F-FB3EF6FDBBF9}"/>
    <cellStyle name="40% - Accent6 4 6" xfId="2359" xr:uid="{00000000-0005-0000-0000-00006B070000}"/>
    <cellStyle name="40% - Accent6 4 6 2" xfId="6665" xr:uid="{00000000-0005-0000-0000-00006C070000}"/>
    <cellStyle name="40% - Accent6 4 6 2 2" xfId="15991" xr:uid="{33074887-97CA-4448-B6FD-8A157894E53E}"/>
    <cellStyle name="40% - Accent6 4 6 3" xfId="11774" xr:uid="{C570F8B0-709B-4EAD-864C-1D4479CE2236}"/>
    <cellStyle name="40% - Accent6 4 7" xfId="4599" xr:uid="{00000000-0005-0000-0000-00006D070000}"/>
    <cellStyle name="40% - Accent6 4 7 2" xfId="13925" xr:uid="{EE157678-065C-4BC0-A958-3165B08F1129}"/>
    <cellStyle name="40% - Accent6 4 8" xfId="8958" xr:uid="{058203D5-6D6D-4106-8D68-93F66B236239}"/>
    <cellStyle name="40% - Accent6 4 8 2" xfId="18282" xr:uid="{AF11E129-729D-49F7-9EA2-9484FCDF0A0A}"/>
    <cellStyle name="40% - Accent6 4 9" xfId="9708" xr:uid="{4221F433-0724-4516-B032-3532E6992DAD}"/>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2A2AA272-8434-495A-B0DE-A9BE1487A788}"/>
    <cellStyle name="40% - Accent6 5 2 3" xfId="12260" xr:uid="{B33074A1-AE50-48B4-A1F1-DC74B4570503}"/>
    <cellStyle name="40% - Accent6 5 3" xfId="5006" xr:uid="{00000000-0005-0000-0000-000071070000}"/>
    <cellStyle name="40% - Accent6 5 3 2" xfId="14332" xr:uid="{9916C09D-3DEE-43E0-81B1-2D2B732995D3}"/>
    <cellStyle name="40% - Accent6 5 4" xfId="9192" xr:uid="{19661A88-B46A-4EF9-A9F3-4BCF8E242108}"/>
    <cellStyle name="40% - Accent6 5 4 2" xfId="18509" xr:uid="{06D2EF0F-000D-4052-9A39-5A56663ADB98}"/>
    <cellStyle name="40% - Accent6 5 5" xfId="10115" xr:uid="{AD80C2A0-2F95-40D3-A136-7916C3657EFC}"/>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64CE25A7-1DA5-4117-8B30-EA194645A724}"/>
    <cellStyle name="40% - Accent6 6 2 3" xfId="12673" xr:uid="{45B91369-BBEF-4A48-9C6E-8E0F66B93FEF}"/>
    <cellStyle name="40% - Accent6 6 3" xfId="5419" xr:uid="{00000000-0005-0000-0000-000075070000}"/>
    <cellStyle name="40% - Accent6 6 3 2" xfId="14745" xr:uid="{C04A9333-9DF9-4D69-8F01-1702998009F1}"/>
    <cellStyle name="40% - Accent6 6 4" xfId="10528" xr:uid="{4C7090A6-6842-4A23-8260-EB272D9E6949}"/>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F05DFA95-0C46-4D09-AADE-8FDA264CE9CF}"/>
    <cellStyle name="40% - Accent6 7 2 3" xfId="13086" xr:uid="{B4E848BC-6687-4205-A2BF-F41FCA39022B}"/>
    <cellStyle name="40% - Accent6 7 3" xfId="5832" xr:uid="{00000000-0005-0000-0000-000079070000}"/>
    <cellStyle name="40% - Accent6 7 3 2" xfId="15158" xr:uid="{C4AB6BD3-A102-450C-813D-FBF1AECA24A9}"/>
    <cellStyle name="40% - Accent6 7 4" xfId="10941" xr:uid="{5F19CEA7-93F3-47BA-BD05-B2BE2EBF9909}"/>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A15D9603-44F5-4B1A-B51C-953C806D6A0D}"/>
    <cellStyle name="40% - Accent6 8 2 3" xfId="13499" xr:uid="{DB7E0EA2-26A4-4EB8-830C-D72FFA9AF286}"/>
    <cellStyle name="40% - Accent6 8 3" xfId="6245" xr:uid="{00000000-0005-0000-0000-00007D070000}"/>
    <cellStyle name="40% - Accent6 8 3 2" xfId="15571" xr:uid="{A8D33044-CCC6-40FC-8326-567BF6317F04}"/>
    <cellStyle name="40% - Accent6 8 4" xfId="11354" xr:uid="{34A00805-7200-488D-AEDC-E96977CAA285}"/>
    <cellStyle name="40% - Accent6 9" xfId="2352" xr:uid="{00000000-0005-0000-0000-00007E070000}"/>
    <cellStyle name="40% - Accent6 9 2" xfId="6658" xr:uid="{00000000-0005-0000-0000-00007F070000}"/>
    <cellStyle name="40% - Accent6 9 2 2" xfId="15984" xr:uid="{8525336A-DD4E-44A9-BC4D-016E2222E013}"/>
    <cellStyle name="40% - Accent6 9 3" xfId="11767" xr:uid="{554BEF29-911A-47ED-B3B0-01ECE4DCC745}"/>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F0468AC3-41BE-4DEF-AC54-665DFE73BB33}"/>
    <cellStyle name="Comma 4 2 2 2 10 3" xfId="12092" xr:uid="{4CB58C6A-75D4-4F12-BDF6-7A37DE0D41DE}"/>
    <cellStyle name="Comma 4 2 2 2 11" xfId="4600" xr:uid="{00000000-0005-0000-0000-0000A3070000}"/>
    <cellStyle name="Comma 4 2 2 2 11 2" xfId="13926" xr:uid="{DBFB0E7B-23EF-479B-A5B6-8739C28ED73A}"/>
    <cellStyle name="Comma 4 2 2 2 12" xfId="8806" xr:uid="{6C773D0B-D2E3-4A8C-B041-8DA2843B9E25}"/>
    <cellStyle name="Comma 4 2 2 2 12 2" xfId="18130" xr:uid="{C4F0D5C4-3BFF-4C96-872D-CAEE66F4167D}"/>
    <cellStyle name="Comma 4 2 2 2 13" xfId="9709" xr:uid="{672B9771-5498-4316-AF39-750778E06E57}"/>
    <cellStyle name="Comma 4 2 2 2 2" xfId="129" xr:uid="{00000000-0005-0000-0000-0000A4070000}"/>
    <cellStyle name="Comma 4 2 2 2 2 10" xfId="4601" xr:uid="{00000000-0005-0000-0000-0000A5070000}"/>
    <cellStyle name="Comma 4 2 2 2 2 10 2" xfId="13927" xr:uid="{3DB46020-DF40-4F61-B505-AC43E9AFF03B}"/>
    <cellStyle name="Comma 4 2 2 2 2 11" xfId="8909" xr:uid="{477FCE05-1F49-4658-A03C-A8A5E7983C47}"/>
    <cellStyle name="Comma 4 2 2 2 2 11 2" xfId="18233" xr:uid="{5DE2AB2A-4CAD-46A2-817E-CE1032764F7A}"/>
    <cellStyle name="Comma 4 2 2 2 2 12" xfId="9710" xr:uid="{BB18FD81-E91D-4A4B-A33B-E1D824231DDE}"/>
    <cellStyle name="Comma 4 2 2 2 2 2" xfId="130" xr:uid="{00000000-0005-0000-0000-0000A6070000}"/>
    <cellStyle name="Comma 4 2 2 2 2 2 10" xfId="9116" xr:uid="{7A07505D-6B4C-4086-90B5-B5D345FB7611}"/>
    <cellStyle name="Comma 4 2 2 2 2 2 10 2" xfId="18440" xr:uid="{9ACB0897-20BD-4BC3-971B-ACF7AEAD74C1}"/>
    <cellStyle name="Comma 4 2 2 2 2 2 11" xfId="9711" xr:uid="{475B854C-E2FE-4FE1-81C5-3E81F9A7B547}"/>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C7C511F8-6A88-4DBA-A962-FD4995FD2785}"/>
    <cellStyle name="Comma 4 2 2 2 2 2 2 2 3" xfId="12270" xr:uid="{FE941F58-9F18-42F4-A887-05396AA21935}"/>
    <cellStyle name="Comma 4 2 2 2 2 2 2 3" xfId="5016" xr:uid="{00000000-0005-0000-0000-0000AA070000}"/>
    <cellStyle name="Comma 4 2 2 2 2 2 2 3 2" xfId="14342" xr:uid="{0EFB16B7-609A-4ADA-90CE-C7357CA22480}"/>
    <cellStyle name="Comma 4 2 2 2 2 2 2 4" xfId="9541" xr:uid="{21DC771E-83A2-48BA-BE40-3E9E8454DE28}"/>
    <cellStyle name="Comma 4 2 2 2 2 2 2 4 2" xfId="18856" xr:uid="{C413DB1F-6D43-413D-B746-84F04D45B220}"/>
    <cellStyle name="Comma 4 2 2 2 2 2 2 5" xfId="10125" xr:uid="{415F4411-02B7-41F0-91BB-0690ECB39A3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C4041E31-BDBC-4C4D-8E07-D51EA91E2D62}"/>
    <cellStyle name="Comma 4 2 2 2 2 2 3 2 3" xfId="12683" xr:uid="{0B52FA5D-438B-45E0-8CB2-834D3755F3D6}"/>
    <cellStyle name="Comma 4 2 2 2 2 2 3 3" xfId="5429" xr:uid="{00000000-0005-0000-0000-0000AE070000}"/>
    <cellStyle name="Comma 4 2 2 2 2 2 3 3 2" xfId="14755" xr:uid="{074BBA76-37DB-4959-93AD-FDA3E9FC95E1}"/>
    <cellStyle name="Comma 4 2 2 2 2 2 3 4" xfId="10538" xr:uid="{95D295F8-84C8-461C-AD4A-682C62D05CD4}"/>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F455F972-39F3-41BB-A5E5-59154A3F65E4}"/>
    <cellStyle name="Comma 4 2 2 2 2 2 4 2 3" xfId="13096" xr:uid="{23ABC4B3-5F07-4DE3-ACA8-1E1CBB8C4A0A}"/>
    <cellStyle name="Comma 4 2 2 2 2 2 4 3" xfId="5842" xr:uid="{00000000-0005-0000-0000-0000B2070000}"/>
    <cellStyle name="Comma 4 2 2 2 2 2 4 3 2" xfId="15168" xr:uid="{85C5E16A-1B21-49AA-A0E2-2978949A0687}"/>
    <cellStyle name="Comma 4 2 2 2 2 2 4 4" xfId="10951" xr:uid="{78557A11-2C5C-4644-9944-AD5E6A421FA6}"/>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CAAD08FD-0863-4514-A350-3F55818E9642}"/>
    <cellStyle name="Comma 4 2 2 2 2 2 5 2 3" xfId="13509" xr:uid="{77774711-B8B0-4670-A3A2-6BD11604D94B}"/>
    <cellStyle name="Comma 4 2 2 2 2 2 5 3" xfId="6255" xr:uid="{00000000-0005-0000-0000-0000B6070000}"/>
    <cellStyle name="Comma 4 2 2 2 2 2 5 3 2" xfId="15581" xr:uid="{088D2F18-1929-4618-91B2-7A7DD87C8B35}"/>
    <cellStyle name="Comma 4 2 2 2 2 2 5 4" xfId="11364" xr:uid="{D399022D-BB47-48AE-98B9-038F18792C31}"/>
    <cellStyle name="Comma 4 2 2 2 2 2 6" xfId="2384" xr:uid="{00000000-0005-0000-0000-0000B7070000}"/>
    <cellStyle name="Comma 4 2 2 2 2 2 6 2" xfId="6668" xr:uid="{00000000-0005-0000-0000-0000B8070000}"/>
    <cellStyle name="Comma 4 2 2 2 2 2 6 2 2" xfId="15994" xr:uid="{DFCDAB2C-E9E2-493E-B8D8-B2A98E8EEA7D}"/>
    <cellStyle name="Comma 4 2 2 2 2 2 6 3" xfId="11777" xr:uid="{D458FA47-1653-4FB8-ABE5-EF5FA2DBB81A}"/>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C7041C04-F353-4030-8A26-7D275DF7B1DA}"/>
    <cellStyle name="Comma 4 2 2 2 2 2 8 3" xfId="12094" xr:uid="{0D4E346A-3216-49CB-B19D-6D9542555AB3}"/>
    <cellStyle name="Comma 4 2 2 2 2 2 9" xfId="4602" xr:uid="{00000000-0005-0000-0000-0000BC070000}"/>
    <cellStyle name="Comma 4 2 2 2 2 2 9 2" xfId="13928" xr:uid="{103D10C2-3B6E-40F1-909B-C3DA9AF2B416}"/>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D520A26A-D221-4489-B74C-DABDEF46F01B}"/>
    <cellStyle name="Comma 4 2 2 2 2 3 2 3" xfId="12269" xr:uid="{07427F67-94BC-4D40-82B9-BD85848C6A32}"/>
    <cellStyle name="Comma 4 2 2 2 2 3 3" xfId="5015" xr:uid="{00000000-0005-0000-0000-0000C0070000}"/>
    <cellStyle name="Comma 4 2 2 2 2 3 3 2" xfId="14341" xr:uid="{1915396C-2C03-4ADC-A8C4-A47BB1251EA8}"/>
    <cellStyle name="Comma 4 2 2 2 2 3 4" xfId="9334" xr:uid="{50E8807F-6450-4082-BD30-0A86C2E78D0E}"/>
    <cellStyle name="Comma 4 2 2 2 2 3 4 2" xfId="18649" xr:uid="{5C7EC971-1AA9-4BC2-AE17-02F726E9A1DF}"/>
    <cellStyle name="Comma 4 2 2 2 2 3 5" xfId="10124" xr:uid="{C83029D1-4CD6-46F7-B178-F38D574575F9}"/>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B39A27D4-3358-4C21-B86C-9A287F4DD9AB}"/>
    <cellStyle name="Comma 4 2 2 2 2 4 2 3" xfId="12682" xr:uid="{9C847349-141F-4B44-8C2D-A865E3ED368D}"/>
    <cellStyle name="Comma 4 2 2 2 2 4 3" xfId="5428" xr:uid="{00000000-0005-0000-0000-0000C4070000}"/>
    <cellStyle name="Comma 4 2 2 2 2 4 3 2" xfId="14754" xr:uid="{96629647-578E-4084-BB90-0731EFDECBE5}"/>
    <cellStyle name="Comma 4 2 2 2 2 4 4" xfId="10537" xr:uid="{D000845F-3946-4C0F-AB4D-7EA28119D291}"/>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EFBE15B6-AD7D-4BF3-80F8-602C495CFFEE}"/>
    <cellStyle name="Comma 4 2 2 2 2 5 2 3" xfId="13095" xr:uid="{057B3C38-BC79-4EF9-B4C9-1E9B654D6430}"/>
    <cellStyle name="Comma 4 2 2 2 2 5 3" xfId="5841" xr:uid="{00000000-0005-0000-0000-0000C8070000}"/>
    <cellStyle name="Comma 4 2 2 2 2 5 3 2" xfId="15167" xr:uid="{0CD35DEE-39E1-4E78-A77F-3F605CA809B8}"/>
    <cellStyle name="Comma 4 2 2 2 2 5 4" xfId="10950" xr:uid="{89136F90-1E6E-4654-9992-2477C0972694}"/>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9CB2FEE9-171C-49DA-904A-DA44A00F959B}"/>
    <cellStyle name="Comma 4 2 2 2 2 6 2 3" xfId="13508" xr:uid="{69EB0ADC-D7FF-497F-8ABD-D8ABD1F3CCC7}"/>
    <cellStyle name="Comma 4 2 2 2 2 6 3" xfId="6254" xr:uid="{00000000-0005-0000-0000-0000CC070000}"/>
    <cellStyle name="Comma 4 2 2 2 2 6 3 2" xfId="15580" xr:uid="{50286879-AEEE-4BB2-BA4B-AC595E610BE5}"/>
    <cellStyle name="Comma 4 2 2 2 2 6 4" xfId="11363" xr:uid="{F0FF03D4-E32A-423C-A1E2-FCA30431FDE2}"/>
    <cellStyle name="Comma 4 2 2 2 2 7" xfId="2383" xr:uid="{00000000-0005-0000-0000-0000CD070000}"/>
    <cellStyle name="Comma 4 2 2 2 2 7 2" xfId="6667" xr:uid="{00000000-0005-0000-0000-0000CE070000}"/>
    <cellStyle name="Comma 4 2 2 2 2 7 2 2" xfId="15993" xr:uid="{0C20189B-5528-4058-BAD9-39152D16AB64}"/>
    <cellStyle name="Comma 4 2 2 2 2 7 3" xfId="11776" xr:uid="{2CB7734F-6152-440E-8ACF-F52EF1182126}"/>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222EBC93-FD89-49BA-9340-96D77536B2A8}"/>
    <cellStyle name="Comma 4 2 2 2 2 9 3" xfId="12093" xr:uid="{D6C2D13A-E1D6-4953-86BA-A38FBF7B9B53}"/>
    <cellStyle name="Comma 4 2 2 2 3" xfId="131" xr:uid="{00000000-0005-0000-0000-0000D2070000}"/>
    <cellStyle name="Comma 4 2 2 2 3 10" xfId="9013" xr:uid="{D7491CA1-A7A0-4099-A659-9FB418CDDACA}"/>
    <cellStyle name="Comma 4 2 2 2 3 10 2" xfId="18337" xr:uid="{71FF85E0-E6C8-49EF-9C50-47B7A2EBE482}"/>
    <cellStyle name="Comma 4 2 2 2 3 11" xfId="9712" xr:uid="{FDEC0234-38AA-40BD-AE3E-DFB60CDD7FCD}"/>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6526424F-CC1B-422A-B68F-4FEA379F98C7}"/>
    <cellStyle name="Comma 4 2 2 2 3 2 2 3" xfId="12271" xr:uid="{3F164693-FE98-44CD-B992-A3B2B194D090}"/>
    <cellStyle name="Comma 4 2 2 2 3 2 3" xfId="5017" xr:uid="{00000000-0005-0000-0000-0000D6070000}"/>
    <cellStyle name="Comma 4 2 2 2 3 2 3 2" xfId="14343" xr:uid="{B1C6B359-4E13-4B1E-89ED-A3B909CCB5A3}"/>
    <cellStyle name="Comma 4 2 2 2 3 2 4" xfId="9438" xr:uid="{8E9C4341-814A-43D1-8D35-8CCC512A2E32}"/>
    <cellStyle name="Comma 4 2 2 2 3 2 4 2" xfId="18753" xr:uid="{B6578185-42CA-43F9-A643-0640B0A156C0}"/>
    <cellStyle name="Comma 4 2 2 2 3 2 5" xfId="10126" xr:uid="{ECD5DD1C-AC74-4623-A246-FBBDE426BA3B}"/>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05319D99-1226-4C69-B56A-A56678D23A14}"/>
    <cellStyle name="Comma 4 2 2 2 3 3 2 3" xfId="12684" xr:uid="{66942016-382C-4B97-BE3F-746791F0DD58}"/>
    <cellStyle name="Comma 4 2 2 2 3 3 3" xfId="5430" xr:uid="{00000000-0005-0000-0000-0000DA070000}"/>
    <cellStyle name="Comma 4 2 2 2 3 3 3 2" xfId="14756" xr:uid="{55E499F5-8640-4FE5-A0B4-05F04FFB3D10}"/>
    <cellStyle name="Comma 4 2 2 2 3 3 4" xfId="10539" xr:uid="{EE7EFD9F-96FE-4F46-9959-EC91371AF3AF}"/>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18E43BE2-039A-4884-9203-4A37959F9BE4}"/>
    <cellStyle name="Comma 4 2 2 2 3 4 2 3" xfId="13097" xr:uid="{CB93B7F1-A081-4996-B62E-03D12F65B1E9}"/>
    <cellStyle name="Comma 4 2 2 2 3 4 3" xfId="5843" xr:uid="{00000000-0005-0000-0000-0000DE070000}"/>
    <cellStyle name="Comma 4 2 2 2 3 4 3 2" xfId="15169" xr:uid="{7A2924DF-0CFF-42DD-B517-F56D729D44CC}"/>
    <cellStyle name="Comma 4 2 2 2 3 4 4" xfId="10952" xr:uid="{521B2AE2-C0CB-420F-8C24-4BCF3B8BE49B}"/>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BD0AC0D2-4580-4547-8FD5-AF69470E3E1F}"/>
    <cellStyle name="Comma 4 2 2 2 3 5 2 3" xfId="13510" xr:uid="{FCDAA0A4-E30B-426E-A5FC-5705B1E03B71}"/>
    <cellStyle name="Comma 4 2 2 2 3 5 3" xfId="6256" xr:uid="{00000000-0005-0000-0000-0000E2070000}"/>
    <cellStyle name="Comma 4 2 2 2 3 5 3 2" xfId="15582" xr:uid="{927EBFC3-F323-4755-A9F7-24169B0697A8}"/>
    <cellStyle name="Comma 4 2 2 2 3 5 4" xfId="11365" xr:uid="{7CC5295E-41EC-4AB8-9C65-CD10A0CC43B1}"/>
    <cellStyle name="Comma 4 2 2 2 3 6" xfId="2385" xr:uid="{00000000-0005-0000-0000-0000E3070000}"/>
    <cellStyle name="Comma 4 2 2 2 3 6 2" xfId="6669" xr:uid="{00000000-0005-0000-0000-0000E4070000}"/>
    <cellStyle name="Comma 4 2 2 2 3 6 2 2" xfId="15995" xr:uid="{E153C980-BCC1-4CA5-AD25-C774CB84073D}"/>
    <cellStyle name="Comma 4 2 2 2 3 6 3" xfId="11778" xr:uid="{A3F0A200-2E65-4068-87E9-FFD52B7B1D22}"/>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12C09A2D-7FE6-4CC2-B78E-3349ABD49F66}"/>
    <cellStyle name="Comma 4 2 2 2 3 8 3" xfId="12095" xr:uid="{A7BC4AD8-2269-476B-8316-ADA4B98974C3}"/>
    <cellStyle name="Comma 4 2 2 2 3 9" xfId="4603" xr:uid="{00000000-0005-0000-0000-0000E8070000}"/>
    <cellStyle name="Comma 4 2 2 2 3 9 2" xfId="13929" xr:uid="{9FE32471-E0C6-4BEB-981B-0D43079D6911}"/>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DED0E12C-3758-489B-8DF0-4DC6DF50F391}"/>
    <cellStyle name="Comma 4 2 2 2 4 2 3" xfId="12268" xr:uid="{FE44516A-44A1-4A34-8D31-39A14C406A71}"/>
    <cellStyle name="Comma 4 2 2 2 4 3" xfId="5014" xr:uid="{00000000-0005-0000-0000-0000EC070000}"/>
    <cellStyle name="Comma 4 2 2 2 4 3 2" xfId="14340" xr:uid="{54B9ECF5-3EFF-4CFB-BF55-F75C657C7EAF}"/>
    <cellStyle name="Comma 4 2 2 2 4 4" xfId="9231" xr:uid="{31DAC97A-9492-467B-9850-183797A56FBE}"/>
    <cellStyle name="Comma 4 2 2 2 4 4 2" xfId="18546" xr:uid="{78D4C9CC-076A-42A8-BC31-B92C1F34A263}"/>
    <cellStyle name="Comma 4 2 2 2 4 5" xfId="10123" xr:uid="{5B65A892-6384-4CB3-8D2E-E975B920EAB4}"/>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AA420453-863F-42FB-964A-E6E38AA25626}"/>
    <cellStyle name="Comma 4 2 2 2 5 2 3" xfId="12681" xr:uid="{9464467F-4C04-46AB-B7B9-412A09369817}"/>
    <cellStyle name="Comma 4 2 2 2 5 3" xfId="5427" xr:uid="{00000000-0005-0000-0000-0000F0070000}"/>
    <cellStyle name="Comma 4 2 2 2 5 3 2" xfId="14753" xr:uid="{26CD2BCE-254E-4F78-BE8D-F85933524C78}"/>
    <cellStyle name="Comma 4 2 2 2 5 4" xfId="10536" xr:uid="{FDA2C973-4DE9-4146-828D-98EFCCA2A143}"/>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8B3DF7D4-D6D0-4A10-9050-2E88EBAC0110}"/>
    <cellStyle name="Comma 4 2 2 2 6 2 3" xfId="13094" xr:uid="{82048061-75CA-4040-8E26-25A049CEC7E7}"/>
    <cellStyle name="Comma 4 2 2 2 6 3" xfId="5840" xr:uid="{00000000-0005-0000-0000-0000F4070000}"/>
    <cellStyle name="Comma 4 2 2 2 6 3 2" xfId="15166" xr:uid="{C1FCB575-33FC-4338-A890-73FBA1962429}"/>
    <cellStyle name="Comma 4 2 2 2 6 4" xfId="10949" xr:uid="{DD5496B3-25C2-4CEC-9485-D9FCAF24ED90}"/>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025749A1-8BC8-40AE-97DD-0FAD0834D92C}"/>
    <cellStyle name="Comma 4 2 2 2 7 2 3" xfId="13507" xr:uid="{68EDACD5-C81E-443C-90DC-043CCDF885AC}"/>
    <cellStyle name="Comma 4 2 2 2 7 3" xfId="6253" xr:uid="{00000000-0005-0000-0000-0000F8070000}"/>
    <cellStyle name="Comma 4 2 2 2 7 3 2" xfId="15579" xr:uid="{88D56029-0C4B-4BF1-9D0B-20D6D6E1BD24}"/>
    <cellStyle name="Comma 4 2 2 2 7 4" xfId="11362" xr:uid="{3CB5A230-DDDE-4192-82B4-D8334C8AD00B}"/>
    <cellStyle name="Comma 4 2 2 2 8" xfId="2382" xr:uid="{00000000-0005-0000-0000-0000F9070000}"/>
    <cellStyle name="Comma 4 2 2 2 8 2" xfId="6666" xr:uid="{00000000-0005-0000-0000-0000FA070000}"/>
    <cellStyle name="Comma 4 2 2 2 8 2 2" xfId="15992" xr:uid="{6DD417C9-BCFF-4DB5-9388-579404B77F87}"/>
    <cellStyle name="Comma 4 2 2 2 8 3" xfId="11775" xr:uid="{E0F8D9CC-48CD-47F3-A930-4525229E5A76}"/>
    <cellStyle name="Comma 4 2 2 2 9" xfId="2381" xr:uid="{00000000-0005-0000-0000-0000FB070000}"/>
    <cellStyle name="Comma 4 2 2 3" xfId="132" xr:uid="{00000000-0005-0000-0000-0000FC070000}"/>
    <cellStyle name="Comma 4 2 2 3 10" xfId="4604" xr:uid="{00000000-0005-0000-0000-0000FD070000}"/>
    <cellStyle name="Comma 4 2 2 3 10 2" xfId="13930" xr:uid="{F0E97D07-BAE9-4B92-80EB-76899ED2C41D}"/>
    <cellStyle name="Comma 4 2 2 3 11" xfId="8889" xr:uid="{93813409-C042-4436-8561-B0237A135E7D}"/>
    <cellStyle name="Comma 4 2 2 3 11 2" xfId="18213" xr:uid="{375245A1-5474-4FA5-9A51-C14320F7EA44}"/>
    <cellStyle name="Comma 4 2 2 3 12" xfId="9713" xr:uid="{D98D77E8-9494-4A92-9316-CC2F1C6BB6E6}"/>
    <cellStyle name="Comma 4 2 2 3 2" xfId="133" xr:uid="{00000000-0005-0000-0000-0000FE070000}"/>
    <cellStyle name="Comma 4 2 2 3 2 10" xfId="9096" xr:uid="{C395B6CC-7E3E-452B-B5AB-BBF992A45CEB}"/>
    <cellStyle name="Comma 4 2 2 3 2 10 2" xfId="18420" xr:uid="{4644A92E-D2B9-4FE6-B972-8B40BA734F48}"/>
    <cellStyle name="Comma 4 2 2 3 2 11" xfId="9714" xr:uid="{988ABD0A-A6AF-45D5-87F8-84B030D4B54A}"/>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09225CAF-9575-4276-96E3-172D02049C0B}"/>
    <cellStyle name="Comma 4 2 2 3 2 2 2 3" xfId="12273" xr:uid="{4A5A7C8A-A9E3-4615-881F-45245AA388BC}"/>
    <cellStyle name="Comma 4 2 2 3 2 2 3" xfId="5019" xr:uid="{00000000-0005-0000-0000-000002080000}"/>
    <cellStyle name="Comma 4 2 2 3 2 2 3 2" xfId="14345" xr:uid="{8730F2BD-D856-4D89-AA32-25D6B0C9D52D}"/>
    <cellStyle name="Comma 4 2 2 3 2 2 4" xfId="9521" xr:uid="{8F14F654-C711-4E70-8A06-71F68E70E2E0}"/>
    <cellStyle name="Comma 4 2 2 3 2 2 4 2" xfId="18836" xr:uid="{8F084705-1182-4FAC-9844-3FB42D1EDEB6}"/>
    <cellStyle name="Comma 4 2 2 3 2 2 5" xfId="10128" xr:uid="{942049BF-25B9-4AAF-A158-F9E72D4363B1}"/>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056AD451-D05A-4F2B-A6C8-6C1F48E808E6}"/>
    <cellStyle name="Comma 4 2 2 3 2 3 2 3" xfId="12686" xr:uid="{E6349941-848D-453C-8447-176D98601203}"/>
    <cellStyle name="Comma 4 2 2 3 2 3 3" xfId="5432" xr:uid="{00000000-0005-0000-0000-000006080000}"/>
    <cellStyle name="Comma 4 2 2 3 2 3 3 2" xfId="14758" xr:uid="{8A52038C-17F8-4F0A-80DE-FE3D98150CB1}"/>
    <cellStyle name="Comma 4 2 2 3 2 3 4" xfId="10541" xr:uid="{B07BF947-CE26-4C1C-A5B1-EB0AE1B38C95}"/>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264ACAF1-4CF2-4DB1-9C22-BF63CD4FD7D9}"/>
    <cellStyle name="Comma 4 2 2 3 2 4 2 3" xfId="13099" xr:uid="{4471CFAF-7467-4EAF-8C9C-6815DAFFDC8C}"/>
    <cellStyle name="Comma 4 2 2 3 2 4 3" xfId="5845" xr:uid="{00000000-0005-0000-0000-00000A080000}"/>
    <cellStyle name="Comma 4 2 2 3 2 4 3 2" xfId="15171" xr:uid="{011C0AFC-484C-436E-971F-85BFA09FC794}"/>
    <cellStyle name="Comma 4 2 2 3 2 4 4" xfId="10954" xr:uid="{47E4E8F1-C30E-47DF-89E7-AF65195966A5}"/>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083128ED-1455-4E53-81B7-EA84BB95DFDF}"/>
    <cellStyle name="Comma 4 2 2 3 2 5 2 3" xfId="13512" xr:uid="{09E4A36C-5D84-4478-90D0-ACA2DEC19830}"/>
    <cellStyle name="Comma 4 2 2 3 2 5 3" xfId="6258" xr:uid="{00000000-0005-0000-0000-00000E080000}"/>
    <cellStyle name="Comma 4 2 2 3 2 5 3 2" xfId="15584" xr:uid="{ABE707DE-C02F-49F0-9B30-0F75FAEA28C1}"/>
    <cellStyle name="Comma 4 2 2 3 2 5 4" xfId="11367" xr:uid="{ED82DE65-4F35-44E9-BEC9-404CA820A18F}"/>
    <cellStyle name="Comma 4 2 2 3 2 6" xfId="2387" xr:uid="{00000000-0005-0000-0000-00000F080000}"/>
    <cellStyle name="Comma 4 2 2 3 2 6 2" xfId="6671" xr:uid="{00000000-0005-0000-0000-000010080000}"/>
    <cellStyle name="Comma 4 2 2 3 2 6 2 2" xfId="15997" xr:uid="{37A814B1-B34A-41E5-89C4-20BF64C5FE12}"/>
    <cellStyle name="Comma 4 2 2 3 2 6 3" xfId="11780" xr:uid="{3F6F9DFF-F3B1-4D67-A853-80B876F1A053}"/>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37340D50-BFBF-4E6D-976F-B321EEA5D160}"/>
    <cellStyle name="Comma 4 2 2 3 2 8 3" xfId="12097" xr:uid="{0EB3D90A-5A5F-43D1-BBDE-E3EC12E8D35F}"/>
    <cellStyle name="Comma 4 2 2 3 2 9" xfId="4605" xr:uid="{00000000-0005-0000-0000-000014080000}"/>
    <cellStyle name="Comma 4 2 2 3 2 9 2" xfId="13931" xr:uid="{CD5C6434-55F4-4107-93B3-B4AF743ED926}"/>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35E1D46C-CD91-473E-B329-E5BBAF739814}"/>
    <cellStyle name="Comma 4 2 2 3 3 2 3" xfId="12272" xr:uid="{36A73092-57CE-473D-AF24-FFD781711F12}"/>
    <cellStyle name="Comma 4 2 2 3 3 3" xfId="5018" xr:uid="{00000000-0005-0000-0000-000018080000}"/>
    <cellStyle name="Comma 4 2 2 3 3 3 2" xfId="14344" xr:uid="{C58221C4-97AC-4FB6-8218-986F1E630848}"/>
    <cellStyle name="Comma 4 2 2 3 3 4" xfId="9314" xr:uid="{A74197AE-1229-40FC-8212-8FB289D74FF6}"/>
    <cellStyle name="Comma 4 2 2 3 3 4 2" xfId="18629" xr:uid="{B1692C44-0524-475A-83BC-B7DF1633B72F}"/>
    <cellStyle name="Comma 4 2 2 3 3 5" xfId="10127" xr:uid="{5B91F3FF-4D39-45ED-9755-EC3DFBA872C0}"/>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7068DB27-BDA3-4F61-A971-092CC1AE27BF}"/>
    <cellStyle name="Comma 4 2 2 3 4 2 3" xfId="12685" xr:uid="{8953B23E-CF2A-4332-80D5-2E7C3284C033}"/>
    <cellStyle name="Comma 4 2 2 3 4 3" xfId="5431" xr:uid="{00000000-0005-0000-0000-00001C080000}"/>
    <cellStyle name="Comma 4 2 2 3 4 3 2" xfId="14757" xr:uid="{BE71EEF3-7119-43C9-A0FB-675C2376E74D}"/>
    <cellStyle name="Comma 4 2 2 3 4 4" xfId="10540" xr:uid="{99465152-47D7-4BD5-9EA7-1C8A6B4EC74E}"/>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A2631CE6-831C-4B7C-8869-E4BDE097ED0C}"/>
    <cellStyle name="Comma 4 2 2 3 5 2 3" xfId="13098" xr:uid="{A907E462-1DD6-412B-BB6E-CEDDB76BECD9}"/>
    <cellStyle name="Comma 4 2 2 3 5 3" xfId="5844" xr:uid="{00000000-0005-0000-0000-000020080000}"/>
    <cellStyle name="Comma 4 2 2 3 5 3 2" xfId="15170" xr:uid="{F932491B-08C0-40F0-9A04-6345A03D1568}"/>
    <cellStyle name="Comma 4 2 2 3 5 4" xfId="10953" xr:uid="{6A925D1F-9307-494A-8996-6B1FF879E36F}"/>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A0EA23D7-8D2E-4A20-9BB8-C7C1D85F918C}"/>
    <cellStyle name="Comma 4 2 2 3 6 2 3" xfId="13511" xr:uid="{1FB65AE9-869E-41C9-B609-AD949938B0E5}"/>
    <cellStyle name="Comma 4 2 2 3 6 3" xfId="6257" xr:uid="{00000000-0005-0000-0000-000024080000}"/>
    <cellStyle name="Comma 4 2 2 3 6 3 2" xfId="15583" xr:uid="{6D5F5691-A49D-4383-89A1-8E4E766ABA7B}"/>
    <cellStyle name="Comma 4 2 2 3 6 4" xfId="11366" xr:uid="{0BB7B6E6-AA10-4F51-B115-7E48CDDBBA7B}"/>
    <cellStyle name="Comma 4 2 2 3 7" xfId="2386" xr:uid="{00000000-0005-0000-0000-000025080000}"/>
    <cellStyle name="Comma 4 2 2 3 7 2" xfId="6670" xr:uid="{00000000-0005-0000-0000-000026080000}"/>
    <cellStyle name="Comma 4 2 2 3 7 2 2" xfId="15996" xr:uid="{486073C4-141C-4D74-842E-B5C58BD55E24}"/>
    <cellStyle name="Comma 4 2 2 3 7 3" xfId="11779" xr:uid="{B5D737A8-53F1-4082-902E-2B96D24F844D}"/>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609E0262-5261-4EAC-AD5C-80915F37233F}"/>
    <cellStyle name="Comma 4 2 2 3 9 3" xfId="12096" xr:uid="{849C8B09-DE4A-445C-A1B4-1422A38C0A86}"/>
    <cellStyle name="Comma 4 2 2 4" xfId="134" xr:uid="{00000000-0005-0000-0000-00002A080000}"/>
    <cellStyle name="Comma 4 2 2 4 10" xfId="8993" xr:uid="{2969CB69-37C4-4C43-BC9D-87F92556F829}"/>
    <cellStyle name="Comma 4 2 2 4 10 2" xfId="18317" xr:uid="{19B38729-C537-4D4F-B935-0C4A1C8F54CC}"/>
    <cellStyle name="Comma 4 2 2 4 11" xfId="9715" xr:uid="{E5969194-6CE0-421F-8077-2F4C1C8D158F}"/>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24ED2440-982F-495A-A271-75068B6898AB}"/>
    <cellStyle name="Comma 4 2 2 4 2 2 3" xfId="12274" xr:uid="{E7FDED73-1E1B-4C0B-AF3D-1FCA68F09894}"/>
    <cellStyle name="Comma 4 2 2 4 2 3" xfId="5020" xr:uid="{00000000-0005-0000-0000-00002E080000}"/>
    <cellStyle name="Comma 4 2 2 4 2 3 2" xfId="14346" xr:uid="{D668372F-BE32-439E-80C5-67B224115A18}"/>
    <cellStyle name="Comma 4 2 2 4 2 4" xfId="9418" xr:uid="{F2EB07B7-2227-485D-9411-A8F75EC2F9DA}"/>
    <cellStyle name="Comma 4 2 2 4 2 4 2" xfId="18733" xr:uid="{B71E878E-08A2-4C09-AF94-C1F2F42C606F}"/>
    <cellStyle name="Comma 4 2 2 4 2 5" xfId="10129" xr:uid="{6322DA4B-05DB-4013-928A-C53F78FD1FE6}"/>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AE7D1EE8-4C2D-4C3B-9BAF-1E8AA04504AE}"/>
    <cellStyle name="Comma 4 2 2 4 3 2 3" xfId="12687" xr:uid="{C0A9AA06-A249-4755-B2B9-3D40F9AB2D66}"/>
    <cellStyle name="Comma 4 2 2 4 3 3" xfId="5433" xr:uid="{00000000-0005-0000-0000-000032080000}"/>
    <cellStyle name="Comma 4 2 2 4 3 3 2" xfId="14759" xr:uid="{FBA651EA-A86D-41BC-A869-F7A959EEBDE5}"/>
    <cellStyle name="Comma 4 2 2 4 3 4" xfId="10542" xr:uid="{C8CAFDAE-FBF7-4456-BB3B-E2DF9FEFEF8B}"/>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BCC25F8C-8777-4A61-B74F-9D76D05C7001}"/>
    <cellStyle name="Comma 4 2 2 4 4 2 3" xfId="13100" xr:uid="{C1C0F5A9-563A-44AE-9687-173C6D0F7021}"/>
    <cellStyle name="Comma 4 2 2 4 4 3" xfId="5846" xr:uid="{00000000-0005-0000-0000-000036080000}"/>
    <cellStyle name="Comma 4 2 2 4 4 3 2" xfId="15172" xr:uid="{4346F954-0B3B-4D6B-A8F9-C79055F2D657}"/>
    <cellStyle name="Comma 4 2 2 4 4 4" xfId="10955" xr:uid="{F98A21EB-2BC0-45EC-BA95-D32E0DC6A60F}"/>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CD0059DA-3CBF-4D6A-B57B-820599356C23}"/>
    <cellStyle name="Comma 4 2 2 4 5 2 3" xfId="13513" xr:uid="{DD093285-4265-4780-986E-37E1E5E6932A}"/>
    <cellStyle name="Comma 4 2 2 4 5 3" xfId="6259" xr:uid="{00000000-0005-0000-0000-00003A080000}"/>
    <cellStyle name="Comma 4 2 2 4 5 3 2" xfId="15585" xr:uid="{8D3AE339-F25A-400F-B9B2-F35472274817}"/>
    <cellStyle name="Comma 4 2 2 4 5 4" xfId="11368" xr:uid="{432351DE-7A3E-4C72-BAD6-ECDF6EC647EC}"/>
    <cellStyle name="Comma 4 2 2 4 6" xfId="2388" xr:uid="{00000000-0005-0000-0000-00003B080000}"/>
    <cellStyle name="Comma 4 2 2 4 6 2" xfId="6672" xr:uid="{00000000-0005-0000-0000-00003C080000}"/>
    <cellStyle name="Comma 4 2 2 4 6 2 2" xfId="15998" xr:uid="{A27C5E1B-C198-4BF0-99A4-4DDAC6B5A804}"/>
    <cellStyle name="Comma 4 2 2 4 6 3" xfId="11781" xr:uid="{F4E1AF2D-CE54-4E08-9CD8-0F88F42C2555}"/>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260E7185-F967-4287-9C91-08E8AA59D30F}"/>
    <cellStyle name="Comma 4 2 2 4 8 3" xfId="12098" xr:uid="{D092AD50-9D2B-4776-A403-C705B0C30BA8}"/>
    <cellStyle name="Comma 4 2 2 4 9" xfId="4606" xr:uid="{00000000-0005-0000-0000-000040080000}"/>
    <cellStyle name="Comma 4 2 2 4 9 2" xfId="13932" xr:uid="{0500B584-40AC-48EE-8B1C-AC6489271525}"/>
    <cellStyle name="Comma 4 2 2 5" xfId="135" xr:uid="{00000000-0005-0000-0000-000041080000}"/>
    <cellStyle name="Comma 4 2 2 5 10" xfId="9210" xr:uid="{C1F9418B-EF96-4063-883D-A983E131C6A4}"/>
    <cellStyle name="Comma 4 2 2 5 10 2" xfId="18526" xr:uid="{8C2975B2-EF60-41BF-BDFE-34C3AB60411F}"/>
    <cellStyle name="Comma 4 2 2 5 11" xfId="9716" xr:uid="{FE5B8072-6CBF-476B-A610-C36F052A4317}"/>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C7712DAC-514F-4821-B827-460745E0B5FD}"/>
    <cellStyle name="Comma 4 2 2 5 2 2 3" xfId="12275" xr:uid="{F59B3E7E-506A-43A7-ADC3-12854797F3AE}"/>
    <cellStyle name="Comma 4 2 2 5 2 3" xfId="5021" xr:uid="{00000000-0005-0000-0000-000045080000}"/>
    <cellStyle name="Comma 4 2 2 5 2 3 2" xfId="14347" xr:uid="{283F4849-8A31-43D3-9CAE-4611FE7EDB93}"/>
    <cellStyle name="Comma 4 2 2 5 2 4" xfId="9593" xr:uid="{3B41C66E-2108-4CBE-9776-211459781E55}"/>
    <cellStyle name="Comma 4 2 2 5 2 4 2" xfId="18897" xr:uid="{E2E8A83F-5CD8-4C9C-BC80-E5EDC2B442D0}"/>
    <cellStyle name="Comma 4 2 2 5 2 5" xfId="10130" xr:uid="{2795202A-9192-4A26-B7AF-C3A4FABDEDD6}"/>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4649039D-8E9A-4DEF-891E-2535D5814D11}"/>
    <cellStyle name="Comma 4 2 2 5 3 2 3" xfId="12688" xr:uid="{DAEF6B7A-217A-4E87-B552-1FAA2E1FA649}"/>
    <cellStyle name="Comma 4 2 2 5 3 3" xfId="5434" xr:uid="{00000000-0005-0000-0000-000049080000}"/>
    <cellStyle name="Comma 4 2 2 5 3 3 2" xfId="14760" xr:uid="{48CB58F2-7837-48EF-A113-C74B52E43307}"/>
    <cellStyle name="Comma 4 2 2 5 3 4" xfId="10543" xr:uid="{4DBB1EA0-1329-4C39-A8F0-1A932BE6455B}"/>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F9B7EB2E-7F90-4583-B454-330D80494DCD}"/>
    <cellStyle name="Comma 4 2 2 5 4 2 3" xfId="13101" xr:uid="{6EA01F7A-FA85-4818-B10C-935DDDBA4905}"/>
    <cellStyle name="Comma 4 2 2 5 4 3" xfId="5847" xr:uid="{00000000-0005-0000-0000-00004D080000}"/>
    <cellStyle name="Comma 4 2 2 5 4 3 2" xfId="15173" xr:uid="{49D032EA-533E-47A3-8583-4497F5D167D2}"/>
    <cellStyle name="Comma 4 2 2 5 4 4" xfId="10956" xr:uid="{3588A1EB-AF37-49C2-B1F9-988A5C28A4DD}"/>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FD7921A7-CCC4-45A0-9485-79DB08959F4F}"/>
    <cellStyle name="Comma 4 2 2 5 5 2 3" xfId="13514" xr:uid="{B2D447F5-E60D-401B-AF7B-FB4B9F41285B}"/>
    <cellStyle name="Comma 4 2 2 5 5 3" xfId="6260" xr:uid="{00000000-0005-0000-0000-000051080000}"/>
    <cellStyle name="Comma 4 2 2 5 5 3 2" xfId="15586" xr:uid="{F760A440-4AB2-41F1-A744-E6BC2FA04428}"/>
    <cellStyle name="Comma 4 2 2 5 5 4" xfId="11369" xr:uid="{2EABF530-AE73-4A20-AFE3-CEEB4CB26EE6}"/>
    <cellStyle name="Comma 4 2 2 5 6" xfId="2389" xr:uid="{00000000-0005-0000-0000-000052080000}"/>
    <cellStyle name="Comma 4 2 2 5 6 2" xfId="6673" xr:uid="{00000000-0005-0000-0000-000053080000}"/>
    <cellStyle name="Comma 4 2 2 5 6 2 2" xfId="15999" xr:uid="{3C73FAF6-1A04-4CC5-9E2C-AF12D5B7A541}"/>
    <cellStyle name="Comma 4 2 2 5 6 3" xfId="11782" xr:uid="{BD3810F3-6065-4403-B671-C2B10925BE4B}"/>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AEF7E6F9-2FC0-468F-9469-6ECCB275F552}"/>
    <cellStyle name="Comma 4 2 2 5 8 3" xfId="12099" xr:uid="{711B6DFD-BEFD-4A6F-B1DE-CED80419589B}"/>
    <cellStyle name="Comma 4 2 2 5 9" xfId="4607" xr:uid="{00000000-0005-0000-0000-000057080000}"/>
    <cellStyle name="Comma 4 2 2 5 9 2" xfId="13933" xr:uid="{1A371F9A-5F63-451E-99F0-27C7A7AA3BF0}"/>
    <cellStyle name="Comma 4 2 2 6" xfId="9228" xr:uid="{49D8FCED-23A7-48B2-8D10-F90787B2F62D}"/>
    <cellStyle name="Comma 4 2 2 7" xfId="8786" xr:uid="{8FDBE9F4-5F27-4B1B-A262-D62BF874EF16}"/>
    <cellStyle name="Comma 4 2 2 7 2" xfId="18110" xr:uid="{53AE082F-21B4-4441-826B-BB107FCF4826}"/>
    <cellStyle name="Comma 4 2 3" xfId="136" xr:uid="{00000000-0005-0000-0000-000058080000}"/>
    <cellStyle name="Comma 4 2 3 10" xfId="2768" xr:uid="{00000000-0005-0000-0000-000059080000}"/>
    <cellStyle name="Comma 4 2 3 10 2" xfId="6991" xr:uid="{00000000-0005-0000-0000-00005A080000}"/>
    <cellStyle name="Comma 4 2 3 10 2 2" xfId="16317" xr:uid="{BC20FD93-B617-4700-82E1-54820BD0C272}"/>
    <cellStyle name="Comma 4 2 3 10 3" xfId="12100" xr:uid="{F2BDDD68-3898-43EB-8EF9-02AFE50E76C4}"/>
    <cellStyle name="Comma 4 2 3 11" xfId="4608" xr:uid="{00000000-0005-0000-0000-00005B080000}"/>
    <cellStyle name="Comma 4 2 3 11 2" xfId="13934" xr:uid="{EFF91609-F07E-4983-8F52-25AAC8B94D75}"/>
    <cellStyle name="Comma 4 2 3 12" xfId="8805" xr:uid="{C45527F6-07B7-4887-BAF3-A6424444BA3B}"/>
    <cellStyle name="Comma 4 2 3 12 2" xfId="18129" xr:uid="{A8096C49-1E02-4F61-BEEB-AE275E359AF6}"/>
    <cellStyle name="Comma 4 2 3 13" xfId="9717" xr:uid="{28CA7D72-6151-4F95-ADB7-D4EEE1033A47}"/>
    <cellStyle name="Comma 4 2 3 2" xfId="137" xr:uid="{00000000-0005-0000-0000-00005C080000}"/>
    <cellStyle name="Comma 4 2 3 2 10" xfId="4609" xr:uid="{00000000-0005-0000-0000-00005D080000}"/>
    <cellStyle name="Comma 4 2 3 2 10 2" xfId="13935" xr:uid="{50D7E26D-8338-48A6-BA47-1052CB5F988B}"/>
    <cellStyle name="Comma 4 2 3 2 11" xfId="8908" xr:uid="{E7021C11-E6EB-4392-A0AD-2A78F42B4BB7}"/>
    <cellStyle name="Comma 4 2 3 2 11 2" xfId="18232" xr:uid="{0B2D9D43-9706-468F-A8FA-8DB4E0738380}"/>
    <cellStyle name="Comma 4 2 3 2 12" xfId="9718" xr:uid="{2143B9D3-0590-4055-8C1D-1B80B1F05DAE}"/>
    <cellStyle name="Comma 4 2 3 2 2" xfId="138" xr:uid="{00000000-0005-0000-0000-00005E080000}"/>
    <cellStyle name="Comma 4 2 3 2 2 10" xfId="9115" xr:uid="{1A31CCC4-B2C0-4E0C-B714-855521500FE8}"/>
    <cellStyle name="Comma 4 2 3 2 2 10 2" xfId="18439" xr:uid="{AECB8084-18E9-4E17-89FA-89ACBD68BB7B}"/>
    <cellStyle name="Comma 4 2 3 2 2 11" xfId="9719" xr:uid="{D5DB3747-4BDB-4BBC-A5BB-903A6EF9724A}"/>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3D1CCDA3-CC43-4F8A-BBE2-155EA8C75FEB}"/>
    <cellStyle name="Comma 4 2 3 2 2 2 2 3" xfId="12278" xr:uid="{85EDB020-4D13-474E-A981-38B6357F1429}"/>
    <cellStyle name="Comma 4 2 3 2 2 2 3" xfId="5024" xr:uid="{00000000-0005-0000-0000-000062080000}"/>
    <cellStyle name="Comma 4 2 3 2 2 2 3 2" xfId="14350" xr:uid="{766DBBB4-2D2C-4947-A4F2-FDD701B4A3BC}"/>
    <cellStyle name="Comma 4 2 3 2 2 2 4" xfId="9540" xr:uid="{F922DD27-FEAE-4DB6-894F-26CD58815668}"/>
    <cellStyle name="Comma 4 2 3 2 2 2 4 2" xfId="18855" xr:uid="{605F6E4A-52C8-47FF-B843-CCF825666691}"/>
    <cellStyle name="Comma 4 2 3 2 2 2 5" xfId="10133" xr:uid="{4231A82B-0062-4DDC-AD5A-3EC3492A0FC2}"/>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EAEAA33F-895D-420E-ADDD-F36002B2D319}"/>
    <cellStyle name="Comma 4 2 3 2 2 3 2 3" xfId="12691" xr:uid="{8C4B34E0-3511-4476-9643-1ED3EEEAF38E}"/>
    <cellStyle name="Comma 4 2 3 2 2 3 3" xfId="5437" xr:uid="{00000000-0005-0000-0000-000066080000}"/>
    <cellStyle name="Comma 4 2 3 2 2 3 3 2" xfId="14763" xr:uid="{E2BC841E-2A83-47B9-A27B-1B97ED060497}"/>
    <cellStyle name="Comma 4 2 3 2 2 3 4" xfId="10546" xr:uid="{ACE1AF95-4700-41C9-A2F2-2F8975E2522F}"/>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129EF3D7-171B-4F1F-BA8C-82733AE1FD94}"/>
    <cellStyle name="Comma 4 2 3 2 2 4 2 3" xfId="13104" xr:uid="{31220739-2138-4084-A824-808532C91A46}"/>
    <cellStyle name="Comma 4 2 3 2 2 4 3" xfId="5850" xr:uid="{00000000-0005-0000-0000-00006A080000}"/>
    <cellStyle name="Comma 4 2 3 2 2 4 3 2" xfId="15176" xr:uid="{2F63276F-05DE-43E2-BBF3-3EFAD9A23573}"/>
    <cellStyle name="Comma 4 2 3 2 2 4 4" xfId="10959" xr:uid="{F5F13FCB-37F6-47A1-9CA1-2D401811E937}"/>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750DE56C-7A49-4774-9203-77DBD2B5ECF7}"/>
    <cellStyle name="Comma 4 2 3 2 2 5 2 3" xfId="13517" xr:uid="{6F4A743E-7C47-49ED-9360-1BA933DB4A38}"/>
    <cellStyle name="Comma 4 2 3 2 2 5 3" xfId="6263" xr:uid="{00000000-0005-0000-0000-00006E080000}"/>
    <cellStyle name="Comma 4 2 3 2 2 5 3 2" xfId="15589" xr:uid="{4983533D-953E-4164-8118-32A8ACB7EB7D}"/>
    <cellStyle name="Comma 4 2 3 2 2 5 4" xfId="11372" xr:uid="{C741F68A-F9CC-49CA-BECC-4B2F3DAE6ACE}"/>
    <cellStyle name="Comma 4 2 3 2 2 6" xfId="2392" xr:uid="{00000000-0005-0000-0000-00006F080000}"/>
    <cellStyle name="Comma 4 2 3 2 2 6 2" xfId="6676" xr:uid="{00000000-0005-0000-0000-000070080000}"/>
    <cellStyle name="Comma 4 2 3 2 2 6 2 2" xfId="16002" xr:uid="{EA872055-2C6B-4906-B351-B21CF451FB8E}"/>
    <cellStyle name="Comma 4 2 3 2 2 6 3" xfId="11785" xr:uid="{3423B402-1A25-4CD1-8B23-CBA95841446E}"/>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E1B2A037-2696-4729-B5C3-59CC2FA1F459}"/>
    <cellStyle name="Comma 4 2 3 2 2 8 3" xfId="12102" xr:uid="{DFD8E8E8-79A8-47AC-9A28-CF31ADAE6A5F}"/>
    <cellStyle name="Comma 4 2 3 2 2 9" xfId="4610" xr:uid="{00000000-0005-0000-0000-000074080000}"/>
    <cellStyle name="Comma 4 2 3 2 2 9 2" xfId="13936" xr:uid="{E4150AF9-6472-4479-BEDF-23F19F16507B}"/>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726866D1-2E3C-4F35-A990-EEF5424B6885}"/>
    <cellStyle name="Comma 4 2 3 2 3 2 3" xfId="12277" xr:uid="{196111DF-0561-4CF5-A05E-3F6E4B8AB450}"/>
    <cellStyle name="Comma 4 2 3 2 3 3" xfId="5023" xr:uid="{00000000-0005-0000-0000-000078080000}"/>
    <cellStyle name="Comma 4 2 3 2 3 3 2" xfId="14349" xr:uid="{8B2259F2-2498-417D-9179-1129CD365762}"/>
    <cellStyle name="Comma 4 2 3 2 3 4" xfId="9333" xr:uid="{5C974796-1B06-4FA8-AB2A-F6B34628ACD4}"/>
    <cellStyle name="Comma 4 2 3 2 3 4 2" xfId="18648" xr:uid="{A8C69F5D-B612-4CBD-B2F8-DD5D748FA5DE}"/>
    <cellStyle name="Comma 4 2 3 2 3 5" xfId="10132" xr:uid="{0970BED8-D90D-4322-B7F8-D2E2F6B14357}"/>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13583176-BF43-49AF-8D93-1F399502C6C2}"/>
    <cellStyle name="Comma 4 2 3 2 4 2 3" xfId="12690" xr:uid="{94FD369E-BC25-4F15-AAAF-B828C679D95F}"/>
    <cellStyle name="Comma 4 2 3 2 4 3" xfId="5436" xr:uid="{00000000-0005-0000-0000-00007C080000}"/>
    <cellStyle name="Comma 4 2 3 2 4 3 2" xfId="14762" xr:uid="{0A90C7FD-370C-4AED-9FAF-68B1D3D8132F}"/>
    <cellStyle name="Comma 4 2 3 2 4 4" xfId="10545" xr:uid="{AB2DC0C2-7BB3-4879-8159-607CF6EE870B}"/>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C5E3FF96-E124-4D93-BFA9-B83CB02D12D2}"/>
    <cellStyle name="Comma 4 2 3 2 5 2 3" xfId="13103" xr:uid="{049A2C35-AC0D-45E7-8467-4E75ECE74440}"/>
    <cellStyle name="Comma 4 2 3 2 5 3" xfId="5849" xr:uid="{00000000-0005-0000-0000-000080080000}"/>
    <cellStyle name="Comma 4 2 3 2 5 3 2" xfId="15175" xr:uid="{28F677CF-DA69-4AF7-8923-81BCDF6BB76F}"/>
    <cellStyle name="Comma 4 2 3 2 5 4" xfId="10958" xr:uid="{37007F62-E412-4ABA-A1BC-0B9933DDF613}"/>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EDF7E3E1-F710-4B15-9B59-9EB305413E33}"/>
    <cellStyle name="Comma 4 2 3 2 6 2 3" xfId="13516" xr:uid="{0A64CDA2-2B46-407D-BAEC-6F0BF29A5779}"/>
    <cellStyle name="Comma 4 2 3 2 6 3" xfId="6262" xr:uid="{00000000-0005-0000-0000-000084080000}"/>
    <cellStyle name="Comma 4 2 3 2 6 3 2" xfId="15588" xr:uid="{0996AC3A-8021-4FAD-B0CA-43F18578739A}"/>
    <cellStyle name="Comma 4 2 3 2 6 4" xfId="11371" xr:uid="{B959F060-4E10-453D-8668-9AABAD9105ED}"/>
    <cellStyle name="Comma 4 2 3 2 7" xfId="2391" xr:uid="{00000000-0005-0000-0000-000085080000}"/>
    <cellStyle name="Comma 4 2 3 2 7 2" xfId="6675" xr:uid="{00000000-0005-0000-0000-000086080000}"/>
    <cellStyle name="Comma 4 2 3 2 7 2 2" xfId="16001" xr:uid="{660E9A02-9E6A-48B0-9C90-8AF642F011B8}"/>
    <cellStyle name="Comma 4 2 3 2 7 3" xfId="11784" xr:uid="{82AC4239-9F2B-407D-BF2B-D3441963538C}"/>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37DC3E49-7AC9-4406-9ACF-DEF7322EAEAD}"/>
    <cellStyle name="Comma 4 2 3 2 9 3" xfId="12101" xr:uid="{2D0BD84A-DE15-4324-8DD8-16DC168CA131}"/>
    <cellStyle name="Comma 4 2 3 3" xfId="139" xr:uid="{00000000-0005-0000-0000-00008A080000}"/>
    <cellStyle name="Comma 4 2 3 3 10" xfId="9012" xr:uid="{61C0F117-76A9-43CA-B381-88B2CFF6294C}"/>
    <cellStyle name="Comma 4 2 3 3 10 2" xfId="18336" xr:uid="{CACD4047-DF82-480C-A34B-FCED99EAE322}"/>
    <cellStyle name="Comma 4 2 3 3 11" xfId="9720" xr:uid="{96FA5134-A27D-4FB8-8874-FF26D0177DBF}"/>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F8DBBC0A-6E41-46EC-BFF8-B86E59A92526}"/>
    <cellStyle name="Comma 4 2 3 3 2 2 3" xfId="12279" xr:uid="{171BE9F3-05F2-4F46-B1A9-9479AFBCD71E}"/>
    <cellStyle name="Comma 4 2 3 3 2 3" xfId="5025" xr:uid="{00000000-0005-0000-0000-00008E080000}"/>
    <cellStyle name="Comma 4 2 3 3 2 3 2" xfId="14351" xr:uid="{2B9790F8-6C1A-4F0A-B17F-8367DD25A51B}"/>
    <cellStyle name="Comma 4 2 3 3 2 4" xfId="9437" xr:uid="{35C6809B-E49F-4A7F-8CB1-650474E72B0A}"/>
    <cellStyle name="Comma 4 2 3 3 2 4 2" xfId="18752" xr:uid="{9B396197-BF6C-4CC5-B6B4-4D40218E839A}"/>
    <cellStyle name="Comma 4 2 3 3 2 5" xfId="10134" xr:uid="{176398BC-6226-442F-BD59-BDF226C00BD0}"/>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AB3BE8D9-76EC-4E85-B537-49E2BC47DA44}"/>
    <cellStyle name="Comma 4 2 3 3 3 2 3" xfId="12692" xr:uid="{023E40B9-D6F1-4EC7-9A62-BA4D0E8245E0}"/>
    <cellStyle name="Comma 4 2 3 3 3 3" xfId="5438" xr:uid="{00000000-0005-0000-0000-000092080000}"/>
    <cellStyle name="Comma 4 2 3 3 3 3 2" xfId="14764" xr:uid="{1564AF36-D10D-4D91-89F3-D3158C87E3F7}"/>
    <cellStyle name="Comma 4 2 3 3 3 4" xfId="10547" xr:uid="{A4EC495F-F857-4738-BF3A-06B9C7992E67}"/>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88651EC7-7AAC-4DBA-8C7A-5E73EE8DFB4C}"/>
    <cellStyle name="Comma 4 2 3 3 4 2 3" xfId="13105" xr:uid="{0011179D-A641-49CC-B2B4-6554A05F03A5}"/>
    <cellStyle name="Comma 4 2 3 3 4 3" xfId="5851" xr:uid="{00000000-0005-0000-0000-000096080000}"/>
    <cellStyle name="Comma 4 2 3 3 4 3 2" xfId="15177" xr:uid="{A2277907-E86F-4BEA-B903-3A50ECADD99A}"/>
    <cellStyle name="Comma 4 2 3 3 4 4" xfId="10960" xr:uid="{4C30736E-20F7-4819-B8FB-CEF2E3E5A949}"/>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C4747DF6-B08F-418D-B3F1-16945586DC06}"/>
    <cellStyle name="Comma 4 2 3 3 5 2 3" xfId="13518" xr:uid="{22EB4B82-3B2F-4DC7-9954-EBBA5ADE2390}"/>
    <cellStyle name="Comma 4 2 3 3 5 3" xfId="6264" xr:uid="{00000000-0005-0000-0000-00009A080000}"/>
    <cellStyle name="Comma 4 2 3 3 5 3 2" xfId="15590" xr:uid="{FD42B1AD-B0A6-45B1-83EA-ACA0FC414225}"/>
    <cellStyle name="Comma 4 2 3 3 5 4" xfId="11373" xr:uid="{60834567-D516-4C6F-8C83-2C73A3A94F4D}"/>
    <cellStyle name="Comma 4 2 3 3 6" xfId="2393" xr:uid="{00000000-0005-0000-0000-00009B080000}"/>
    <cellStyle name="Comma 4 2 3 3 6 2" xfId="6677" xr:uid="{00000000-0005-0000-0000-00009C080000}"/>
    <cellStyle name="Comma 4 2 3 3 6 2 2" xfId="16003" xr:uid="{D063B23F-9318-414D-8E78-952C0F2982E1}"/>
    <cellStyle name="Comma 4 2 3 3 6 3" xfId="11786" xr:uid="{521E8711-55BC-496A-9EB6-3107E8BCF632}"/>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F81B56D7-62B3-4648-AF0B-3ECC8DCE5921}"/>
    <cellStyle name="Comma 4 2 3 3 8 3" xfId="12103" xr:uid="{E3B76FE1-B935-472C-B365-2DEAABA4D4C3}"/>
    <cellStyle name="Comma 4 2 3 3 9" xfId="4611" xr:uid="{00000000-0005-0000-0000-0000A0080000}"/>
    <cellStyle name="Comma 4 2 3 3 9 2" xfId="13937" xr:uid="{69C6C7FF-3E81-4EF2-BBB0-B43F1E027DB8}"/>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3E338165-87AB-45A1-BC3D-056AAF1F1B5A}"/>
    <cellStyle name="Comma 4 2 3 4 2 3" xfId="12276" xr:uid="{D2637E4D-8B09-4F05-AACA-6639249DB64C}"/>
    <cellStyle name="Comma 4 2 3 4 3" xfId="5022" xr:uid="{00000000-0005-0000-0000-0000A4080000}"/>
    <cellStyle name="Comma 4 2 3 4 3 2" xfId="14348" xr:uid="{6A07C445-A6FB-4D54-812A-41AF38C5461C}"/>
    <cellStyle name="Comma 4 2 3 4 4" xfId="9230" xr:uid="{24B6B749-023F-4009-8785-C6CFE1098E24}"/>
    <cellStyle name="Comma 4 2 3 4 4 2" xfId="18545" xr:uid="{BF162BB2-5F1F-4246-8A3C-0860171EA940}"/>
    <cellStyle name="Comma 4 2 3 4 5" xfId="10131" xr:uid="{D83A59C3-A07E-4D58-AEBA-4D68984DD0EA}"/>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B298FF6B-B110-49DC-9732-EBE9C290F239}"/>
    <cellStyle name="Comma 4 2 3 5 2 3" xfId="12689" xr:uid="{B579F377-5DB0-45B0-B78F-AD8B1D303C81}"/>
    <cellStyle name="Comma 4 2 3 5 3" xfId="5435" xr:uid="{00000000-0005-0000-0000-0000A8080000}"/>
    <cellStyle name="Comma 4 2 3 5 3 2" xfId="14761" xr:uid="{C94971BF-B52C-4885-8B36-17015AF00974}"/>
    <cellStyle name="Comma 4 2 3 5 4" xfId="10544" xr:uid="{CD969F84-F133-4458-A3C0-F702A922F72F}"/>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76A3BF74-A712-443B-B0F6-92707D07FE7B}"/>
    <cellStyle name="Comma 4 2 3 6 2 3" xfId="13102" xr:uid="{B0F9E68B-FE63-4787-B141-061B0E1EE9BE}"/>
    <cellStyle name="Comma 4 2 3 6 3" xfId="5848" xr:uid="{00000000-0005-0000-0000-0000AC080000}"/>
    <cellStyle name="Comma 4 2 3 6 3 2" xfId="15174" xr:uid="{123F93A2-D5D2-40C4-92F4-1D9919CB3DC6}"/>
    <cellStyle name="Comma 4 2 3 6 4" xfId="10957" xr:uid="{A57F71E0-35BF-4F17-B7B4-26E0794D1332}"/>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59CB3300-F01C-4DF0-AB1B-307D5779FB7F}"/>
    <cellStyle name="Comma 4 2 3 7 2 3" xfId="13515" xr:uid="{FB0D429E-82E2-411B-91F3-B2696BA31118}"/>
    <cellStyle name="Comma 4 2 3 7 3" xfId="6261" xr:uid="{00000000-0005-0000-0000-0000B0080000}"/>
    <cellStyle name="Comma 4 2 3 7 3 2" xfId="15587" xr:uid="{94E73ACC-2893-4AB5-9EF0-EE58CC54FB27}"/>
    <cellStyle name="Comma 4 2 3 7 4" xfId="11370" xr:uid="{6DB60486-1528-4B12-89D2-1D2C1DA80058}"/>
    <cellStyle name="Comma 4 2 3 8" xfId="2390" xr:uid="{00000000-0005-0000-0000-0000B1080000}"/>
    <cellStyle name="Comma 4 2 3 8 2" xfId="6674" xr:uid="{00000000-0005-0000-0000-0000B2080000}"/>
    <cellStyle name="Comma 4 2 3 8 2 2" xfId="16000" xr:uid="{FE08D0DF-9904-4C3E-82F1-5D4A93AFBC55}"/>
    <cellStyle name="Comma 4 2 3 8 3" xfId="11783" xr:uid="{BF72EC4B-645A-46A5-81A9-418453C73E2E}"/>
    <cellStyle name="Comma 4 2 3 9" xfId="2373" xr:uid="{00000000-0005-0000-0000-0000B3080000}"/>
    <cellStyle name="Comma 4 2 4" xfId="140" xr:uid="{00000000-0005-0000-0000-0000B4080000}"/>
    <cellStyle name="Comma 4 2 4 10" xfId="4612" xr:uid="{00000000-0005-0000-0000-0000B5080000}"/>
    <cellStyle name="Comma 4 2 4 10 2" xfId="13938" xr:uid="{77589F80-0427-4E1B-9354-399BC2DAA529}"/>
    <cellStyle name="Comma 4 2 4 11" xfId="8858" xr:uid="{B6A00C95-D04C-44B2-B8AF-67540882256C}"/>
    <cellStyle name="Comma 4 2 4 11 2" xfId="18182" xr:uid="{515185A5-E37F-40C8-BEDE-60D2A10B477C}"/>
    <cellStyle name="Comma 4 2 4 12" xfId="9721" xr:uid="{14B9A006-6EA2-42D6-A593-1BD754B5A235}"/>
    <cellStyle name="Comma 4 2 4 2" xfId="141" xr:uid="{00000000-0005-0000-0000-0000B6080000}"/>
    <cellStyle name="Comma 4 2 4 2 10" xfId="9065" xr:uid="{961AA06A-D943-447E-AADB-49B440E7E7CE}"/>
    <cellStyle name="Comma 4 2 4 2 10 2" xfId="18389" xr:uid="{673D3612-DBC6-456E-84D0-9E1AC5BD9CFB}"/>
    <cellStyle name="Comma 4 2 4 2 11" xfId="9722" xr:uid="{F158173D-92F5-4A1F-849D-064C8B502CC7}"/>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97DCAD2D-9F6D-4E8A-9CED-66B18B5A4AE7}"/>
    <cellStyle name="Comma 4 2 4 2 2 2 3" xfId="12281" xr:uid="{6A900151-11BD-405E-85E7-97CEECE9E52C}"/>
    <cellStyle name="Comma 4 2 4 2 2 3" xfId="5027" xr:uid="{00000000-0005-0000-0000-0000BA080000}"/>
    <cellStyle name="Comma 4 2 4 2 2 3 2" xfId="14353" xr:uid="{C51B4C23-6CE7-4A6E-BC47-749DCDC45C82}"/>
    <cellStyle name="Comma 4 2 4 2 2 4" xfId="9490" xr:uid="{2FAEB1E6-7B41-437B-B2A9-4352AB4F4B98}"/>
    <cellStyle name="Comma 4 2 4 2 2 4 2" xfId="18805" xr:uid="{DD195F0A-6C18-4440-B350-0E2EE1A960BD}"/>
    <cellStyle name="Comma 4 2 4 2 2 5" xfId="10136" xr:uid="{478D9FFF-D9E6-4514-8893-A12B3BADF137}"/>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7D57F8EB-8A3A-4C3A-B977-5E6C9A3FB33E}"/>
    <cellStyle name="Comma 4 2 4 2 3 2 3" xfId="12694" xr:uid="{094DF652-84F8-4A12-A953-BC8D37B8880E}"/>
    <cellStyle name="Comma 4 2 4 2 3 3" xfId="5440" xr:uid="{00000000-0005-0000-0000-0000BE080000}"/>
    <cellStyle name="Comma 4 2 4 2 3 3 2" xfId="14766" xr:uid="{9CD8BCDF-333F-4962-B267-AE16A37B523D}"/>
    <cellStyle name="Comma 4 2 4 2 3 4" xfId="10549" xr:uid="{1330C991-D89D-4919-A61A-2AF6415634A5}"/>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AB7C29CA-5A96-4B5E-97CB-5CF9D20742DF}"/>
    <cellStyle name="Comma 4 2 4 2 4 2 3" xfId="13107" xr:uid="{D1654BDD-FC34-4AF1-9F4E-E649470CE559}"/>
    <cellStyle name="Comma 4 2 4 2 4 3" xfId="5853" xr:uid="{00000000-0005-0000-0000-0000C2080000}"/>
    <cellStyle name="Comma 4 2 4 2 4 3 2" xfId="15179" xr:uid="{AE7EDED3-F3D7-4D6A-AAC2-B9B411BA2A6E}"/>
    <cellStyle name="Comma 4 2 4 2 4 4" xfId="10962" xr:uid="{DD766664-DE16-44EE-AED3-3E0440142D4E}"/>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863C1C48-5715-4D6D-9D29-B2CFDCDC9DC0}"/>
    <cellStyle name="Comma 4 2 4 2 5 2 3" xfId="13520" xr:uid="{B7B4C6F4-A0A1-4E43-BDD2-13C416857216}"/>
    <cellStyle name="Comma 4 2 4 2 5 3" xfId="6266" xr:uid="{00000000-0005-0000-0000-0000C6080000}"/>
    <cellStyle name="Comma 4 2 4 2 5 3 2" xfId="15592" xr:uid="{8672DF58-ABA8-4CB3-B151-5B3AA75F500F}"/>
    <cellStyle name="Comma 4 2 4 2 5 4" xfId="11375" xr:uid="{B50F379D-243C-484E-AC59-91FE445F5366}"/>
    <cellStyle name="Comma 4 2 4 2 6" xfId="2395" xr:uid="{00000000-0005-0000-0000-0000C7080000}"/>
    <cellStyle name="Comma 4 2 4 2 6 2" xfId="6679" xr:uid="{00000000-0005-0000-0000-0000C8080000}"/>
    <cellStyle name="Comma 4 2 4 2 6 2 2" xfId="16005" xr:uid="{8C96687A-998E-4EB1-824B-6B9077D21A3E}"/>
    <cellStyle name="Comma 4 2 4 2 6 3" xfId="11788" xr:uid="{CD35E234-BDD8-4E77-9E9F-8C14F17DB78B}"/>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4DCB6143-FDC7-43AD-8171-81A5C1F852EB}"/>
    <cellStyle name="Comma 4 2 4 2 8 3" xfId="12105" xr:uid="{4E558B9F-C945-4077-86E8-9D4C0B76380E}"/>
    <cellStyle name="Comma 4 2 4 2 9" xfId="4613" xr:uid="{00000000-0005-0000-0000-0000CC080000}"/>
    <cellStyle name="Comma 4 2 4 2 9 2" xfId="13939" xr:uid="{49328B41-D97A-4F8F-8393-6B3AAB9F6037}"/>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120D89EC-3A2D-4A5B-BFDD-CE45D4BA45E6}"/>
    <cellStyle name="Comma 4 2 4 3 2 3" xfId="12280" xr:uid="{23A4BC58-C8D8-43D3-B59D-CA05096CA1EE}"/>
    <cellStyle name="Comma 4 2 4 3 3" xfId="5026" xr:uid="{00000000-0005-0000-0000-0000D0080000}"/>
    <cellStyle name="Comma 4 2 4 3 3 2" xfId="14352" xr:uid="{7581803E-A3B3-4DAB-AA82-FF86335AF0A0}"/>
    <cellStyle name="Comma 4 2 4 3 4" xfId="9283" xr:uid="{7E46ED3C-A8F4-4512-93D9-5F41F1AC397C}"/>
    <cellStyle name="Comma 4 2 4 3 4 2" xfId="18598" xr:uid="{DF7B8195-5B6D-4AD6-8323-6A44ADCE4058}"/>
    <cellStyle name="Comma 4 2 4 3 5" xfId="10135" xr:uid="{AF4B1F8E-34F0-4476-8856-4312A82D45EE}"/>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7721C18C-32C6-48A2-BACE-A226B1383BE0}"/>
    <cellStyle name="Comma 4 2 4 4 2 3" xfId="12693" xr:uid="{2BC81916-14C2-46F3-88AB-33C95703CF9D}"/>
    <cellStyle name="Comma 4 2 4 4 3" xfId="5439" xr:uid="{00000000-0005-0000-0000-0000D4080000}"/>
    <cellStyle name="Comma 4 2 4 4 3 2" xfId="14765" xr:uid="{00CAA694-7F9D-41E5-B635-4105FCD56A34}"/>
    <cellStyle name="Comma 4 2 4 4 4" xfId="10548" xr:uid="{23CDB21F-3070-4B4C-AF75-C05962F013C9}"/>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2C2C0507-B154-4C32-8BA5-7CD94B225927}"/>
    <cellStyle name="Comma 4 2 4 5 2 3" xfId="13106" xr:uid="{1A50E43A-4556-435B-90DB-DB222004E0C8}"/>
    <cellStyle name="Comma 4 2 4 5 3" xfId="5852" xr:uid="{00000000-0005-0000-0000-0000D8080000}"/>
    <cellStyle name="Comma 4 2 4 5 3 2" xfId="15178" xr:uid="{322924B8-1360-4F43-BD38-BBF49FB62F31}"/>
    <cellStyle name="Comma 4 2 4 5 4" xfId="10961" xr:uid="{5A3FE19B-54CD-4D11-8A86-D4B39D60640C}"/>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5FA0F798-99C0-49A2-A463-A7A6F1208ED7}"/>
    <cellStyle name="Comma 4 2 4 6 2 3" xfId="13519" xr:uid="{8F853489-7CEC-4E4D-BEBA-D9777BB9981D}"/>
    <cellStyle name="Comma 4 2 4 6 3" xfId="6265" xr:uid="{00000000-0005-0000-0000-0000DC080000}"/>
    <cellStyle name="Comma 4 2 4 6 3 2" xfId="15591" xr:uid="{45E97475-4DEA-4AAA-A3CE-F029553C243C}"/>
    <cellStyle name="Comma 4 2 4 6 4" xfId="11374" xr:uid="{0F40F397-8F8D-4B92-BBFA-5091005847A5}"/>
    <cellStyle name="Comma 4 2 4 7" xfId="2394" xr:uid="{00000000-0005-0000-0000-0000DD080000}"/>
    <cellStyle name="Comma 4 2 4 7 2" xfId="6678" xr:uid="{00000000-0005-0000-0000-0000DE080000}"/>
    <cellStyle name="Comma 4 2 4 7 2 2" xfId="16004" xr:uid="{F4C517AB-9C15-4341-90F1-39CFA05B16FB}"/>
    <cellStyle name="Comma 4 2 4 7 3" xfId="11787" xr:uid="{21E3DC6F-C219-412D-985E-AD35136B9863}"/>
    <cellStyle name="Comma 4 2 4 8" xfId="2369" xr:uid="{00000000-0005-0000-0000-0000DF080000}"/>
    <cellStyle name="Comma 4 2 4 9" xfId="2772" xr:uid="{00000000-0005-0000-0000-0000E0080000}"/>
    <cellStyle name="Comma 4 2 4 9 2" xfId="6995" xr:uid="{00000000-0005-0000-0000-0000E1080000}"/>
    <cellStyle name="Comma 4 2 4 9 2 2" xfId="16321" xr:uid="{385FF14E-B18A-43FD-BA65-7C1BE2DEB54A}"/>
    <cellStyle name="Comma 4 2 4 9 3" xfId="12104" xr:uid="{B6F77B68-00B0-4D6E-853D-7FF8113BB461}"/>
    <cellStyle name="Comma 4 2 5" xfId="142" xr:uid="{00000000-0005-0000-0000-0000E2080000}"/>
    <cellStyle name="Comma 4 2 5 10" xfId="8974" xr:uid="{86B0C89A-8A2D-4755-B15D-84E412E1D380}"/>
    <cellStyle name="Comma 4 2 5 10 2" xfId="18298" xr:uid="{C080E802-561B-44E6-8EA7-B8FEE59B1782}"/>
    <cellStyle name="Comma 4 2 5 11" xfId="9723" xr:uid="{1A33CA51-1164-4AB4-AAC0-85C93481A973}"/>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0700615A-59FD-4C47-AB66-E38293B7F408}"/>
    <cellStyle name="Comma 4 2 5 2 2 3" xfId="12282" xr:uid="{6E7D5646-B148-4609-A06F-F7C5B55D12CB}"/>
    <cellStyle name="Comma 4 2 5 2 3" xfId="5028" xr:uid="{00000000-0005-0000-0000-0000E6080000}"/>
    <cellStyle name="Comma 4 2 5 2 3 2" xfId="14354" xr:uid="{B71C2F74-EE90-43FF-BFA4-DB2BEAA43998}"/>
    <cellStyle name="Comma 4 2 5 2 4" xfId="9399" xr:uid="{1B388BC7-1FC6-4DC3-B345-755F61B57864}"/>
    <cellStyle name="Comma 4 2 5 2 4 2" xfId="18714" xr:uid="{410EFECB-A439-4FF1-BDF8-E6EB9FE7BEDA}"/>
    <cellStyle name="Comma 4 2 5 2 5" xfId="10137" xr:uid="{4B6FCD99-5152-45F0-B5FE-A5A83DE9D73C}"/>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E277E0BB-D8EF-4DC0-B087-8C6DC7C4734D}"/>
    <cellStyle name="Comma 4 2 5 3 2 3" xfId="12695" xr:uid="{0BA2354C-37BE-4EB3-8DAF-06406629086D}"/>
    <cellStyle name="Comma 4 2 5 3 3" xfId="5441" xr:uid="{00000000-0005-0000-0000-0000EA080000}"/>
    <cellStyle name="Comma 4 2 5 3 3 2" xfId="14767" xr:uid="{008120BA-F9A9-45E4-9BCE-96F69021ABA4}"/>
    <cellStyle name="Comma 4 2 5 3 4" xfId="10550" xr:uid="{4DDE6D14-6A9F-4E5D-8926-9F0E8E5D663A}"/>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7EA2CE1B-690A-4313-AE8F-D6F46897D04A}"/>
    <cellStyle name="Comma 4 2 5 4 2 3" xfId="13108" xr:uid="{32F9436D-E54E-4D4C-925E-4770D5373C51}"/>
    <cellStyle name="Comma 4 2 5 4 3" xfId="5854" xr:uid="{00000000-0005-0000-0000-0000EE080000}"/>
    <cellStyle name="Comma 4 2 5 4 3 2" xfId="15180" xr:uid="{45961118-62C0-49D9-ABB1-38942728F074}"/>
    <cellStyle name="Comma 4 2 5 4 4" xfId="10963" xr:uid="{8B651DB4-A2C3-4193-B0DD-C0390A5E9ED7}"/>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3D776398-07B1-4647-90D3-EED45B26F791}"/>
    <cellStyle name="Comma 4 2 5 5 2 3" xfId="13521" xr:uid="{2B0E5688-329A-4698-9EC3-542FB87D10B0}"/>
    <cellStyle name="Comma 4 2 5 5 3" xfId="6267" xr:uid="{00000000-0005-0000-0000-0000F2080000}"/>
    <cellStyle name="Comma 4 2 5 5 3 2" xfId="15593" xr:uid="{06732B20-2EDC-48F1-B4C0-42D05BE9C330}"/>
    <cellStyle name="Comma 4 2 5 5 4" xfId="11376" xr:uid="{353F3E80-A007-4ED1-894D-2525ED43662D}"/>
    <cellStyle name="Comma 4 2 5 6" xfId="2396" xr:uid="{00000000-0005-0000-0000-0000F3080000}"/>
    <cellStyle name="Comma 4 2 5 6 2" xfId="6680" xr:uid="{00000000-0005-0000-0000-0000F4080000}"/>
    <cellStyle name="Comma 4 2 5 6 2 2" xfId="16006" xr:uid="{C9E93675-873A-4021-9C1A-193DB76CB16B}"/>
    <cellStyle name="Comma 4 2 5 6 3" xfId="11789" xr:uid="{8778540F-935E-4CC4-A90F-625B84B8F636}"/>
    <cellStyle name="Comma 4 2 5 7" xfId="2367" xr:uid="{00000000-0005-0000-0000-0000F5080000}"/>
    <cellStyle name="Comma 4 2 5 8" xfId="2774" xr:uid="{00000000-0005-0000-0000-0000F6080000}"/>
    <cellStyle name="Comma 4 2 5 8 2" xfId="6997" xr:uid="{00000000-0005-0000-0000-0000F7080000}"/>
    <cellStyle name="Comma 4 2 5 8 2 2" xfId="16323" xr:uid="{D035958A-E451-449E-B75A-B967ED5B5412}"/>
    <cellStyle name="Comma 4 2 5 8 3" xfId="12106" xr:uid="{137C865F-12ED-429C-8FA0-8F021D86EB26}"/>
    <cellStyle name="Comma 4 2 5 9" xfId="4614" xr:uid="{00000000-0005-0000-0000-0000F8080000}"/>
    <cellStyle name="Comma 4 2 5 9 2" xfId="13940" xr:uid="{5295AD19-EBB6-49F1-BC4E-11A4BD593A76}"/>
    <cellStyle name="Comma 4 2 6" xfId="143" xr:uid="{00000000-0005-0000-0000-0000F9080000}"/>
    <cellStyle name="Comma 4 2 6 10" xfId="9177" xr:uid="{A20A3B72-7630-464F-8E57-DA2B9D6E44FB}"/>
    <cellStyle name="Comma 4 2 6 10 2" xfId="18495" xr:uid="{7D786DCF-B239-497E-BEC2-58F55D20C389}"/>
    <cellStyle name="Comma 4 2 6 11" xfId="9724" xr:uid="{F995CCAE-5623-428D-B139-3BCBF02B0D34}"/>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AA7C6C9C-B15B-4FFD-8E05-280EDCBD71AA}"/>
    <cellStyle name="Comma 4 2 6 2 2 3" xfId="12283" xr:uid="{19177040-CC02-4078-8399-B82651E774CB}"/>
    <cellStyle name="Comma 4 2 6 2 3" xfId="5029" xr:uid="{00000000-0005-0000-0000-0000FD080000}"/>
    <cellStyle name="Comma 4 2 6 2 3 2" xfId="14355" xr:uid="{CF731A6A-83DB-480C-8AB1-E06B9931C79E}"/>
    <cellStyle name="Comma 4 2 6 2 4" xfId="9594" xr:uid="{CCB8D3FE-19FC-4F7F-9966-44FD23A1A32A}"/>
    <cellStyle name="Comma 4 2 6 2 4 2" xfId="18898" xr:uid="{1742C44D-C14C-4DC4-814D-33D931D93B4D}"/>
    <cellStyle name="Comma 4 2 6 2 5" xfId="10138" xr:uid="{6B91921F-6783-463D-B149-0387FF249A9E}"/>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D6B5B279-C968-481E-AC4A-063F0A04B451}"/>
    <cellStyle name="Comma 4 2 6 3 2 3" xfId="12696" xr:uid="{7A2E820E-45A2-432B-BC2F-D3820D7EDF3C}"/>
    <cellStyle name="Comma 4 2 6 3 3" xfId="5442" xr:uid="{00000000-0005-0000-0000-000001090000}"/>
    <cellStyle name="Comma 4 2 6 3 3 2" xfId="14768" xr:uid="{FEC65A45-5AE3-4C46-8751-1C4556CDCC1B}"/>
    <cellStyle name="Comma 4 2 6 3 4" xfId="10551" xr:uid="{846CAA81-574F-4990-A860-71B150ED6FAA}"/>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4CC63C20-9FED-49B4-B396-3681B822B3E8}"/>
    <cellStyle name="Comma 4 2 6 4 2 3" xfId="13109" xr:uid="{3107155B-8BA7-4512-924D-FEB3A92FD690}"/>
    <cellStyle name="Comma 4 2 6 4 3" xfId="5855" xr:uid="{00000000-0005-0000-0000-000005090000}"/>
    <cellStyle name="Comma 4 2 6 4 3 2" xfId="15181" xr:uid="{B5EAFDFE-86CD-4545-9CB5-B4F942E00409}"/>
    <cellStyle name="Comma 4 2 6 4 4" xfId="10964" xr:uid="{EB700A4A-0B12-4BCB-B605-87D74836790D}"/>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F89DA291-171C-4C80-AE8C-8D18BF5E9BB3}"/>
    <cellStyle name="Comma 4 2 6 5 2 3" xfId="13522" xr:uid="{DBA41636-0BFD-4493-8BF9-F37244BA4C48}"/>
    <cellStyle name="Comma 4 2 6 5 3" xfId="6268" xr:uid="{00000000-0005-0000-0000-000009090000}"/>
    <cellStyle name="Comma 4 2 6 5 3 2" xfId="15594" xr:uid="{209E3CC8-4722-4627-B59F-2C543D193A3C}"/>
    <cellStyle name="Comma 4 2 6 5 4" xfId="11377" xr:uid="{25E12D96-3FDC-4916-B7BE-D0A269BD6739}"/>
    <cellStyle name="Comma 4 2 6 6" xfId="2397" xr:uid="{00000000-0005-0000-0000-00000A090000}"/>
    <cellStyle name="Comma 4 2 6 6 2" xfId="6681" xr:uid="{00000000-0005-0000-0000-00000B090000}"/>
    <cellStyle name="Comma 4 2 6 6 2 2" xfId="16007" xr:uid="{7E398F4C-9AC3-43EA-9219-A6B1071A4E79}"/>
    <cellStyle name="Comma 4 2 6 6 3" xfId="11790" xr:uid="{7EB14604-D91F-46EC-8AEE-7712CED508E8}"/>
    <cellStyle name="Comma 4 2 6 7" xfId="2366" xr:uid="{00000000-0005-0000-0000-00000C090000}"/>
    <cellStyle name="Comma 4 2 6 8" xfId="2775" xr:uid="{00000000-0005-0000-0000-00000D090000}"/>
    <cellStyle name="Comma 4 2 6 8 2" xfId="6998" xr:uid="{00000000-0005-0000-0000-00000E090000}"/>
    <cellStyle name="Comma 4 2 6 8 2 2" xfId="16324" xr:uid="{7B38BC20-FF33-46E1-A933-E271F6773D3A}"/>
    <cellStyle name="Comma 4 2 6 8 3" xfId="12107" xr:uid="{956B0F7F-0D30-485D-B34E-25F5022FA22B}"/>
    <cellStyle name="Comma 4 2 6 9" xfId="4615" xr:uid="{00000000-0005-0000-0000-00000F090000}"/>
    <cellStyle name="Comma 4 2 6 9 2" xfId="13941" xr:uid="{56BD0187-6407-499E-8D94-CC06CEA79CD6}"/>
    <cellStyle name="Comma 4 2 7" xfId="9190" xr:uid="{C8B7F6BD-E2DD-41C7-A6AF-A5C7B900A7ED}"/>
    <cellStyle name="Comma 4 2 8" xfId="8755" xr:uid="{40286204-C766-4116-8542-387551AD6364}"/>
    <cellStyle name="Comma 4 2 8 2" xfId="18079" xr:uid="{582A3FD6-326D-4B63-A441-2C519B06724D}"/>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762F246D-EA75-4188-B14B-4322EC1FB051}"/>
    <cellStyle name="Comma 4 3 2 10 3" xfId="12108" xr:uid="{FF21C95E-FE93-40C9-B392-8847B33887E5}"/>
    <cellStyle name="Comma 4 3 2 11" xfId="4616" xr:uid="{00000000-0005-0000-0000-000014090000}"/>
    <cellStyle name="Comma 4 3 2 11 2" xfId="13942" xr:uid="{DC4A1E15-E231-427C-B002-4E4EE65D5AA4}"/>
    <cellStyle name="Comma 4 3 2 12" xfId="8807" xr:uid="{5C5EF314-D0DB-425B-AE7D-D52FEEE90EC1}"/>
    <cellStyle name="Comma 4 3 2 12 2" xfId="18131" xr:uid="{9C5F61BF-D6CB-401E-B9BD-44E2A8B3B5B9}"/>
    <cellStyle name="Comma 4 3 2 13" xfId="9725" xr:uid="{7C69D614-923C-44F7-8E26-E5BB8EFF0645}"/>
    <cellStyle name="Comma 4 3 2 2" xfId="146" xr:uid="{00000000-0005-0000-0000-000015090000}"/>
    <cellStyle name="Comma 4 3 2 2 10" xfId="4617" xr:uid="{00000000-0005-0000-0000-000016090000}"/>
    <cellStyle name="Comma 4 3 2 2 10 2" xfId="13943" xr:uid="{187DD0BB-6010-4430-AEF5-76A25C78AF8E}"/>
    <cellStyle name="Comma 4 3 2 2 11" xfId="8910" xr:uid="{15019DD0-71A0-438D-B796-68DE42B22692}"/>
    <cellStyle name="Comma 4 3 2 2 11 2" xfId="18234" xr:uid="{C074AE83-320B-48D9-80D0-A9F46EB14925}"/>
    <cellStyle name="Comma 4 3 2 2 12" xfId="9726" xr:uid="{E2B24755-D05D-4590-BC7A-68A5EB381C16}"/>
    <cellStyle name="Comma 4 3 2 2 2" xfId="147" xr:uid="{00000000-0005-0000-0000-000017090000}"/>
    <cellStyle name="Comma 4 3 2 2 2 10" xfId="9117" xr:uid="{1409F531-DBF2-41E0-9C74-F9317358BA15}"/>
    <cellStyle name="Comma 4 3 2 2 2 10 2" xfId="18441" xr:uid="{032FE498-A27B-4D69-AA18-843A99450F59}"/>
    <cellStyle name="Comma 4 3 2 2 2 11" xfId="9727" xr:uid="{68E49EFD-94FF-41D6-A6F6-C9B427033B58}"/>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27940674-BCDD-4679-BA7C-93A4C3398601}"/>
    <cellStyle name="Comma 4 3 2 2 2 2 2 3" xfId="12286" xr:uid="{F3906B6A-6745-4965-AA87-A9FEF74B4F5C}"/>
    <cellStyle name="Comma 4 3 2 2 2 2 3" xfId="5032" xr:uid="{00000000-0005-0000-0000-00001B090000}"/>
    <cellStyle name="Comma 4 3 2 2 2 2 3 2" xfId="14358" xr:uid="{F47E5298-8D40-4623-A349-9A7761B2B4D0}"/>
    <cellStyle name="Comma 4 3 2 2 2 2 4" xfId="9542" xr:uid="{26CD77CC-F017-4839-8245-BBF245D45E53}"/>
    <cellStyle name="Comma 4 3 2 2 2 2 4 2" xfId="18857" xr:uid="{7D07443B-0386-406E-872B-1B44ED0664E7}"/>
    <cellStyle name="Comma 4 3 2 2 2 2 5" xfId="10141" xr:uid="{337BD08D-091E-4BB5-8786-1B44B73F10E1}"/>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722FBF3A-4C2F-44BB-9B62-9714F332E694}"/>
    <cellStyle name="Comma 4 3 2 2 2 3 2 3" xfId="12699" xr:uid="{FB1FEBC1-2CD1-4723-B183-94425066B2E1}"/>
    <cellStyle name="Comma 4 3 2 2 2 3 3" xfId="5445" xr:uid="{00000000-0005-0000-0000-00001F090000}"/>
    <cellStyle name="Comma 4 3 2 2 2 3 3 2" xfId="14771" xr:uid="{6C85083F-1D66-4846-96B7-795424B42804}"/>
    <cellStyle name="Comma 4 3 2 2 2 3 4" xfId="10554" xr:uid="{82D1CD6F-D582-4C84-A9B0-84085EF85A8A}"/>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4C50040E-FB39-41BB-ACEE-1C47CF5C170A}"/>
    <cellStyle name="Comma 4 3 2 2 2 4 2 3" xfId="13112" xr:uid="{AABF4A5A-32F1-4290-B6D5-C29CAFB19B3F}"/>
    <cellStyle name="Comma 4 3 2 2 2 4 3" xfId="5858" xr:uid="{00000000-0005-0000-0000-000023090000}"/>
    <cellStyle name="Comma 4 3 2 2 2 4 3 2" xfId="15184" xr:uid="{B540FA6F-39D9-4AF4-8998-9956A96E4FFE}"/>
    <cellStyle name="Comma 4 3 2 2 2 4 4" xfId="10967" xr:uid="{37692143-EC7B-4548-AD34-7CE31A3AAE39}"/>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6AC16829-191F-42CA-9580-C9B87F269670}"/>
    <cellStyle name="Comma 4 3 2 2 2 5 2 3" xfId="13525" xr:uid="{8F0D2662-C883-4654-9B70-710629D0105B}"/>
    <cellStyle name="Comma 4 3 2 2 2 5 3" xfId="6271" xr:uid="{00000000-0005-0000-0000-000027090000}"/>
    <cellStyle name="Comma 4 3 2 2 2 5 3 2" xfId="15597" xr:uid="{687F1718-88E4-40E4-A844-929E9EE261FD}"/>
    <cellStyle name="Comma 4 3 2 2 2 5 4" xfId="11380" xr:uid="{CF625118-F8C7-461A-B69C-81BFE09A6F4A}"/>
    <cellStyle name="Comma 4 3 2 2 2 6" xfId="2400" xr:uid="{00000000-0005-0000-0000-000028090000}"/>
    <cellStyle name="Comma 4 3 2 2 2 6 2" xfId="6684" xr:uid="{00000000-0005-0000-0000-000029090000}"/>
    <cellStyle name="Comma 4 3 2 2 2 6 2 2" xfId="16010" xr:uid="{894C14E0-B51C-4581-8B19-1CD5FB3C5AD4}"/>
    <cellStyle name="Comma 4 3 2 2 2 6 3" xfId="11793" xr:uid="{A93C7FC0-1FFC-4A0C-BDAC-9C690AE34E10}"/>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D0ABE783-B3BA-4A56-A585-82C07AF23737}"/>
    <cellStyle name="Comma 4 3 2 2 2 8 3" xfId="12110" xr:uid="{A15C5CA4-1382-4C54-B30C-D5C31057E13A}"/>
    <cellStyle name="Comma 4 3 2 2 2 9" xfId="4618" xr:uid="{00000000-0005-0000-0000-00002D090000}"/>
    <cellStyle name="Comma 4 3 2 2 2 9 2" xfId="13944" xr:uid="{E3A031ED-B724-4011-8313-4F0A76B1B532}"/>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45E08744-5D9C-4CDF-B82A-FB2701A804FD}"/>
    <cellStyle name="Comma 4 3 2 2 3 2 3" xfId="12285" xr:uid="{FBE427CF-55D4-4B55-8FC8-86B2E5D4CD90}"/>
    <cellStyle name="Comma 4 3 2 2 3 3" xfId="5031" xr:uid="{00000000-0005-0000-0000-000031090000}"/>
    <cellStyle name="Comma 4 3 2 2 3 3 2" xfId="14357" xr:uid="{C7C0B0BA-BD6B-41CC-86FE-6DDE736AF5E7}"/>
    <cellStyle name="Comma 4 3 2 2 3 4" xfId="9335" xr:uid="{BACD532B-C811-4076-B107-03E74D1B7113}"/>
    <cellStyle name="Comma 4 3 2 2 3 4 2" xfId="18650" xr:uid="{0D4E54AA-97ED-424F-AAF2-C26406DD2BB8}"/>
    <cellStyle name="Comma 4 3 2 2 3 5" xfId="10140" xr:uid="{8E5D26EA-845C-402A-83FB-D6AAE6B29E21}"/>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50798BC8-0F6F-4492-BEE6-102D82852821}"/>
    <cellStyle name="Comma 4 3 2 2 4 2 3" xfId="12698" xr:uid="{2EF8BD17-23F6-4A94-9D13-BFA69170CF2B}"/>
    <cellStyle name="Comma 4 3 2 2 4 3" xfId="5444" xr:uid="{00000000-0005-0000-0000-000035090000}"/>
    <cellStyle name="Comma 4 3 2 2 4 3 2" xfId="14770" xr:uid="{E10358C0-C28C-45F6-AAE1-C0F5B3A34562}"/>
    <cellStyle name="Comma 4 3 2 2 4 4" xfId="10553" xr:uid="{F950A300-3C4A-4EC9-ADFE-6EF16106E7F9}"/>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43C37F76-D920-4FCE-830C-244C59F96BCC}"/>
    <cellStyle name="Comma 4 3 2 2 5 2 3" xfId="13111" xr:uid="{855163B0-D514-4BFE-9E74-7EAC3B3E30EA}"/>
    <cellStyle name="Comma 4 3 2 2 5 3" xfId="5857" xr:uid="{00000000-0005-0000-0000-000039090000}"/>
    <cellStyle name="Comma 4 3 2 2 5 3 2" xfId="15183" xr:uid="{243CA963-1B74-44D9-A6E5-85A020A5A683}"/>
    <cellStyle name="Comma 4 3 2 2 5 4" xfId="10966" xr:uid="{4A7C7906-A824-49DE-B8E3-5193C8500C6A}"/>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B2516A0A-6779-4131-9E84-E38BCDB81542}"/>
    <cellStyle name="Comma 4 3 2 2 6 2 3" xfId="13524" xr:uid="{3CFC9BA4-032C-4DFE-85AF-C874401E8D5C}"/>
    <cellStyle name="Comma 4 3 2 2 6 3" xfId="6270" xr:uid="{00000000-0005-0000-0000-00003D090000}"/>
    <cellStyle name="Comma 4 3 2 2 6 3 2" xfId="15596" xr:uid="{C1B0FEAF-3E04-4D01-B3C4-CFA396A952E2}"/>
    <cellStyle name="Comma 4 3 2 2 6 4" xfId="11379" xr:uid="{C7018A34-3677-4F20-8A92-4FDC4727DF80}"/>
    <cellStyle name="Comma 4 3 2 2 7" xfId="2399" xr:uid="{00000000-0005-0000-0000-00003E090000}"/>
    <cellStyle name="Comma 4 3 2 2 7 2" xfId="6683" xr:uid="{00000000-0005-0000-0000-00003F090000}"/>
    <cellStyle name="Comma 4 3 2 2 7 2 2" xfId="16009" xr:uid="{E1E18019-89A9-4F48-977E-4C6ACB539341}"/>
    <cellStyle name="Comma 4 3 2 2 7 3" xfId="11792" xr:uid="{F09DE02E-B4B5-4394-BCC6-506D0B6BDD39}"/>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3077EC4D-FC11-4CF9-AD1D-E3A9FE5BB32A}"/>
    <cellStyle name="Comma 4 3 2 2 9 3" xfId="12109" xr:uid="{5FE683B3-BDBD-460B-ACA7-A8498A7FA25B}"/>
    <cellStyle name="Comma 4 3 2 3" xfId="148" xr:uid="{00000000-0005-0000-0000-000043090000}"/>
    <cellStyle name="Comma 4 3 2 3 10" xfId="9014" xr:uid="{46568903-2C47-4BC3-8E78-5A47F62B319C}"/>
    <cellStyle name="Comma 4 3 2 3 10 2" xfId="18338" xr:uid="{C2F7A3EB-834F-4A53-A723-A9A6773F34AB}"/>
    <cellStyle name="Comma 4 3 2 3 11" xfId="9728" xr:uid="{A9234A06-20BE-4098-8733-66A2F6780472}"/>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37AC0129-2C90-404B-B11B-DA81FA110702}"/>
    <cellStyle name="Comma 4 3 2 3 2 2 3" xfId="12287" xr:uid="{7CA0DC3C-C640-41E5-A5D3-F4B634C5DA33}"/>
    <cellStyle name="Comma 4 3 2 3 2 3" xfId="5033" xr:uid="{00000000-0005-0000-0000-000047090000}"/>
    <cellStyle name="Comma 4 3 2 3 2 3 2" xfId="14359" xr:uid="{0B50AD60-C4C4-4C42-9A69-D72969DC3F5E}"/>
    <cellStyle name="Comma 4 3 2 3 2 4" xfId="9439" xr:uid="{2FD116B5-6902-4630-AFC5-CC8B06C5F457}"/>
    <cellStyle name="Comma 4 3 2 3 2 4 2" xfId="18754" xr:uid="{9D006E0C-D153-4B42-9571-34FE27EDD003}"/>
    <cellStyle name="Comma 4 3 2 3 2 5" xfId="10142" xr:uid="{7394DD94-B902-4FDD-80B8-FD39486CD95E}"/>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D27562C6-9DA8-4037-B397-9D80D233A21F}"/>
    <cellStyle name="Comma 4 3 2 3 3 2 3" xfId="12700" xr:uid="{A49F8EA2-D2D3-4369-8F09-A52A6B861BDC}"/>
    <cellStyle name="Comma 4 3 2 3 3 3" xfId="5446" xr:uid="{00000000-0005-0000-0000-00004B090000}"/>
    <cellStyle name="Comma 4 3 2 3 3 3 2" xfId="14772" xr:uid="{92BCEDCC-8BF3-4F75-A139-409FC4DD7498}"/>
    <cellStyle name="Comma 4 3 2 3 3 4" xfId="10555" xr:uid="{C5AC702E-BB0D-493A-8690-2539F74A3CA6}"/>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16E5CC27-7A77-4496-A2A0-2153D5A17935}"/>
    <cellStyle name="Comma 4 3 2 3 4 2 3" xfId="13113" xr:uid="{214D13E7-0C44-4D2B-B4BF-2E1BB9638A19}"/>
    <cellStyle name="Comma 4 3 2 3 4 3" xfId="5859" xr:uid="{00000000-0005-0000-0000-00004F090000}"/>
    <cellStyle name="Comma 4 3 2 3 4 3 2" xfId="15185" xr:uid="{81C6320B-9BB2-4539-8D49-828C6BB8A63F}"/>
    <cellStyle name="Comma 4 3 2 3 4 4" xfId="10968" xr:uid="{C9BE6EE2-3089-4CB3-981A-FBA4AFCBAB00}"/>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067BC193-339F-4D1B-BB9C-385C51E572AD}"/>
    <cellStyle name="Comma 4 3 2 3 5 2 3" xfId="13526" xr:uid="{8216390D-06EA-49B6-A026-C7371E49EDF0}"/>
    <cellStyle name="Comma 4 3 2 3 5 3" xfId="6272" xr:uid="{00000000-0005-0000-0000-000053090000}"/>
    <cellStyle name="Comma 4 3 2 3 5 3 2" xfId="15598" xr:uid="{2998AE32-1792-4DD8-9E1F-DCD9270B15C5}"/>
    <cellStyle name="Comma 4 3 2 3 5 4" xfId="11381" xr:uid="{3BC13F28-B769-4A65-8CDE-59711DD7834F}"/>
    <cellStyle name="Comma 4 3 2 3 6" xfId="2401" xr:uid="{00000000-0005-0000-0000-000054090000}"/>
    <cellStyle name="Comma 4 3 2 3 6 2" xfId="6685" xr:uid="{00000000-0005-0000-0000-000055090000}"/>
    <cellStyle name="Comma 4 3 2 3 6 2 2" xfId="16011" xr:uid="{C70E4F4B-E23C-4923-9B87-6CF5030ADE6C}"/>
    <cellStyle name="Comma 4 3 2 3 6 3" xfId="11794" xr:uid="{A3A0D3BC-7040-48BB-B5A2-390F032202D9}"/>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218DDC50-F2A2-4E4B-B6F2-DA67A434ED6E}"/>
    <cellStyle name="Comma 4 3 2 3 8 3" xfId="12111" xr:uid="{F2AC9D90-D358-46C3-B140-EC19F904931E}"/>
    <cellStyle name="Comma 4 3 2 3 9" xfId="4619" xr:uid="{00000000-0005-0000-0000-000059090000}"/>
    <cellStyle name="Comma 4 3 2 3 9 2" xfId="13945" xr:uid="{DC247A3E-480E-4A11-B12C-E56502F1314B}"/>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FA6F5A63-1E86-4A21-93EB-D1AC2BB3C321}"/>
    <cellStyle name="Comma 4 3 2 4 2 3" xfId="12284" xr:uid="{7D469D88-1589-4FE3-B678-CB4BDE5B2EB5}"/>
    <cellStyle name="Comma 4 3 2 4 3" xfId="5030" xr:uid="{00000000-0005-0000-0000-00005D090000}"/>
    <cellStyle name="Comma 4 3 2 4 3 2" xfId="14356" xr:uid="{FC6087A3-44DB-424E-A2CD-5EE91693AAD1}"/>
    <cellStyle name="Comma 4 3 2 4 4" xfId="9232" xr:uid="{8193451B-D8F0-40BD-91ED-34E7041117F6}"/>
    <cellStyle name="Comma 4 3 2 4 4 2" xfId="18547" xr:uid="{F1DFCD15-9741-4B47-814B-0173DAA37FF0}"/>
    <cellStyle name="Comma 4 3 2 4 5" xfId="10139" xr:uid="{E73B974E-DEA8-4310-A34F-C950E1FF6306}"/>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D4929A74-811D-48BA-A65F-06ABF00ADE17}"/>
    <cellStyle name="Comma 4 3 2 5 2 3" xfId="12697" xr:uid="{42A7052E-79A3-4328-B3E0-FC43FC33DEAA}"/>
    <cellStyle name="Comma 4 3 2 5 3" xfId="5443" xr:uid="{00000000-0005-0000-0000-000061090000}"/>
    <cellStyle name="Comma 4 3 2 5 3 2" xfId="14769" xr:uid="{0DF29DC5-B8A2-44F7-8A11-8C64CD283DBB}"/>
    <cellStyle name="Comma 4 3 2 5 4" xfId="10552" xr:uid="{6C2CCF9F-18F5-4A0F-B026-5203A86E6311}"/>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019333E8-221B-4151-963E-2E3E836B68DF}"/>
    <cellStyle name="Comma 4 3 2 6 2 3" xfId="13110" xr:uid="{88F2CD9B-F75E-4E30-8DCF-0CA1EEBE52AF}"/>
    <cellStyle name="Comma 4 3 2 6 3" xfId="5856" xr:uid="{00000000-0005-0000-0000-000065090000}"/>
    <cellStyle name="Comma 4 3 2 6 3 2" xfId="15182" xr:uid="{72150910-46AF-4F1B-8569-5F0720EF9CDB}"/>
    <cellStyle name="Comma 4 3 2 6 4" xfId="10965" xr:uid="{F8DE6A97-12AF-43A4-8682-E0F2C5EBD843}"/>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DBFDAADD-4CEB-44FE-B790-178B21815797}"/>
    <cellStyle name="Comma 4 3 2 7 2 3" xfId="13523" xr:uid="{5E2F5CDE-FA4A-45F9-9C82-040B48D714BB}"/>
    <cellStyle name="Comma 4 3 2 7 3" xfId="6269" xr:uid="{00000000-0005-0000-0000-000069090000}"/>
    <cellStyle name="Comma 4 3 2 7 3 2" xfId="15595" xr:uid="{0DA8D360-8587-4037-A9A3-4633B7A99529}"/>
    <cellStyle name="Comma 4 3 2 7 4" xfId="11378" xr:uid="{6E54A413-F5F9-4535-8F7B-3451BA719827}"/>
    <cellStyle name="Comma 4 3 2 8" xfId="2398" xr:uid="{00000000-0005-0000-0000-00006A090000}"/>
    <cellStyle name="Comma 4 3 2 8 2" xfId="6682" xr:uid="{00000000-0005-0000-0000-00006B090000}"/>
    <cellStyle name="Comma 4 3 2 8 2 2" xfId="16008" xr:uid="{A0B99886-881F-49AF-9F7A-E0908B7DEB72}"/>
    <cellStyle name="Comma 4 3 2 8 3" xfId="11791" xr:uid="{F4A75D0D-DFFA-4102-81DB-6AFAC02656EE}"/>
    <cellStyle name="Comma 4 3 2 9" xfId="2365" xr:uid="{00000000-0005-0000-0000-00006C090000}"/>
    <cellStyle name="Comma 4 3 3" xfId="149" xr:uid="{00000000-0005-0000-0000-00006D090000}"/>
    <cellStyle name="Comma 4 3 3 10" xfId="4620" xr:uid="{00000000-0005-0000-0000-00006E090000}"/>
    <cellStyle name="Comma 4 3 3 10 2" xfId="13946" xr:uid="{357791CC-95FE-4C8A-B56D-ECCDB0A6A32F}"/>
    <cellStyle name="Comma 4 3 3 11" xfId="8881" xr:uid="{ACA3BC7C-CED7-49C2-9DC3-E2A3989962E9}"/>
    <cellStyle name="Comma 4 3 3 11 2" xfId="18205" xr:uid="{756A76C4-C579-491C-94A5-983266EAD8F0}"/>
    <cellStyle name="Comma 4 3 3 12" xfId="9729" xr:uid="{74917CE4-3572-4177-AA28-378FDD1DEA8E}"/>
    <cellStyle name="Comma 4 3 3 2" xfId="150" xr:uid="{00000000-0005-0000-0000-00006F090000}"/>
    <cellStyle name="Comma 4 3 3 2 10" xfId="9088" xr:uid="{D40CFC42-DEA3-4A4C-8532-2B6CFC29229D}"/>
    <cellStyle name="Comma 4 3 3 2 10 2" xfId="18412" xr:uid="{5C9EE5B7-2DCB-47E1-A64E-06AB862C3306}"/>
    <cellStyle name="Comma 4 3 3 2 11" xfId="9730" xr:uid="{C1880CE3-40F9-46D3-93FF-F0C889854BC0}"/>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80C6BE58-4AEF-41D8-BEE7-2771F0A07C1E}"/>
    <cellStyle name="Comma 4 3 3 2 2 2 3" xfId="12289" xr:uid="{A919D8B6-08A1-4A6A-AB1A-5C267F29499C}"/>
    <cellStyle name="Comma 4 3 3 2 2 3" xfId="5035" xr:uid="{00000000-0005-0000-0000-000073090000}"/>
    <cellStyle name="Comma 4 3 3 2 2 3 2" xfId="14361" xr:uid="{05F566FD-43D9-49A1-A54E-3558B54D0956}"/>
    <cellStyle name="Comma 4 3 3 2 2 4" xfId="9513" xr:uid="{986E0DAD-8ABC-4DAC-9C56-EF87B6B3B829}"/>
    <cellStyle name="Comma 4 3 3 2 2 4 2" xfId="18828" xr:uid="{89DF7937-B9D3-41CA-875E-756883A2834A}"/>
    <cellStyle name="Comma 4 3 3 2 2 5" xfId="10144" xr:uid="{FD23A9E2-E0CE-401B-B326-3EED5B75E747}"/>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20520805-16CD-40B4-B9DE-827F4A9807F4}"/>
    <cellStyle name="Comma 4 3 3 2 3 2 3" xfId="12702" xr:uid="{E2B97A2D-D089-4DF4-9EA9-312AA343AE42}"/>
    <cellStyle name="Comma 4 3 3 2 3 3" xfId="5448" xr:uid="{00000000-0005-0000-0000-000077090000}"/>
    <cellStyle name="Comma 4 3 3 2 3 3 2" xfId="14774" xr:uid="{09C91FDB-31B4-4F69-9FDA-0047EB48E7D2}"/>
    <cellStyle name="Comma 4 3 3 2 3 4" xfId="10557" xr:uid="{F7A83BE4-07A5-4B93-9938-F7612553863B}"/>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7E229DC5-7546-40C0-9E49-4F0444A87CB1}"/>
    <cellStyle name="Comma 4 3 3 2 4 2 3" xfId="13115" xr:uid="{0F7EFCE8-6B79-4F72-A1F3-B53FA2F5F9DD}"/>
    <cellStyle name="Comma 4 3 3 2 4 3" xfId="5861" xr:uid="{00000000-0005-0000-0000-00007B090000}"/>
    <cellStyle name="Comma 4 3 3 2 4 3 2" xfId="15187" xr:uid="{FE04248A-2EE1-4C43-B6DF-BC38B4F835BD}"/>
    <cellStyle name="Comma 4 3 3 2 4 4" xfId="10970" xr:uid="{B69490D5-FC70-4B77-8C61-83181A822C65}"/>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834FDE35-C132-47B1-B6D0-0BC602EE6F71}"/>
    <cellStyle name="Comma 4 3 3 2 5 2 3" xfId="13528" xr:uid="{9AA346F4-FC68-4C64-97B8-C0C1ECCB6951}"/>
    <cellStyle name="Comma 4 3 3 2 5 3" xfId="6274" xr:uid="{00000000-0005-0000-0000-00007F090000}"/>
    <cellStyle name="Comma 4 3 3 2 5 3 2" xfId="15600" xr:uid="{A78E4305-2732-48CB-8045-F86C2F8BB493}"/>
    <cellStyle name="Comma 4 3 3 2 5 4" xfId="11383" xr:uid="{D1BB7714-CD4B-4E22-B3AE-75AE4B2459DA}"/>
    <cellStyle name="Comma 4 3 3 2 6" xfId="2403" xr:uid="{00000000-0005-0000-0000-000080090000}"/>
    <cellStyle name="Comma 4 3 3 2 6 2" xfId="6687" xr:uid="{00000000-0005-0000-0000-000081090000}"/>
    <cellStyle name="Comma 4 3 3 2 6 2 2" xfId="16013" xr:uid="{F720F1FB-5286-4790-A3F4-898E545E9433}"/>
    <cellStyle name="Comma 4 3 3 2 6 3" xfId="11796" xr:uid="{10720284-6320-4BEC-AB8E-11F2FA5CF37F}"/>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B12A94E9-AF64-4E3F-8DEB-1F3B42E0E180}"/>
    <cellStyle name="Comma 4 3 3 2 8 3" xfId="12113" xr:uid="{3355E837-D2CC-47FE-9F15-B6CA629410F0}"/>
    <cellStyle name="Comma 4 3 3 2 9" xfId="4621" xr:uid="{00000000-0005-0000-0000-000085090000}"/>
    <cellStyle name="Comma 4 3 3 2 9 2" xfId="13947" xr:uid="{00593F87-BADF-4C4C-83CA-520B9EE8DE95}"/>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1FDF955C-32BB-4BA9-A811-540706E9C8E3}"/>
    <cellStyle name="Comma 4 3 3 3 2 3" xfId="12288" xr:uid="{FDEAF66B-53DF-472B-8C29-5474C3D2D98C}"/>
    <cellStyle name="Comma 4 3 3 3 3" xfId="5034" xr:uid="{00000000-0005-0000-0000-000089090000}"/>
    <cellStyle name="Comma 4 3 3 3 3 2" xfId="14360" xr:uid="{0C16CE59-06D2-44E9-B0EF-8358DF5AF4D2}"/>
    <cellStyle name="Comma 4 3 3 3 4" xfId="9306" xr:uid="{6AC2749B-EC1D-4760-AD4B-F36381A669B6}"/>
    <cellStyle name="Comma 4 3 3 3 4 2" xfId="18621" xr:uid="{7A3FA5E1-1CB4-45AA-B3F5-5B8220E2B684}"/>
    <cellStyle name="Comma 4 3 3 3 5" xfId="10143" xr:uid="{6E93CABE-7F9C-49CD-9968-595AE90BBD5F}"/>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E7D445DD-92BB-470C-B51E-2A015E5A0A8A}"/>
    <cellStyle name="Comma 4 3 3 4 2 3" xfId="12701" xr:uid="{76CB6EF7-4918-4770-AE2B-DD30D51AAB5D}"/>
    <cellStyle name="Comma 4 3 3 4 3" xfId="5447" xr:uid="{00000000-0005-0000-0000-00008D090000}"/>
    <cellStyle name="Comma 4 3 3 4 3 2" xfId="14773" xr:uid="{A19A4A95-B2D6-43B4-B6DE-A40395C4233A}"/>
    <cellStyle name="Comma 4 3 3 4 4" xfId="10556" xr:uid="{47838E13-2E95-4BEB-8E86-0EA14FE3E437}"/>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E98BC379-5E88-462D-B3EE-39100537015A}"/>
    <cellStyle name="Comma 4 3 3 5 2 3" xfId="13114" xr:uid="{A92A33F6-7787-4CE6-8BCD-AF52A9BD5D8F}"/>
    <cellStyle name="Comma 4 3 3 5 3" xfId="5860" xr:uid="{00000000-0005-0000-0000-000091090000}"/>
    <cellStyle name="Comma 4 3 3 5 3 2" xfId="15186" xr:uid="{3C0798BD-B75E-4452-A91F-E81C32877D6B}"/>
    <cellStyle name="Comma 4 3 3 5 4" xfId="10969" xr:uid="{8F275057-AA99-4620-9935-7E6CC3AF52BC}"/>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12CCE055-9382-45F7-9587-C03746C37A44}"/>
    <cellStyle name="Comma 4 3 3 6 2 3" xfId="13527" xr:uid="{22A3FE90-4783-415F-A170-6B81F8482515}"/>
    <cellStyle name="Comma 4 3 3 6 3" xfId="6273" xr:uid="{00000000-0005-0000-0000-000095090000}"/>
    <cellStyle name="Comma 4 3 3 6 3 2" xfId="15599" xr:uid="{48A84C05-4C27-40FD-BC71-0B4834CD278D}"/>
    <cellStyle name="Comma 4 3 3 6 4" xfId="11382" xr:uid="{4C0EFFDA-3082-4E9B-856E-D284B341EA86}"/>
    <cellStyle name="Comma 4 3 3 7" xfId="2402" xr:uid="{00000000-0005-0000-0000-000096090000}"/>
    <cellStyle name="Comma 4 3 3 7 2" xfId="6686" xr:uid="{00000000-0005-0000-0000-000097090000}"/>
    <cellStyle name="Comma 4 3 3 7 2 2" xfId="16012" xr:uid="{661F44B8-7241-4E53-BB98-1B4B5BED06FF}"/>
    <cellStyle name="Comma 4 3 3 7 3" xfId="11795" xr:uid="{3ED65A16-49AB-4627-AFD6-EE1C1174EB0E}"/>
    <cellStyle name="Comma 4 3 3 8" xfId="2361" xr:uid="{00000000-0005-0000-0000-000098090000}"/>
    <cellStyle name="Comma 4 3 3 9" xfId="2780" xr:uid="{00000000-0005-0000-0000-000099090000}"/>
    <cellStyle name="Comma 4 3 3 9 2" xfId="7003" xr:uid="{00000000-0005-0000-0000-00009A090000}"/>
    <cellStyle name="Comma 4 3 3 9 2 2" xfId="16329" xr:uid="{2F46D728-D22D-469B-81B3-F5698D2EC937}"/>
    <cellStyle name="Comma 4 3 3 9 3" xfId="12112" xr:uid="{3D720BBA-54EA-4B24-92A1-DF752B49D288}"/>
    <cellStyle name="Comma 4 3 4" xfId="151" xr:uid="{00000000-0005-0000-0000-00009B090000}"/>
    <cellStyle name="Comma 4 3 4 10" xfId="8985" xr:uid="{E965CEC1-A932-4F91-9E18-794CBF7DC7FC}"/>
    <cellStyle name="Comma 4 3 4 10 2" xfId="18309" xr:uid="{9A974E9B-7D4E-4419-B835-BB0604BE5283}"/>
    <cellStyle name="Comma 4 3 4 11" xfId="9731" xr:uid="{BF0DDED9-7A06-4B8E-8F6E-92D749401942}"/>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4F69FDA7-B279-40B7-843F-27A165907262}"/>
    <cellStyle name="Comma 4 3 4 2 2 3" xfId="12290" xr:uid="{BFD82C21-3326-429A-A663-A0BCFD1B70DB}"/>
    <cellStyle name="Comma 4 3 4 2 3" xfId="5036" xr:uid="{00000000-0005-0000-0000-00009F090000}"/>
    <cellStyle name="Comma 4 3 4 2 3 2" xfId="14362" xr:uid="{9625AC1C-1D63-43F6-B5B1-F49C0E11A36A}"/>
    <cellStyle name="Comma 4 3 4 2 4" xfId="9410" xr:uid="{54DEC146-6204-4AAF-A15F-BAC0A12B5984}"/>
    <cellStyle name="Comma 4 3 4 2 4 2" xfId="18725" xr:uid="{756D9FC9-45D4-4C85-8E95-D81F75C6D373}"/>
    <cellStyle name="Comma 4 3 4 2 5" xfId="10145" xr:uid="{FDE26293-4B3D-444D-BA35-2CB2AB231300}"/>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22C782F3-F1DC-4A91-BC91-F71867920121}"/>
    <cellStyle name="Comma 4 3 4 3 2 3" xfId="12703" xr:uid="{B843A2DF-48D0-4646-B149-0B369D205848}"/>
    <cellStyle name="Comma 4 3 4 3 3" xfId="5449" xr:uid="{00000000-0005-0000-0000-0000A3090000}"/>
    <cellStyle name="Comma 4 3 4 3 3 2" xfId="14775" xr:uid="{05A5F426-DD63-4C61-A65E-1DD6B83FD1EF}"/>
    <cellStyle name="Comma 4 3 4 3 4" xfId="10558" xr:uid="{F3E28774-EF50-4E9A-B381-59F3A3AC40CF}"/>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B2ECF186-7B61-40C4-886B-DF9AECB13FEF}"/>
    <cellStyle name="Comma 4 3 4 4 2 3" xfId="13116" xr:uid="{061079BA-72BE-4B63-9AF5-61243CB22367}"/>
    <cellStyle name="Comma 4 3 4 4 3" xfId="5862" xr:uid="{00000000-0005-0000-0000-0000A7090000}"/>
    <cellStyle name="Comma 4 3 4 4 3 2" xfId="15188" xr:uid="{54F35548-67D2-4EDE-9CEC-3E3DD31BD9D4}"/>
    <cellStyle name="Comma 4 3 4 4 4" xfId="10971" xr:uid="{FEC132FB-6880-49EF-86D8-9A1039B8D8DF}"/>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A1CDE016-DA6F-40B7-9CD3-98628DB0A49F}"/>
    <cellStyle name="Comma 4 3 4 5 2 3" xfId="13529" xr:uid="{BE307D6F-4D69-4E15-B1D4-E010EEE96BAD}"/>
    <cellStyle name="Comma 4 3 4 5 3" xfId="6275" xr:uid="{00000000-0005-0000-0000-0000AB090000}"/>
    <cellStyle name="Comma 4 3 4 5 3 2" xfId="15601" xr:uid="{6506B0BA-EABE-48FB-A415-B43C8C173DB8}"/>
    <cellStyle name="Comma 4 3 4 5 4" xfId="11384" xr:uid="{E8E8D9CD-5280-4459-88F3-FA2ADBBBD1B4}"/>
    <cellStyle name="Comma 4 3 4 6" xfId="2404" xr:uid="{00000000-0005-0000-0000-0000AC090000}"/>
    <cellStyle name="Comma 4 3 4 6 2" xfId="6688" xr:uid="{00000000-0005-0000-0000-0000AD090000}"/>
    <cellStyle name="Comma 4 3 4 6 2 2" xfId="16014" xr:uid="{25B6A808-0BE6-48EE-BDC3-4F5FDF16C7E5}"/>
    <cellStyle name="Comma 4 3 4 6 3" xfId="11797" xr:uid="{CCC2F2BE-C710-4C60-AA91-498C98E67944}"/>
    <cellStyle name="Comma 4 3 4 7" xfId="2700" xr:uid="{00000000-0005-0000-0000-0000AE090000}"/>
    <cellStyle name="Comma 4 3 4 8" xfId="2782" xr:uid="{00000000-0005-0000-0000-0000AF090000}"/>
    <cellStyle name="Comma 4 3 4 8 2" xfId="7005" xr:uid="{00000000-0005-0000-0000-0000B0090000}"/>
    <cellStyle name="Comma 4 3 4 8 2 2" xfId="16331" xr:uid="{58EF3577-F1B7-495C-A4EB-2428F225FCC9}"/>
    <cellStyle name="Comma 4 3 4 8 3" xfId="12114" xr:uid="{ABB5803D-3B4D-488F-AE0F-84CCE5620664}"/>
    <cellStyle name="Comma 4 3 4 9" xfId="4622" xr:uid="{00000000-0005-0000-0000-0000B1090000}"/>
    <cellStyle name="Comma 4 3 4 9 2" xfId="13948" xr:uid="{803FC91B-1586-464D-B7B1-B1B6839CD594}"/>
    <cellStyle name="Comma 4 3 5" xfId="152" xr:uid="{00000000-0005-0000-0000-0000B2090000}"/>
    <cellStyle name="Comma 4 3 5 10" xfId="9202" xr:uid="{BF5456DA-E11C-47BD-8210-21F45D9E5F79}"/>
    <cellStyle name="Comma 4 3 5 10 2" xfId="18518" xr:uid="{A9D2783F-1F20-46E0-80E2-C805E7C0E0E0}"/>
    <cellStyle name="Comma 4 3 5 11" xfId="9732" xr:uid="{4B0AC56E-ED06-4BDB-81B8-AE9588113982}"/>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AAE9A510-A951-47D4-9524-4FDB485510C2}"/>
    <cellStyle name="Comma 4 3 5 2 2 3" xfId="12291" xr:uid="{18FED2AA-A2DC-45F1-9AEE-490054D3D3DC}"/>
    <cellStyle name="Comma 4 3 5 2 3" xfId="5037" xr:uid="{00000000-0005-0000-0000-0000B6090000}"/>
    <cellStyle name="Comma 4 3 5 2 3 2" xfId="14363" xr:uid="{CE26526C-1867-456E-878D-528E5B34AF03}"/>
    <cellStyle name="Comma 4 3 5 2 4" xfId="9595" xr:uid="{3E6BF710-D2EA-4AFB-83F1-C6BF1C2192FF}"/>
    <cellStyle name="Comma 4 3 5 2 4 2" xfId="18899" xr:uid="{9B221C89-17F7-4A3F-BF80-8C705F69EDCC}"/>
    <cellStyle name="Comma 4 3 5 2 5" xfId="10146" xr:uid="{A46FACB6-80F6-47B2-96E3-165A53090991}"/>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100AA9FA-2DA1-4666-A093-122630C53685}"/>
    <cellStyle name="Comma 4 3 5 3 2 3" xfId="12704" xr:uid="{1EADDA69-F405-47A7-9FCB-9C36417CC291}"/>
    <cellStyle name="Comma 4 3 5 3 3" xfId="5450" xr:uid="{00000000-0005-0000-0000-0000BA090000}"/>
    <cellStyle name="Comma 4 3 5 3 3 2" xfId="14776" xr:uid="{586834D2-BEFA-47AB-8BE0-A9F56FEEB23B}"/>
    <cellStyle name="Comma 4 3 5 3 4" xfId="10559" xr:uid="{2CB8CC5C-24BC-44DF-9368-6AF26D40501E}"/>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B640D516-038F-4F0A-9F84-9ED3151403DF}"/>
    <cellStyle name="Comma 4 3 5 4 2 3" xfId="13117" xr:uid="{606D83BD-F956-4413-877E-3CB5E673CCC5}"/>
    <cellStyle name="Comma 4 3 5 4 3" xfId="5863" xr:uid="{00000000-0005-0000-0000-0000BE090000}"/>
    <cellStyle name="Comma 4 3 5 4 3 2" xfId="15189" xr:uid="{E8148289-EE1D-42C6-BBD4-401CE3B1F893}"/>
    <cellStyle name="Comma 4 3 5 4 4" xfId="10972" xr:uid="{337F384C-1F33-43C3-98A8-5ADF61BB024C}"/>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B4755E3E-5CE2-4833-8057-EE8F11FA084C}"/>
    <cellStyle name="Comma 4 3 5 5 2 3" xfId="13530" xr:uid="{8970DC4F-90D8-412B-BFBF-1ED6CE171D59}"/>
    <cellStyle name="Comma 4 3 5 5 3" xfId="6276" xr:uid="{00000000-0005-0000-0000-0000C2090000}"/>
    <cellStyle name="Comma 4 3 5 5 3 2" xfId="15602" xr:uid="{8460BC48-6AD2-41D6-BAB1-ADD7022D47A5}"/>
    <cellStyle name="Comma 4 3 5 5 4" xfId="11385" xr:uid="{A6594BFA-3191-4613-A177-A2F23D0594EF}"/>
    <cellStyle name="Comma 4 3 5 6" xfId="2405" xr:uid="{00000000-0005-0000-0000-0000C3090000}"/>
    <cellStyle name="Comma 4 3 5 6 2" xfId="6689" xr:uid="{00000000-0005-0000-0000-0000C4090000}"/>
    <cellStyle name="Comma 4 3 5 6 2 2" xfId="16015" xr:uid="{F5355C54-6587-4410-8648-9368D7BBEF27}"/>
    <cellStyle name="Comma 4 3 5 6 3" xfId="11798" xr:uid="{F0095F8F-D981-4281-BCB8-11BCF70AD429}"/>
    <cellStyle name="Comma 4 3 5 7" xfId="2701" xr:uid="{00000000-0005-0000-0000-0000C5090000}"/>
    <cellStyle name="Comma 4 3 5 8" xfId="2783" xr:uid="{00000000-0005-0000-0000-0000C6090000}"/>
    <cellStyle name="Comma 4 3 5 8 2" xfId="7006" xr:uid="{00000000-0005-0000-0000-0000C7090000}"/>
    <cellStyle name="Comma 4 3 5 8 2 2" xfId="16332" xr:uid="{8495A2B2-6B8A-447A-8BEF-1BC5A60A6B46}"/>
    <cellStyle name="Comma 4 3 5 8 3" xfId="12115" xr:uid="{0207ED9D-BA3C-4FC7-8856-E5268EE26B29}"/>
    <cellStyle name="Comma 4 3 5 9" xfId="4623" xr:uid="{00000000-0005-0000-0000-0000C8090000}"/>
    <cellStyle name="Comma 4 3 5 9 2" xfId="13949" xr:uid="{65F495A5-3DCF-49E9-A88C-E74E590A6ED0}"/>
    <cellStyle name="Comma 4 3 6" xfId="9582" xr:uid="{F1B74700-6F25-44D3-B4B6-1EFC63A6078B}"/>
    <cellStyle name="Comma 4 3 7" xfId="8778" xr:uid="{01CB0168-3495-42C5-9A13-F25D4D0EF35E}"/>
    <cellStyle name="Comma 4 3 7 2" xfId="18102" xr:uid="{7F893A62-2BF1-4E89-83BF-94ED2A4CE34C}"/>
    <cellStyle name="Comma 4 4" xfId="153" xr:uid="{00000000-0005-0000-0000-0000C9090000}"/>
    <cellStyle name="Comma 4 4 10" xfId="2784" xr:uid="{00000000-0005-0000-0000-0000CA090000}"/>
    <cellStyle name="Comma 4 4 10 2" xfId="7007" xr:uid="{00000000-0005-0000-0000-0000CB090000}"/>
    <cellStyle name="Comma 4 4 10 2 2" xfId="16333" xr:uid="{355D293C-EE5B-4569-9EF0-51961617661A}"/>
    <cellStyle name="Comma 4 4 10 3" xfId="12116" xr:uid="{68678D4A-3F35-47BB-AF8E-EED4B45937EF}"/>
    <cellStyle name="Comma 4 4 11" xfId="4624" xr:uid="{00000000-0005-0000-0000-0000CC090000}"/>
    <cellStyle name="Comma 4 4 11 2" xfId="13950" xr:uid="{CB3C8DA9-D798-4B98-8417-6F58586E0031}"/>
    <cellStyle name="Comma 4 4 12" xfId="8804" xr:uid="{A2BB6322-7771-45CD-845C-77E2FE03AC7A}"/>
    <cellStyle name="Comma 4 4 12 2" xfId="18128" xr:uid="{0FD2D6B6-5091-406A-B27E-BBAD3F892C70}"/>
    <cellStyle name="Comma 4 4 13" xfId="9733" xr:uid="{7706F1E1-5F9D-46E0-A673-46E0A2E9111C}"/>
    <cellStyle name="Comma 4 4 2" xfId="154" xr:uid="{00000000-0005-0000-0000-0000CD090000}"/>
    <cellStyle name="Comma 4 4 2 10" xfId="4625" xr:uid="{00000000-0005-0000-0000-0000CE090000}"/>
    <cellStyle name="Comma 4 4 2 10 2" xfId="13951" xr:uid="{4F703BF4-1058-4B1D-8549-CD43966C95B5}"/>
    <cellStyle name="Comma 4 4 2 11" xfId="8907" xr:uid="{F9F87618-3BA1-4211-A686-62CF5BBA5770}"/>
    <cellStyle name="Comma 4 4 2 11 2" xfId="18231" xr:uid="{C53CDF3D-CACF-4440-9CAC-58C93CA0508A}"/>
    <cellStyle name="Comma 4 4 2 12" xfId="9734" xr:uid="{BCC3998C-3758-4897-92F0-2761403E2BB8}"/>
    <cellStyle name="Comma 4 4 2 2" xfId="155" xr:uid="{00000000-0005-0000-0000-0000CF090000}"/>
    <cellStyle name="Comma 4 4 2 2 10" xfId="9114" xr:uid="{871FAC03-A44E-4C24-806C-3CC0605FD124}"/>
    <cellStyle name="Comma 4 4 2 2 10 2" xfId="18438" xr:uid="{807575F6-79C8-4A18-9C62-966093AD783B}"/>
    <cellStyle name="Comma 4 4 2 2 11" xfId="9735" xr:uid="{9704B220-E43C-4F9B-A314-03E67088A517}"/>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32FACF26-BC23-4EB3-9C99-BF2B4192C8CD}"/>
    <cellStyle name="Comma 4 4 2 2 2 2 3" xfId="12294" xr:uid="{DED8EE16-5E2E-4C4B-81C3-449E3F5C108E}"/>
    <cellStyle name="Comma 4 4 2 2 2 3" xfId="5040" xr:uid="{00000000-0005-0000-0000-0000D3090000}"/>
    <cellStyle name="Comma 4 4 2 2 2 3 2" xfId="14366" xr:uid="{0CBC8D87-1041-4601-B1C6-401F46F19F71}"/>
    <cellStyle name="Comma 4 4 2 2 2 4" xfId="9539" xr:uid="{6209A471-8158-46C6-9ADA-C828BB6621B2}"/>
    <cellStyle name="Comma 4 4 2 2 2 4 2" xfId="18854" xr:uid="{382BC4C7-C165-4A10-B24B-998AD3733F26}"/>
    <cellStyle name="Comma 4 4 2 2 2 5" xfId="10149" xr:uid="{DC4FADEF-A7D0-47EF-BB71-DB3893C0A146}"/>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29C4383D-734C-4691-AD38-6EE6A4AC358A}"/>
    <cellStyle name="Comma 4 4 2 2 3 2 3" xfId="12707" xr:uid="{CEABC93E-1F6B-41C3-BDE9-10EA33C215C8}"/>
    <cellStyle name="Comma 4 4 2 2 3 3" xfId="5453" xr:uid="{00000000-0005-0000-0000-0000D7090000}"/>
    <cellStyle name="Comma 4 4 2 2 3 3 2" xfId="14779" xr:uid="{E6F82C2B-899C-404E-9FD1-26A83BA0C77C}"/>
    <cellStyle name="Comma 4 4 2 2 3 4" xfId="10562" xr:uid="{1D3FF3DA-C7E8-4C82-BCC6-FC9097F8F0C5}"/>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D46C417E-373A-449B-85C7-5C1C809AA6EC}"/>
    <cellStyle name="Comma 4 4 2 2 4 2 3" xfId="13120" xr:uid="{A046CB70-A2D2-4EA3-BAD4-7E2F19DD48E7}"/>
    <cellStyle name="Comma 4 4 2 2 4 3" xfId="5866" xr:uid="{00000000-0005-0000-0000-0000DB090000}"/>
    <cellStyle name="Comma 4 4 2 2 4 3 2" xfId="15192" xr:uid="{76FCA2EE-7483-433B-AA07-C74BAD9A4DF2}"/>
    <cellStyle name="Comma 4 4 2 2 4 4" xfId="10975" xr:uid="{7983A423-C2F6-49A1-8F20-B28ED5B752CD}"/>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4EAFF565-BA60-4AB1-B91F-203D72141032}"/>
    <cellStyle name="Comma 4 4 2 2 5 2 3" xfId="13533" xr:uid="{B06A4C4E-7354-468D-979C-13F7F423D036}"/>
    <cellStyle name="Comma 4 4 2 2 5 3" xfId="6279" xr:uid="{00000000-0005-0000-0000-0000DF090000}"/>
    <cellStyle name="Comma 4 4 2 2 5 3 2" xfId="15605" xr:uid="{BE0BBB97-9F44-4D91-85C8-2FFEC1677DDC}"/>
    <cellStyle name="Comma 4 4 2 2 5 4" xfId="11388" xr:uid="{AA227DA4-B7C9-47BA-929E-33077C39EBA5}"/>
    <cellStyle name="Comma 4 4 2 2 6" xfId="2408" xr:uid="{00000000-0005-0000-0000-0000E0090000}"/>
    <cellStyle name="Comma 4 4 2 2 6 2" xfId="6692" xr:uid="{00000000-0005-0000-0000-0000E1090000}"/>
    <cellStyle name="Comma 4 4 2 2 6 2 2" xfId="16018" xr:uid="{B1FD39A3-9489-498C-AB4A-3D1FFEAEDEA2}"/>
    <cellStyle name="Comma 4 4 2 2 6 3" xfId="11801" xr:uid="{CA249088-1CEF-40E1-8D90-7579C4C1272F}"/>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BA16BA69-32FC-4F87-81D1-539A9673495F}"/>
    <cellStyle name="Comma 4 4 2 2 8 3" xfId="12118" xr:uid="{59676BE8-3020-4173-8DA4-163366E1ACB7}"/>
    <cellStyle name="Comma 4 4 2 2 9" xfId="4626" xr:uid="{00000000-0005-0000-0000-0000E5090000}"/>
    <cellStyle name="Comma 4 4 2 2 9 2" xfId="13952" xr:uid="{5E662451-AAE3-4967-BEC9-125EA47A63AA}"/>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FC97692C-8022-491A-A31D-3CB58A60CB23}"/>
    <cellStyle name="Comma 4 4 2 3 2 3" xfId="12293" xr:uid="{83063C1B-CD8E-40EC-91DA-C84F10E50B84}"/>
    <cellStyle name="Comma 4 4 2 3 3" xfId="5039" xr:uid="{00000000-0005-0000-0000-0000E9090000}"/>
    <cellStyle name="Comma 4 4 2 3 3 2" xfId="14365" xr:uid="{78A4A639-C77D-4D2D-96A9-FEFA16334DBA}"/>
    <cellStyle name="Comma 4 4 2 3 4" xfId="9332" xr:uid="{00F59ECD-64D7-476B-90FD-CD86F054AE4D}"/>
    <cellStyle name="Comma 4 4 2 3 4 2" xfId="18647" xr:uid="{674DB077-800F-44E0-84C9-19ADC0919B43}"/>
    <cellStyle name="Comma 4 4 2 3 5" xfId="10148" xr:uid="{C497F2FB-6150-4F93-BFE7-045F2014DC4D}"/>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D59FD78C-5891-4A3A-9FAE-963A0D599AC3}"/>
    <cellStyle name="Comma 4 4 2 4 2 3" xfId="12706" xr:uid="{42F034CB-8DAF-4277-BF5A-B4BC51EA57FB}"/>
    <cellStyle name="Comma 4 4 2 4 3" xfId="5452" xr:uid="{00000000-0005-0000-0000-0000ED090000}"/>
    <cellStyle name="Comma 4 4 2 4 3 2" xfId="14778" xr:uid="{327763F6-71F5-4DED-9D0D-0ECD7E92438E}"/>
    <cellStyle name="Comma 4 4 2 4 4" xfId="10561" xr:uid="{BFD43779-94FE-471F-8FB6-45D96D6F16F5}"/>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AEC9FB49-8BE7-4532-9322-494047B53568}"/>
    <cellStyle name="Comma 4 4 2 5 2 3" xfId="13119" xr:uid="{0C3BEF00-87D4-4A7D-831C-DB0DD040DA09}"/>
    <cellStyle name="Comma 4 4 2 5 3" xfId="5865" xr:uid="{00000000-0005-0000-0000-0000F1090000}"/>
    <cellStyle name="Comma 4 4 2 5 3 2" xfId="15191" xr:uid="{575EA547-C631-4999-A2C9-1C149B88C5DB}"/>
    <cellStyle name="Comma 4 4 2 5 4" xfId="10974" xr:uid="{F738BD15-54C6-41B6-92B1-3A443A1FCDCF}"/>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1B1529FD-0201-46D6-AF49-1114068E1980}"/>
    <cellStyle name="Comma 4 4 2 6 2 3" xfId="13532" xr:uid="{30C143E3-B0A8-4AFF-AB92-D7CAD75C3329}"/>
    <cellStyle name="Comma 4 4 2 6 3" xfId="6278" xr:uid="{00000000-0005-0000-0000-0000F5090000}"/>
    <cellStyle name="Comma 4 4 2 6 3 2" xfId="15604" xr:uid="{B29B19CE-2226-4E66-B8AF-DD05D9B26957}"/>
    <cellStyle name="Comma 4 4 2 6 4" xfId="11387" xr:uid="{210838A2-00A5-4C7F-9220-BAD9287FA052}"/>
    <cellStyle name="Comma 4 4 2 7" xfId="2407" xr:uid="{00000000-0005-0000-0000-0000F6090000}"/>
    <cellStyle name="Comma 4 4 2 7 2" xfId="6691" xr:uid="{00000000-0005-0000-0000-0000F7090000}"/>
    <cellStyle name="Comma 4 4 2 7 2 2" xfId="16017" xr:uid="{EE22EDF3-6714-4B7F-BEC0-DA1EFF4A367C}"/>
    <cellStyle name="Comma 4 4 2 7 3" xfId="11800" xr:uid="{965DA2EA-0B26-44D3-B408-7C6894937CB3}"/>
    <cellStyle name="Comma 4 4 2 8" xfId="2703" xr:uid="{00000000-0005-0000-0000-0000F8090000}"/>
    <cellStyle name="Comma 4 4 2 9" xfId="2785" xr:uid="{00000000-0005-0000-0000-0000F9090000}"/>
    <cellStyle name="Comma 4 4 2 9 2" xfId="7008" xr:uid="{00000000-0005-0000-0000-0000FA090000}"/>
    <cellStyle name="Comma 4 4 2 9 2 2" xfId="16334" xr:uid="{AB97494B-AC23-4E08-BA67-C23C27877350}"/>
    <cellStyle name="Comma 4 4 2 9 3" xfId="12117" xr:uid="{F719541B-BA64-4A3B-828D-FB72B8A3F1A5}"/>
    <cellStyle name="Comma 4 4 3" xfId="156" xr:uid="{00000000-0005-0000-0000-0000FB090000}"/>
    <cellStyle name="Comma 4 4 3 10" xfId="9011" xr:uid="{31ED03AD-AB12-49AF-9AD4-B783F0BF7322}"/>
    <cellStyle name="Comma 4 4 3 10 2" xfId="18335" xr:uid="{B384D3D6-58A8-4097-9335-3EBE8D5EEDC4}"/>
    <cellStyle name="Comma 4 4 3 11" xfId="9736" xr:uid="{9E558640-EB2B-41DD-9374-A8A6295CD100}"/>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DFA92593-612F-4267-82DB-60E9F52BE5BD}"/>
    <cellStyle name="Comma 4 4 3 2 2 3" xfId="12295" xr:uid="{A011748B-21FA-49FA-AA56-4A58881461AE}"/>
    <cellStyle name="Comma 4 4 3 2 3" xfId="5041" xr:uid="{00000000-0005-0000-0000-0000FF090000}"/>
    <cellStyle name="Comma 4 4 3 2 3 2" xfId="14367" xr:uid="{447B094E-DDD1-4A91-A1BC-BDC2F7B49C47}"/>
    <cellStyle name="Comma 4 4 3 2 4" xfId="9436" xr:uid="{5B7DDC25-9095-4E8E-BD31-668F46BBD33F}"/>
    <cellStyle name="Comma 4 4 3 2 4 2" xfId="18751" xr:uid="{094FB792-2553-41E6-B998-B1CA8A069900}"/>
    <cellStyle name="Comma 4 4 3 2 5" xfId="10150" xr:uid="{02880152-BB9B-49B4-BEC4-3D1A31FE5630}"/>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48986494-BC0F-4096-8174-6313F3E864E0}"/>
    <cellStyle name="Comma 4 4 3 3 2 3" xfId="12708" xr:uid="{B49FE8F0-D01A-4BEA-8E90-BA77BDB76C6C}"/>
    <cellStyle name="Comma 4 4 3 3 3" xfId="5454" xr:uid="{00000000-0005-0000-0000-0000030A0000}"/>
    <cellStyle name="Comma 4 4 3 3 3 2" xfId="14780" xr:uid="{628E9B56-F39C-4BB4-87D1-450DA4181639}"/>
    <cellStyle name="Comma 4 4 3 3 4" xfId="10563" xr:uid="{88BF124D-2463-4373-ACFA-A47F1C8EA87A}"/>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867819D2-8AB5-4260-87FF-971993061CD0}"/>
    <cellStyle name="Comma 4 4 3 4 2 3" xfId="13121" xr:uid="{DCD6A2AC-DE0C-481E-8B13-66F39F0BD3F8}"/>
    <cellStyle name="Comma 4 4 3 4 3" xfId="5867" xr:uid="{00000000-0005-0000-0000-0000070A0000}"/>
    <cellStyle name="Comma 4 4 3 4 3 2" xfId="15193" xr:uid="{122C771F-A54D-442D-935F-036A6D947249}"/>
    <cellStyle name="Comma 4 4 3 4 4" xfId="10976" xr:uid="{03801305-B872-4B20-9F7C-21386573E0B4}"/>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6A97CFA6-839C-43C8-8A3A-E6176166E0EE}"/>
    <cellStyle name="Comma 4 4 3 5 2 3" xfId="13534" xr:uid="{65F894AD-54E5-4171-881C-18F92CBC57DB}"/>
    <cellStyle name="Comma 4 4 3 5 3" xfId="6280" xr:uid="{00000000-0005-0000-0000-00000B0A0000}"/>
    <cellStyle name="Comma 4 4 3 5 3 2" xfId="15606" xr:uid="{47744646-CA09-4580-B11C-591E733FD941}"/>
    <cellStyle name="Comma 4 4 3 5 4" xfId="11389" xr:uid="{246DCDE4-D694-4409-95B6-43602D426FBB}"/>
    <cellStyle name="Comma 4 4 3 6" xfId="2409" xr:uid="{00000000-0005-0000-0000-00000C0A0000}"/>
    <cellStyle name="Comma 4 4 3 6 2" xfId="6693" xr:uid="{00000000-0005-0000-0000-00000D0A0000}"/>
    <cellStyle name="Comma 4 4 3 6 2 2" xfId="16019" xr:uid="{20E057A5-34BC-45FE-88D3-187FD2DFDA88}"/>
    <cellStyle name="Comma 4 4 3 6 3" xfId="11802" xr:uid="{2056B208-6693-4296-B8A2-E5B149A711A8}"/>
    <cellStyle name="Comma 4 4 3 7" xfId="2705" xr:uid="{00000000-0005-0000-0000-00000E0A0000}"/>
    <cellStyle name="Comma 4 4 3 8" xfId="2787" xr:uid="{00000000-0005-0000-0000-00000F0A0000}"/>
    <cellStyle name="Comma 4 4 3 8 2" xfId="7010" xr:uid="{00000000-0005-0000-0000-0000100A0000}"/>
    <cellStyle name="Comma 4 4 3 8 2 2" xfId="16336" xr:uid="{6FDC7F3E-22E4-4F37-80B6-70CEB63EF673}"/>
    <cellStyle name="Comma 4 4 3 8 3" xfId="12119" xr:uid="{2676A061-B456-4B91-B5F2-EDF614CC90B2}"/>
    <cellStyle name="Comma 4 4 3 9" xfId="4627" xr:uid="{00000000-0005-0000-0000-0000110A0000}"/>
    <cellStyle name="Comma 4 4 3 9 2" xfId="13953" xr:uid="{2376A531-A2C0-4697-91B9-EA0594277992}"/>
    <cellStyle name="Comma 4 4 4" xfId="690" xr:uid="{00000000-0005-0000-0000-0000120A0000}"/>
    <cellStyle name="Comma 4 4 4 2" xfId="2961" xr:uid="{00000000-0005-0000-0000-0000130A0000}"/>
    <cellStyle name="Comma 4 4 4 2 2" xfId="7183" xr:uid="{00000000-0005-0000-0000-0000140A0000}"/>
    <cellStyle name="Comma 4 4 4 2 2 2" xfId="16509" xr:uid="{D9F70510-EA10-470F-A99C-08C3AE83A8B4}"/>
    <cellStyle name="Comma 4 4 4 2 3" xfId="12292" xr:uid="{22049D3B-7E4D-4E71-98DA-BC815FDEE30C}"/>
    <cellStyle name="Comma 4 4 4 3" xfId="5038" xr:uid="{00000000-0005-0000-0000-0000150A0000}"/>
    <cellStyle name="Comma 4 4 4 3 2" xfId="14364" xr:uid="{261717D1-5638-462E-B573-A9972FF0EF99}"/>
    <cellStyle name="Comma 4 4 4 4" xfId="9229" xr:uid="{5D655A80-2199-4116-9BF2-7327D5827395}"/>
    <cellStyle name="Comma 4 4 4 4 2" xfId="18544" xr:uid="{7EDB90B5-AE49-42B2-90FD-0F464E1C35B6}"/>
    <cellStyle name="Comma 4 4 4 5" xfId="10147" xr:uid="{B5DA74DC-5E02-4FC7-86C6-CFDB156A5566}"/>
    <cellStyle name="Comma 4 4 5" xfId="1143" xr:uid="{00000000-0005-0000-0000-0000160A0000}"/>
    <cellStyle name="Comma 4 4 5 2" xfId="3374" xr:uid="{00000000-0005-0000-0000-0000170A0000}"/>
    <cellStyle name="Comma 4 4 5 2 2" xfId="7596" xr:uid="{00000000-0005-0000-0000-0000180A0000}"/>
    <cellStyle name="Comma 4 4 5 2 2 2" xfId="16922" xr:uid="{7D59825E-C87E-4D84-ADE8-42B7676E236D}"/>
    <cellStyle name="Comma 4 4 5 2 3" xfId="12705" xr:uid="{DDBD709B-BC55-4E39-9FC1-2A58E18A4F69}"/>
    <cellStyle name="Comma 4 4 5 3" xfId="5451" xr:uid="{00000000-0005-0000-0000-0000190A0000}"/>
    <cellStyle name="Comma 4 4 5 3 2" xfId="14777" xr:uid="{ADA3B002-6B02-414F-A43B-1078F02C0C6E}"/>
    <cellStyle name="Comma 4 4 5 4" xfId="10560" xr:uid="{108ED608-9929-42A8-B7CB-7F8EEE4BBF22}"/>
    <cellStyle name="Comma 4 4 6" xfId="1557" xr:uid="{00000000-0005-0000-0000-00001A0A0000}"/>
    <cellStyle name="Comma 4 4 6 2" xfId="3787" xr:uid="{00000000-0005-0000-0000-00001B0A0000}"/>
    <cellStyle name="Comma 4 4 6 2 2" xfId="8009" xr:uid="{00000000-0005-0000-0000-00001C0A0000}"/>
    <cellStyle name="Comma 4 4 6 2 2 2" xfId="17335" xr:uid="{04EA0D99-878C-42E9-8149-2BD7821D02F6}"/>
    <cellStyle name="Comma 4 4 6 2 3" xfId="13118" xr:uid="{CC02AF36-6F82-48E3-84D6-64306AD08E09}"/>
    <cellStyle name="Comma 4 4 6 3" xfId="5864" xr:uid="{00000000-0005-0000-0000-00001D0A0000}"/>
    <cellStyle name="Comma 4 4 6 3 2" xfId="15190" xr:uid="{878A7F61-312F-4E76-9C4B-DB3CD6B40268}"/>
    <cellStyle name="Comma 4 4 6 4" xfId="10973" xr:uid="{E23BB84A-3EA6-4E6A-9D3D-F3C75969DF9E}"/>
    <cellStyle name="Comma 4 4 7" xfId="1971" xr:uid="{00000000-0005-0000-0000-00001E0A0000}"/>
    <cellStyle name="Comma 4 4 7 2" xfId="4200" xr:uid="{00000000-0005-0000-0000-00001F0A0000}"/>
    <cellStyle name="Comma 4 4 7 2 2" xfId="8422" xr:uid="{00000000-0005-0000-0000-0000200A0000}"/>
    <cellStyle name="Comma 4 4 7 2 2 2" xfId="17748" xr:uid="{97483ED5-9176-4532-B6E9-BCD230417DD2}"/>
    <cellStyle name="Comma 4 4 7 2 3" xfId="13531" xr:uid="{51D64305-3018-47FD-8BA7-D2DC4C61379B}"/>
    <cellStyle name="Comma 4 4 7 3" xfId="6277" xr:uid="{00000000-0005-0000-0000-0000210A0000}"/>
    <cellStyle name="Comma 4 4 7 3 2" xfId="15603" xr:uid="{8F9BC553-5A7F-43FF-AECE-E3F42989404A}"/>
    <cellStyle name="Comma 4 4 7 4" xfId="11386" xr:uid="{BE304261-269A-499E-A919-0B93E2405F52}"/>
    <cellStyle name="Comma 4 4 8" xfId="2406" xr:uid="{00000000-0005-0000-0000-0000220A0000}"/>
    <cellStyle name="Comma 4 4 8 2" xfId="6690" xr:uid="{00000000-0005-0000-0000-0000230A0000}"/>
    <cellStyle name="Comma 4 4 8 2 2" xfId="16016" xr:uid="{DC6C3394-28E8-454D-9BEB-BF8CC5680B60}"/>
    <cellStyle name="Comma 4 4 8 3" xfId="11799" xr:uid="{842D7BA1-A548-41B5-83AE-177DB0FD9B45}"/>
    <cellStyle name="Comma 4 4 9" xfId="2702" xr:uid="{00000000-0005-0000-0000-0000240A0000}"/>
    <cellStyle name="Comma 4 5" xfId="157" xr:uid="{00000000-0005-0000-0000-0000250A0000}"/>
    <cellStyle name="Comma 4 5 10" xfId="4628" xr:uid="{00000000-0005-0000-0000-0000260A0000}"/>
    <cellStyle name="Comma 4 5 10 2" xfId="13954" xr:uid="{16F71BBA-6582-4609-8005-EF7C2800CF0A}"/>
    <cellStyle name="Comma 4 5 11" xfId="8849" xr:uid="{344CCE08-63E3-41E8-B38A-00347480820F}"/>
    <cellStyle name="Comma 4 5 11 2" xfId="18173" xr:uid="{BB4DB6E1-E080-471F-B106-2CA1E7EAE703}"/>
    <cellStyle name="Comma 4 5 12" xfId="9737" xr:uid="{DFBAE09D-6040-4D0C-8A87-813921646ABE}"/>
    <cellStyle name="Comma 4 5 2" xfId="158" xr:uid="{00000000-0005-0000-0000-0000270A0000}"/>
    <cellStyle name="Comma 4 5 2 10" xfId="9056" xr:uid="{C7C2153B-7EAA-4A13-9C28-1151ACD100A8}"/>
    <cellStyle name="Comma 4 5 2 10 2" xfId="18380" xr:uid="{24D28EEE-69BD-4F9F-A654-509F16D3B687}"/>
    <cellStyle name="Comma 4 5 2 11" xfId="9738" xr:uid="{F6DEC0CE-C5A6-4EB9-A9DE-BF8518E67D11}"/>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F84CA846-EF8D-4506-AD26-F218FB1B8173}"/>
    <cellStyle name="Comma 4 5 2 2 2 3" xfId="12297" xr:uid="{7059B65D-D24B-4D91-A70B-6B50227FC016}"/>
    <cellStyle name="Comma 4 5 2 2 3" xfId="5043" xr:uid="{00000000-0005-0000-0000-00002B0A0000}"/>
    <cellStyle name="Comma 4 5 2 2 3 2" xfId="14369" xr:uid="{6DAE687C-6C14-48DA-95F2-0865EBC726F0}"/>
    <cellStyle name="Comma 4 5 2 2 4" xfId="9481" xr:uid="{47C88F6D-21B1-4457-908C-FFAB8FF83BD1}"/>
    <cellStyle name="Comma 4 5 2 2 4 2" xfId="18796" xr:uid="{4E060625-D96C-471A-B8B4-809383F58769}"/>
    <cellStyle name="Comma 4 5 2 2 5" xfId="10152" xr:uid="{7C039BE7-FFC3-4A50-AAFB-4D52DBBF3F7B}"/>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F82D2655-0838-4927-9335-9DC7A1B883BD}"/>
    <cellStyle name="Comma 4 5 2 3 2 3" xfId="12710" xr:uid="{AF664C9C-685E-48D6-90DF-A502A2804102}"/>
    <cellStyle name="Comma 4 5 2 3 3" xfId="5456" xr:uid="{00000000-0005-0000-0000-00002F0A0000}"/>
    <cellStyle name="Comma 4 5 2 3 3 2" xfId="14782" xr:uid="{3D330A92-D055-4FE0-B3A6-65461B99E493}"/>
    <cellStyle name="Comma 4 5 2 3 4" xfId="10565" xr:uid="{9654C5E0-EDA5-4E9D-BC01-87516466C5E9}"/>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1A3DDC9E-2838-45E2-A3E2-13F2DAD8330C}"/>
    <cellStyle name="Comma 4 5 2 4 2 3" xfId="13123" xr:uid="{1EFD48D8-F301-4D6E-BF6D-668DD98EE2C3}"/>
    <cellStyle name="Comma 4 5 2 4 3" xfId="5869" xr:uid="{00000000-0005-0000-0000-0000330A0000}"/>
    <cellStyle name="Comma 4 5 2 4 3 2" xfId="15195" xr:uid="{9AAC7C59-A3D9-45C8-B3F0-841B4E08237C}"/>
    <cellStyle name="Comma 4 5 2 4 4" xfId="10978" xr:uid="{22E056AA-1771-432C-9E36-21508D5533D1}"/>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8C19D865-596D-4F89-B005-BE43F6ECD486}"/>
    <cellStyle name="Comma 4 5 2 5 2 3" xfId="13536" xr:uid="{AFC55DF7-8E15-4108-BB4A-0B825B1C381E}"/>
    <cellStyle name="Comma 4 5 2 5 3" xfId="6282" xr:uid="{00000000-0005-0000-0000-0000370A0000}"/>
    <cellStyle name="Comma 4 5 2 5 3 2" xfId="15608" xr:uid="{1B31C1CB-E740-4AA8-8FFB-C75CEE33412D}"/>
    <cellStyle name="Comma 4 5 2 5 4" xfId="11391" xr:uid="{5104800A-EDAE-4E19-8983-7DE43A927DA0}"/>
    <cellStyle name="Comma 4 5 2 6" xfId="2411" xr:uid="{00000000-0005-0000-0000-0000380A0000}"/>
    <cellStyle name="Comma 4 5 2 6 2" xfId="6695" xr:uid="{00000000-0005-0000-0000-0000390A0000}"/>
    <cellStyle name="Comma 4 5 2 6 2 2" xfId="16021" xr:uid="{B55326F3-8188-44A1-A559-CB637D56F8BB}"/>
    <cellStyle name="Comma 4 5 2 6 3" xfId="11804" xr:uid="{ABF68458-7CB3-4D56-84EE-944DBEAFC2E5}"/>
    <cellStyle name="Comma 4 5 2 7" xfId="2707" xr:uid="{00000000-0005-0000-0000-00003A0A0000}"/>
    <cellStyle name="Comma 4 5 2 8" xfId="2789" xr:uid="{00000000-0005-0000-0000-00003B0A0000}"/>
    <cellStyle name="Comma 4 5 2 8 2" xfId="7012" xr:uid="{00000000-0005-0000-0000-00003C0A0000}"/>
    <cellStyle name="Comma 4 5 2 8 2 2" xfId="16338" xr:uid="{49339587-8CDC-4D61-ABFF-04D412877EEB}"/>
    <cellStyle name="Comma 4 5 2 8 3" xfId="12121" xr:uid="{0D5D1E71-B72C-4848-8F2A-1B9FD081E533}"/>
    <cellStyle name="Comma 4 5 2 9" xfId="4629" xr:uid="{00000000-0005-0000-0000-00003D0A0000}"/>
    <cellStyle name="Comma 4 5 2 9 2" xfId="13955" xr:uid="{8654547E-BE07-4BEA-9629-69A13509DA09}"/>
    <cellStyle name="Comma 4 5 3" xfId="694" xr:uid="{00000000-0005-0000-0000-00003E0A0000}"/>
    <cellStyle name="Comma 4 5 3 2" xfId="2965" xr:uid="{00000000-0005-0000-0000-00003F0A0000}"/>
    <cellStyle name="Comma 4 5 3 2 2" xfId="7187" xr:uid="{00000000-0005-0000-0000-0000400A0000}"/>
    <cellStyle name="Comma 4 5 3 2 2 2" xfId="16513" xr:uid="{BCEBEA07-536E-4D82-9026-B6DC34BBC271}"/>
    <cellStyle name="Comma 4 5 3 2 3" xfId="12296" xr:uid="{EDE80BF4-538F-44B9-9D84-023B77BF7FD3}"/>
    <cellStyle name="Comma 4 5 3 3" xfId="5042" xr:uid="{00000000-0005-0000-0000-0000410A0000}"/>
    <cellStyle name="Comma 4 5 3 3 2" xfId="14368" xr:uid="{C5771030-C00F-417F-AB77-F3F7868F8A6A}"/>
    <cellStyle name="Comma 4 5 3 4" xfId="9274" xr:uid="{04AC3EF2-4A78-4DC5-BAB4-87936023C7E5}"/>
    <cellStyle name="Comma 4 5 3 4 2" xfId="18589" xr:uid="{B68E0C4F-FA27-42E2-A917-0F5CE321E4FC}"/>
    <cellStyle name="Comma 4 5 3 5" xfId="10151" xr:uid="{C6DFE229-8683-4DA1-9DD8-8A6DDB5A8C59}"/>
    <cellStyle name="Comma 4 5 4" xfId="1147" xr:uid="{00000000-0005-0000-0000-0000420A0000}"/>
    <cellStyle name="Comma 4 5 4 2" xfId="3378" xr:uid="{00000000-0005-0000-0000-0000430A0000}"/>
    <cellStyle name="Comma 4 5 4 2 2" xfId="7600" xr:uid="{00000000-0005-0000-0000-0000440A0000}"/>
    <cellStyle name="Comma 4 5 4 2 2 2" xfId="16926" xr:uid="{F959E953-73F6-4B95-A5E1-A0DE784DC851}"/>
    <cellStyle name="Comma 4 5 4 2 3" xfId="12709" xr:uid="{8B2AE15E-BD4F-4ED5-9841-2369B3103342}"/>
    <cellStyle name="Comma 4 5 4 3" xfId="5455" xr:uid="{00000000-0005-0000-0000-0000450A0000}"/>
    <cellStyle name="Comma 4 5 4 3 2" xfId="14781" xr:uid="{0D353F62-E474-4170-83BC-E7ED32581971}"/>
    <cellStyle name="Comma 4 5 4 4" xfId="10564" xr:uid="{630889FF-2130-45F5-96A8-C670B41111A5}"/>
    <cellStyle name="Comma 4 5 5" xfId="1561" xr:uid="{00000000-0005-0000-0000-0000460A0000}"/>
    <cellStyle name="Comma 4 5 5 2" xfId="3791" xr:uid="{00000000-0005-0000-0000-0000470A0000}"/>
    <cellStyle name="Comma 4 5 5 2 2" xfId="8013" xr:uid="{00000000-0005-0000-0000-0000480A0000}"/>
    <cellStyle name="Comma 4 5 5 2 2 2" xfId="17339" xr:uid="{4683B786-ED7A-459B-BDFC-337F4EDF8C6E}"/>
    <cellStyle name="Comma 4 5 5 2 3" xfId="13122" xr:uid="{5005085E-E38A-4243-AF0A-98E6D32B39F3}"/>
    <cellStyle name="Comma 4 5 5 3" xfId="5868" xr:uid="{00000000-0005-0000-0000-0000490A0000}"/>
    <cellStyle name="Comma 4 5 5 3 2" xfId="15194" xr:uid="{D3899E2A-7293-482A-9BDE-6702E48EE937}"/>
    <cellStyle name="Comma 4 5 5 4" xfId="10977" xr:uid="{8A130D22-1616-4D0E-8F17-8E612892D726}"/>
    <cellStyle name="Comma 4 5 6" xfId="1975" xr:uid="{00000000-0005-0000-0000-00004A0A0000}"/>
    <cellStyle name="Comma 4 5 6 2" xfId="4204" xr:uid="{00000000-0005-0000-0000-00004B0A0000}"/>
    <cellStyle name="Comma 4 5 6 2 2" xfId="8426" xr:uid="{00000000-0005-0000-0000-00004C0A0000}"/>
    <cellStyle name="Comma 4 5 6 2 2 2" xfId="17752" xr:uid="{EA8B11CF-0C59-4DD4-9A96-847C3856CA97}"/>
    <cellStyle name="Comma 4 5 6 2 3" xfId="13535" xr:uid="{4670EFE5-85D6-4149-8B6D-96310FD1E54D}"/>
    <cellStyle name="Comma 4 5 6 3" xfId="6281" xr:uid="{00000000-0005-0000-0000-00004D0A0000}"/>
    <cellStyle name="Comma 4 5 6 3 2" xfId="15607" xr:uid="{09C56637-D014-4558-81C6-4256EEB1B577}"/>
    <cellStyle name="Comma 4 5 6 4" xfId="11390" xr:uid="{F9108668-8C42-4180-8603-964FCF13A0E2}"/>
    <cellStyle name="Comma 4 5 7" xfId="2410" xr:uid="{00000000-0005-0000-0000-00004E0A0000}"/>
    <cellStyle name="Comma 4 5 7 2" xfId="6694" xr:uid="{00000000-0005-0000-0000-00004F0A0000}"/>
    <cellStyle name="Comma 4 5 7 2 2" xfId="16020" xr:uid="{9CE03AA5-D3A8-4B31-A6CF-7D05130C1671}"/>
    <cellStyle name="Comma 4 5 7 3" xfId="11803" xr:uid="{18694801-9C3C-4798-A7FF-345F6E459A6D}"/>
    <cellStyle name="Comma 4 5 8" xfId="2706" xr:uid="{00000000-0005-0000-0000-0000500A0000}"/>
    <cellStyle name="Comma 4 5 9" xfId="2788" xr:uid="{00000000-0005-0000-0000-0000510A0000}"/>
    <cellStyle name="Comma 4 5 9 2" xfId="7011" xr:uid="{00000000-0005-0000-0000-0000520A0000}"/>
    <cellStyle name="Comma 4 5 9 2 2" xfId="16337" xr:uid="{ADBBF3CD-A281-4108-8EDC-6DB3C7E14E0F}"/>
    <cellStyle name="Comma 4 5 9 3" xfId="12120" xr:uid="{16742240-790C-4DCD-A90B-C6A9EC096265}"/>
    <cellStyle name="Comma 4 6" xfId="159" xr:uid="{00000000-0005-0000-0000-0000530A0000}"/>
    <cellStyle name="Comma 4 6 10" xfId="8965" xr:uid="{FDA33E7D-96B8-46F2-87D8-5CB6C30A4CC6}"/>
    <cellStyle name="Comma 4 6 10 2" xfId="18289" xr:uid="{3D25BCAF-49EA-4456-BDB4-EC6726452EE9}"/>
    <cellStyle name="Comma 4 6 11" xfId="9739" xr:uid="{E57E922E-32E5-4480-A8FB-5D00B0C2071F}"/>
    <cellStyle name="Comma 4 6 2" xfId="696" xr:uid="{00000000-0005-0000-0000-0000540A0000}"/>
    <cellStyle name="Comma 4 6 2 2" xfId="2967" xr:uid="{00000000-0005-0000-0000-0000550A0000}"/>
    <cellStyle name="Comma 4 6 2 2 2" xfId="7189" xr:uid="{00000000-0005-0000-0000-0000560A0000}"/>
    <cellStyle name="Comma 4 6 2 2 2 2" xfId="16515" xr:uid="{FABC1D1E-EF29-4BE1-93A9-65E001B476A5}"/>
    <cellStyle name="Comma 4 6 2 2 3" xfId="12298" xr:uid="{7D96C0FF-211C-4059-B144-1EC3AC819044}"/>
    <cellStyle name="Comma 4 6 2 3" xfId="5044" xr:uid="{00000000-0005-0000-0000-0000570A0000}"/>
    <cellStyle name="Comma 4 6 2 3 2" xfId="14370" xr:uid="{B194086E-1AFF-4490-A699-6676D41B146A}"/>
    <cellStyle name="Comma 4 6 2 4" xfId="9390" xr:uid="{F8012948-A58F-476A-B4CF-A63C8F36D5B6}"/>
    <cellStyle name="Comma 4 6 2 4 2" xfId="18705" xr:uid="{4330BEC4-12B3-4CB5-8F9A-0C47B3191D18}"/>
    <cellStyle name="Comma 4 6 2 5" xfId="10153" xr:uid="{077C93FB-7E9A-4749-927D-6EC5CA56806F}"/>
    <cellStyle name="Comma 4 6 3" xfId="1149" xr:uid="{00000000-0005-0000-0000-0000580A0000}"/>
    <cellStyle name="Comma 4 6 3 2" xfId="3380" xr:uid="{00000000-0005-0000-0000-0000590A0000}"/>
    <cellStyle name="Comma 4 6 3 2 2" xfId="7602" xr:uid="{00000000-0005-0000-0000-00005A0A0000}"/>
    <cellStyle name="Comma 4 6 3 2 2 2" xfId="16928" xr:uid="{58E55E11-5CF0-4EE1-8CE1-0CF7F6089738}"/>
    <cellStyle name="Comma 4 6 3 2 3" xfId="12711" xr:uid="{539139D9-2F65-4D29-9C52-0D82A25E35DA}"/>
    <cellStyle name="Comma 4 6 3 3" xfId="5457" xr:uid="{00000000-0005-0000-0000-00005B0A0000}"/>
    <cellStyle name="Comma 4 6 3 3 2" xfId="14783" xr:uid="{C7BF0304-6849-4CA8-9BB0-8B4A55F8CC8A}"/>
    <cellStyle name="Comma 4 6 3 4" xfId="10566" xr:uid="{E7820875-85EF-4B91-A837-6860AD38F334}"/>
    <cellStyle name="Comma 4 6 4" xfId="1563" xr:uid="{00000000-0005-0000-0000-00005C0A0000}"/>
    <cellStyle name="Comma 4 6 4 2" xfId="3793" xr:uid="{00000000-0005-0000-0000-00005D0A0000}"/>
    <cellStyle name="Comma 4 6 4 2 2" xfId="8015" xr:uid="{00000000-0005-0000-0000-00005E0A0000}"/>
    <cellStyle name="Comma 4 6 4 2 2 2" xfId="17341" xr:uid="{C5AE41A9-91B6-4404-918B-5E89BF597BF9}"/>
    <cellStyle name="Comma 4 6 4 2 3" xfId="13124" xr:uid="{E83982C2-B552-4449-8416-BD43067A1D3E}"/>
    <cellStyle name="Comma 4 6 4 3" xfId="5870" xr:uid="{00000000-0005-0000-0000-00005F0A0000}"/>
    <cellStyle name="Comma 4 6 4 3 2" xfId="15196" xr:uid="{F166C965-8566-4352-9A41-A2115A1D8C0A}"/>
    <cellStyle name="Comma 4 6 4 4" xfId="10979" xr:uid="{C501A622-6A99-49BF-B798-B7CB751F4329}"/>
    <cellStyle name="Comma 4 6 5" xfId="1977" xr:uid="{00000000-0005-0000-0000-0000600A0000}"/>
    <cellStyle name="Comma 4 6 5 2" xfId="4206" xr:uid="{00000000-0005-0000-0000-0000610A0000}"/>
    <cellStyle name="Comma 4 6 5 2 2" xfId="8428" xr:uid="{00000000-0005-0000-0000-0000620A0000}"/>
    <cellStyle name="Comma 4 6 5 2 2 2" xfId="17754" xr:uid="{8211A6EB-D571-4B1B-B697-319D8E9C36B1}"/>
    <cellStyle name="Comma 4 6 5 2 3" xfId="13537" xr:uid="{4402ABB5-4BC7-4E2F-923C-641760C159CE}"/>
    <cellStyle name="Comma 4 6 5 3" xfId="6283" xr:uid="{00000000-0005-0000-0000-0000630A0000}"/>
    <cellStyle name="Comma 4 6 5 3 2" xfId="15609" xr:uid="{C12AC038-4811-48FF-8659-87E790405E92}"/>
    <cellStyle name="Comma 4 6 5 4" xfId="11392" xr:uid="{ADD7E0C3-853F-4469-A02E-65FFD0DA5218}"/>
    <cellStyle name="Comma 4 6 6" xfId="2412" xr:uid="{00000000-0005-0000-0000-0000640A0000}"/>
    <cellStyle name="Comma 4 6 6 2" xfId="6696" xr:uid="{00000000-0005-0000-0000-0000650A0000}"/>
    <cellStyle name="Comma 4 6 6 2 2" xfId="16022" xr:uid="{503568E8-7611-4D28-869F-A13C511B85C0}"/>
    <cellStyle name="Comma 4 6 6 3" xfId="11805" xr:uid="{C2B7B3A1-FEAB-4E3D-BADB-DDA3DA956DC3}"/>
    <cellStyle name="Comma 4 6 7" xfId="2708" xr:uid="{00000000-0005-0000-0000-0000660A0000}"/>
    <cellStyle name="Comma 4 6 8" xfId="2790" xr:uid="{00000000-0005-0000-0000-0000670A0000}"/>
    <cellStyle name="Comma 4 6 8 2" xfId="7013" xr:uid="{00000000-0005-0000-0000-0000680A0000}"/>
    <cellStyle name="Comma 4 6 8 2 2" xfId="16339" xr:uid="{2A4A3D78-4B51-4FE8-8380-3CD4BB4E0E54}"/>
    <cellStyle name="Comma 4 6 8 3" xfId="12122" xr:uid="{E09BD69E-0E0B-4AC1-88E7-409E56A4BA39}"/>
    <cellStyle name="Comma 4 6 9" xfId="4630" xr:uid="{00000000-0005-0000-0000-0000690A0000}"/>
    <cellStyle name="Comma 4 6 9 2" xfId="13956" xr:uid="{411A0EB3-E4D7-440A-A59D-00EC61EAF072}"/>
    <cellStyle name="Comma 4 7" xfId="160" xr:uid="{00000000-0005-0000-0000-00006A0A0000}"/>
    <cellStyle name="Comma 4 7 10" xfId="9168" xr:uid="{C5EF0C72-87BD-43A9-8A23-92F9D9423F50}"/>
    <cellStyle name="Comma 4 7 10 2" xfId="18486" xr:uid="{3A635539-020B-432C-86AB-2F7F1B534319}"/>
    <cellStyle name="Comma 4 7 11" xfId="9740" xr:uid="{FF24275E-8A21-4C23-9756-7EE888BE11DC}"/>
    <cellStyle name="Comma 4 7 2" xfId="697" xr:uid="{00000000-0005-0000-0000-00006B0A0000}"/>
    <cellStyle name="Comma 4 7 2 2" xfId="2968" xr:uid="{00000000-0005-0000-0000-00006C0A0000}"/>
    <cellStyle name="Comma 4 7 2 2 2" xfId="7190" xr:uid="{00000000-0005-0000-0000-00006D0A0000}"/>
    <cellStyle name="Comma 4 7 2 2 2 2" xfId="16516" xr:uid="{BAC805B6-E83F-4179-A256-32537565C5FF}"/>
    <cellStyle name="Comma 4 7 2 2 3" xfId="12299" xr:uid="{23ED615B-8A5D-4865-B601-F358F822CDB8}"/>
    <cellStyle name="Comma 4 7 2 3" xfId="5045" xr:uid="{00000000-0005-0000-0000-00006E0A0000}"/>
    <cellStyle name="Comma 4 7 2 3 2" xfId="14371" xr:uid="{782A524C-8E72-4F31-9991-78BCAF925E81}"/>
    <cellStyle name="Comma 4 7 2 4" xfId="9596" xr:uid="{F4A1C070-02C1-4F2A-89F2-15465D9BEBB2}"/>
    <cellStyle name="Comma 4 7 2 4 2" xfId="18900" xr:uid="{FC036D02-9F97-48B6-8C4F-B927F5EB937F}"/>
    <cellStyle name="Comma 4 7 2 5" xfId="10154" xr:uid="{97CCE07F-E335-44DB-A5FE-B519DC0C5870}"/>
    <cellStyle name="Comma 4 7 3" xfId="1150" xr:uid="{00000000-0005-0000-0000-00006F0A0000}"/>
    <cellStyle name="Comma 4 7 3 2" xfId="3381" xr:uid="{00000000-0005-0000-0000-0000700A0000}"/>
    <cellStyle name="Comma 4 7 3 2 2" xfId="7603" xr:uid="{00000000-0005-0000-0000-0000710A0000}"/>
    <cellStyle name="Comma 4 7 3 2 2 2" xfId="16929" xr:uid="{D681DFDC-F004-4A33-8479-5E66A76611D1}"/>
    <cellStyle name="Comma 4 7 3 2 3" xfId="12712" xr:uid="{76FD08CB-C2CA-417B-BCB0-FA7618189A1B}"/>
    <cellStyle name="Comma 4 7 3 3" xfId="5458" xr:uid="{00000000-0005-0000-0000-0000720A0000}"/>
    <cellStyle name="Comma 4 7 3 3 2" xfId="14784" xr:uid="{45792A1D-7FC7-47C3-B247-A6D7D7C8E112}"/>
    <cellStyle name="Comma 4 7 3 4" xfId="10567" xr:uid="{D0258435-E507-44EA-97F4-8ED310ECBFCA}"/>
    <cellStyle name="Comma 4 7 4" xfId="1564" xr:uid="{00000000-0005-0000-0000-0000730A0000}"/>
    <cellStyle name="Comma 4 7 4 2" xfId="3794" xr:uid="{00000000-0005-0000-0000-0000740A0000}"/>
    <cellStyle name="Comma 4 7 4 2 2" xfId="8016" xr:uid="{00000000-0005-0000-0000-0000750A0000}"/>
    <cellStyle name="Comma 4 7 4 2 2 2" xfId="17342" xr:uid="{C94125F0-07D8-4962-B352-248DCB41D6BD}"/>
    <cellStyle name="Comma 4 7 4 2 3" xfId="13125" xr:uid="{18451FF6-FD51-4CBF-A37F-50851D458546}"/>
    <cellStyle name="Comma 4 7 4 3" xfId="5871" xr:uid="{00000000-0005-0000-0000-0000760A0000}"/>
    <cellStyle name="Comma 4 7 4 3 2" xfId="15197" xr:uid="{DC658444-71DD-4B44-8CDF-832F0389F22F}"/>
    <cellStyle name="Comma 4 7 4 4" xfId="10980" xr:uid="{D1578253-E6B9-4459-A748-65FCE1328110}"/>
    <cellStyle name="Comma 4 7 5" xfId="1978" xr:uid="{00000000-0005-0000-0000-0000770A0000}"/>
    <cellStyle name="Comma 4 7 5 2" xfId="4207" xr:uid="{00000000-0005-0000-0000-0000780A0000}"/>
    <cellStyle name="Comma 4 7 5 2 2" xfId="8429" xr:uid="{00000000-0005-0000-0000-0000790A0000}"/>
    <cellStyle name="Comma 4 7 5 2 2 2" xfId="17755" xr:uid="{66837C1F-2E85-49B1-B94D-EEFC7F8636A5}"/>
    <cellStyle name="Comma 4 7 5 2 3" xfId="13538" xr:uid="{5606B48C-2EFC-46D9-B637-F268151D656E}"/>
    <cellStyle name="Comma 4 7 5 3" xfId="6284" xr:uid="{00000000-0005-0000-0000-00007A0A0000}"/>
    <cellStyle name="Comma 4 7 5 3 2" xfId="15610" xr:uid="{866B9A9E-C596-4AB5-AF41-133A6101814D}"/>
    <cellStyle name="Comma 4 7 5 4" xfId="11393" xr:uid="{2358CD75-53B4-49B2-B38F-D13F0F83C40C}"/>
    <cellStyle name="Comma 4 7 6" xfId="2413" xr:uid="{00000000-0005-0000-0000-00007B0A0000}"/>
    <cellStyle name="Comma 4 7 6 2" xfId="6697" xr:uid="{00000000-0005-0000-0000-00007C0A0000}"/>
    <cellStyle name="Comma 4 7 6 2 2" xfId="16023" xr:uid="{EB0B9A60-1D03-43C7-86FD-BEDADC004E67}"/>
    <cellStyle name="Comma 4 7 6 3" xfId="11806" xr:uid="{5046E5DB-E871-4161-9FA3-40C75F2025C4}"/>
    <cellStyle name="Comma 4 7 7" xfId="2709" xr:uid="{00000000-0005-0000-0000-00007D0A0000}"/>
    <cellStyle name="Comma 4 7 8" xfId="2791" xr:uid="{00000000-0005-0000-0000-00007E0A0000}"/>
    <cellStyle name="Comma 4 7 8 2" xfId="7014" xr:uid="{00000000-0005-0000-0000-00007F0A0000}"/>
    <cellStyle name="Comma 4 7 8 2 2" xfId="16340" xr:uid="{29D63788-9E01-4432-97C9-BFAEAB8C4C3C}"/>
    <cellStyle name="Comma 4 7 8 3" xfId="12123" xr:uid="{662FC7AB-1805-4B92-BF22-62D7F0F83E6E}"/>
    <cellStyle name="Comma 4 7 9" xfId="4631" xr:uid="{00000000-0005-0000-0000-0000800A0000}"/>
    <cellStyle name="Comma 4 7 9 2" xfId="13957" xr:uid="{E8D93BBD-97AC-49B5-8BC1-075DF95ED078}"/>
    <cellStyle name="Comma 4 8" xfId="9193" xr:uid="{D2F7B7D5-1187-4B94-96D8-1D61B28E4E34}"/>
    <cellStyle name="Comma 4 9" xfId="8746" xr:uid="{EB6F8E1D-15EE-4A1C-A7FF-36C2A43F5A26}"/>
    <cellStyle name="Comma 4 9 2" xfId="18070" xr:uid="{EC4698A2-E5CB-439D-B0D9-4B4E75051159}"/>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18895" xr:uid="{2CB88D01-C653-48B7-967C-E3A07B60F85D}"/>
    <cellStyle name="Comma 7 3" xfId="9589" xr:uid="{E5FB568C-33F4-49EE-BE6E-4022B43BCBB9}"/>
    <cellStyle name="Comma 7 4" xfId="13825" xr:uid="{C02A0A3B-F402-4823-BE4D-CA6096E6CDC4}"/>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8B4160D0-4ED4-421F-99D7-B14DF77A4F67}"/>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8061" xr:uid="{C6D860A5-7E80-432D-A872-09FBD7BDC451}"/>
    <cellStyle name="Currency 14 3 2 2 2 2 3" xfId="18058" xr:uid="{695323ED-1276-4135-B14A-0FA7007E7537}"/>
    <cellStyle name="Currency 14 3 2 2 2 3" xfId="18055" xr:uid="{C5E7C91A-866D-48D0-AF2D-3ADD837D2697}"/>
    <cellStyle name="Currency 14 3 2 2 3" xfId="18051" xr:uid="{BAA61D9E-7197-4ADC-97E5-6A0C3707CA07}"/>
    <cellStyle name="Currency 14 3 2 3" xfId="18048" xr:uid="{31720845-A77C-47BB-B1CC-2784557A2A87}"/>
    <cellStyle name="Currency 14 3 3" xfId="18045" xr:uid="{B9FF9DDB-E005-444E-A8CA-4B5C20A1DFE8}"/>
    <cellStyle name="Currency 14 4" xfId="13828" xr:uid="{8E51B091-5220-4105-A41C-C2ECD26F69A4}"/>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BB9107AB-682D-4108-A622-96C419F4C2F9}"/>
    <cellStyle name="Currency 3 2 2 10 3" xfId="12124" xr:uid="{14CF1190-B718-4A26-AFFC-F25A5C1552B3}"/>
    <cellStyle name="Currency 3 2 2 11" xfId="4632" xr:uid="{00000000-0005-0000-0000-0000A50A0000}"/>
    <cellStyle name="Currency 3 2 2 11 2" xfId="13958" xr:uid="{266B7DDA-78F5-4B4E-8875-734AD9AE7B07}"/>
    <cellStyle name="Currency 3 2 2 12" xfId="8808" xr:uid="{5CD24693-181E-456A-9199-DC057509AC96}"/>
    <cellStyle name="Currency 3 2 2 12 2" xfId="18132" xr:uid="{F88B7F7F-4A87-4BFC-BE1F-597260F79D6B}"/>
    <cellStyle name="Currency 3 2 2 13" xfId="9741" xr:uid="{256BD7F9-1595-4483-AB92-02A1A318A71F}"/>
    <cellStyle name="Currency 3 2 2 2" xfId="179" xr:uid="{00000000-0005-0000-0000-0000A60A0000}"/>
    <cellStyle name="Currency 3 2 2 2 10" xfId="4633" xr:uid="{00000000-0005-0000-0000-0000A70A0000}"/>
    <cellStyle name="Currency 3 2 2 2 10 2" xfId="13959" xr:uid="{19906403-5AD8-4CD9-9D98-E96741BEC8AB}"/>
    <cellStyle name="Currency 3 2 2 2 11" xfId="8911" xr:uid="{177A45F7-B130-49DA-829A-AA3BF41B848C}"/>
    <cellStyle name="Currency 3 2 2 2 11 2" xfId="18235" xr:uid="{AD9FC65E-85DF-49FF-9EF9-C7B201D88D95}"/>
    <cellStyle name="Currency 3 2 2 2 12" xfId="9742" xr:uid="{27E4AFC4-F647-4B67-9898-9597E715E4F9}"/>
    <cellStyle name="Currency 3 2 2 2 2" xfId="180" xr:uid="{00000000-0005-0000-0000-0000A80A0000}"/>
    <cellStyle name="Currency 3 2 2 2 2 10" xfId="9118" xr:uid="{4DDBDF88-B997-49F5-AF34-322CC93508E5}"/>
    <cellStyle name="Currency 3 2 2 2 2 10 2" xfId="18442" xr:uid="{3BE7E090-108A-4096-B930-F5112EA441CF}"/>
    <cellStyle name="Currency 3 2 2 2 2 11" xfId="9743" xr:uid="{458CDC81-FB97-4A0B-BD13-364DBD24531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0E25E788-2837-4984-91D2-25891F071FC6}"/>
    <cellStyle name="Currency 3 2 2 2 2 2 2 3" xfId="12302" xr:uid="{0DFC27C5-C036-413D-B254-D95BB1612366}"/>
    <cellStyle name="Currency 3 2 2 2 2 2 3" xfId="5048" xr:uid="{00000000-0005-0000-0000-0000AC0A0000}"/>
    <cellStyle name="Currency 3 2 2 2 2 2 3 2" xfId="14374" xr:uid="{E12B80FB-BF40-49DA-BA0C-1AD70EC0D01E}"/>
    <cellStyle name="Currency 3 2 2 2 2 2 4" xfId="9543" xr:uid="{08990697-BAC1-4B06-A86B-C554A35267E6}"/>
    <cellStyle name="Currency 3 2 2 2 2 2 4 2" xfId="18858" xr:uid="{11AD4A5C-0C97-4A50-9715-779833207A11}"/>
    <cellStyle name="Currency 3 2 2 2 2 2 5" xfId="10157" xr:uid="{1371B827-E507-4947-B132-866DCDD00441}"/>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4EA083D1-7031-4973-934C-0AB792FF4751}"/>
    <cellStyle name="Currency 3 2 2 2 2 3 2 3" xfId="12715" xr:uid="{42F83E9C-E075-4805-A951-B28CF5C4C22D}"/>
    <cellStyle name="Currency 3 2 2 2 2 3 3" xfId="5461" xr:uid="{00000000-0005-0000-0000-0000B00A0000}"/>
    <cellStyle name="Currency 3 2 2 2 2 3 3 2" xfId="14787" xr:uid="{C1F8183F-B2AE-4586-B8EA-AE4570B54D2E}"/>
    <cellStyle name="Currency 3 2 2 2 2 3 4" xfId="10570" xr:uid="{1B24A096-8CE5-45ED-BA86-385D0EA01B3C}"/>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891BF2F0-EC9A-4165-99A7-3A61483FA847}"/>
    <cellStyle name="Currency 3 2 2 2 2 4 2 3" xfId="13128" xr:uid="{79D92C47-5DC0-42B6-9577-5C76D092E88D}"/>
    <cellStyle name="Currency 3 2 2 2 2 4 3" xfId="5874" xr:uid="{00000000-0005-0000-0000-0000B40A0000}"/>
    <cellStyle name="Currency 3 2 2 2 2 4 3 2" xfId="15200" xr:uid="{519D2F89-B939-42D5-9E0C-580A20948654}"/>
    <cellStyle name="Currency 3 2 2 2 2 4 4" xfId="10983" xr:uid="{78BE245C-D8B1-40D7-ADC0-20C17B620344}"/>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C09B38F2-CFE8-470D-AE3D-4C85FC786BE1}"/>
    <cellStyle name="Currency 3 2 2 2 2 5 2 3" xfId="13541" xr:uid="{3C6DCAAC-09EE-4045-9070-CA777AC2070A}"/>
    <cellStyle name="Currency 3 2 2 2 2 5 3" xfId="6287" xr:uid="{00000000-0005-0000-0000-0000B80A0000}"/>
    <cellStyle name="Currency 3 2 2 2 2 5 3 2" xfId="15613" xr:uid="{EF1457BF-0D25-4D5B-96C7-DB4EB86A4247}"/>
    <cellStyle name="Currency 3 2 2 2 2 5 4" xfId="11396" xr:uid="{86D33085-38F1-4624-A66F-2BB48F948A5B}"/>
    <cellStyle name="Currency 3 2 2 2 2 6" xfId="2416" xr:uid="{00000000-0005-0000-0000-0000B90A0000}"/>
    <cellStyle name="Currency 3 2 2 2 2 6 2" xfId="6700" xr:uid="{00000000-0005-0000-0000-0000BA0A0000}"/>
    <cellStyle name="Currency 3 2 2 2 2 6 2 2" xfId="16026" xr:uid="{0BED5347-ECD5-4CB9-A349-1D5F4691E995}"/>
    <cellStyle name="Currency 3 2 2 2 2 6 3" xfId="11809" xr:uid="{D7BDB06C-6D9D-4E07-855C-8AF1EC23E6D8}"/>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3844C2A7-42E0-4B66-A8D8-B4B5B3FAE36D}"/>
    <cellStyle name="Currency 3 2 2 2 2 8 3" xfId="12126" xr:uid="{4F00A041-1E3A-47F8-BBA2-0612906D2E50}"/>
    <cellStyle name="Currency 3 2 2 2 2 9" xfId="4634" xr:uid="{00000000-0005-0000-0000-0000BE0A0000}"/>
    <cellStyle name="Currency 3 2 2 2 2 9 2" xfId="13960" xr:uid="{34CD5D4C-A9F2-41C1-B56A-69713EDCCC0D}"/>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6EF001E2-AFD5-44A4-8189-AAE4A0155D3D}"/>
    <cellStyle name="Currency 3 2 2 2 3 2 3" xfId="12301" xr:uid="{9D5DF18E-F36A-4BDC-BE39-78603053B999}"/>
    <cellStyle name="Currency 3 2 2 2 3 3" xfId="5047" xr:uid="{00000000-0005-0000-0000-0000C20A0000}"/>
    <cellStyle name="Currency 3 2 2 2 3 3 2" xfId="14373" xr:uid="{8CBA3054-B6C2-4A05-BFE4-1947AF9550E4}"/>
    <cellStyle name="Currency 3 2 2 2 3 4" xfId="9336" xr:uid="{F86D5454-A503-484B-B8F3-81FF219E49D0}"/>
    <cellStyle name="Currency 3 2 2 2 3 4 2" xfId="18651" xr:uid="{16751AF8-0DAC-4E42-A929-6FE704D1CFC3}"/>
    <cellStyle name="Currency 3 2 2 2 3 5" xfId="10156" xr:uid="{E7177E99-0C94-42C3-A52C-DBBD0E26DF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D751C5E1-E481-4B90-94D6-DE5917E7DA71}"/>
    <cellStyle name="Currency 3 2 2 2 4 2 3" xfId="12714" xr:uid="{4DDB1049-4E3C-4EF8-B2F3-8B309581E8BE}"/>
    <cellStyle name="Currency 3 2 2 2 4 3" xfId="5460" xr:uid="{00000000-0005-0000-0000-0000C60A0000}"/>
    <cellStyle name="Currency 3 2 2 2 4 3 2" xfId="14786" xr:uid="{5C9CC20D-60F6-47CF-887A-615C589F6ABC}"/>
    <cellStyle name="Currency 3 2 2 2 4 4" xfId="10569" xr:uid="{97A986EB-B6B5-4195-9BBB-26795426472C}"/>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E0F4A3DE-7A1F-4ACD-BCE3-C9EC84958C4E}"/>
    <cellStyle name="Currency 3 2 2 2 5 2 3" xfId="13127" xr:uid="{2498ECE7-D88A-4040-BCE3-E73FF9067FF3}"/>
    <cellStyle name="Currency 3 2 2 2 5 3" xfId="5873" xr:uid="{00000000-0005-0000-0000-0000CA0A0000}"/>
    <cellStyle name="Currency 3 2 2 2 5 3 2" xfId="15199" xr:uid="{3CD7CC0E-D591-4012-BA82-6453FAB224F6}"/>
    <cellStyle name="Currency 3 2 2 2 5 4" xfId="10982" xr:uid="{AE6B9739-A61D-435D-A79D-3BD9F33832D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A252B82A-B9F1-4214-8917-AC3279C7F9BD}"/>
    <cellStyle name="Currency 3 2 2 2 6 2 3" xfId="13540" xr:uid="{7BD735EF-BC30-43CD-B025-20B2A256ABB4}"/>
    <cellStyle name="Currency 3 2 2 2 6 3" xfId="6286" xr:uid="{00000000-0005-0000-0000-0000CE0A0000}"/>
    <cellStyle name="Currency 3 2 2 2 6 3 2" xfId="15612" xr:uid="{C92F70D5-9552-430F-997D-C50C6EDEB143}"/>
    <cellStyle name="Currency 3 2 2 2 6 4" xfId="11395" xr:uid="{C04EC108-5BE5-4034-9D8C-B6306F0BE1BC}"/>
    <cellStyle name="Currency 3 2 2 2 7" xfId="2415" xr:uid="{00000000-0005-0000-0000-0000CF0A0000}"/>
    <cellStyle name="Currency 3 2 2 2 7 2" xfId="6699" xr:uid="{00000000-0005-0000-0000-0000D00A0000}"/>
    <cellStyle name="Currency 3 2 2 2 7 2 2" xfId="16025" xr:uid="{7B387FB9-49EC-4B2B-A445-5B00906D9CC5}"/>
    <cellStyle name="Currency 3 2 2 2 7 3" xfId="11808" xr:uid="{236F93ED-8FB6-4264-BC7C-1B6FBD9F6D90}"/>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3B5B2C7B-B6E1-4DC5-BFF1-C34AE97B19A8}"/>
    <cellStyle name="Currency 3 2 2 2 9 3" xfId="12125" xr:uid="{9153F96F-69BC-47B0-880E-0837682AE1FA}"/>
    <cellStyle name="Currency 3 2 2 3" xfId="181" xr:uid="{00000000-0005-0000-0000-0000D40A0000}"/>
    <cellStyle name="Currency 3 2 2 3 10" xfId="9015" xr:uid="{A1C3FAFC-6FB9-45C5-A279-C90E61794A63}"/>
    <cellStyle name="Currency 3 2 2 3 10 2" xfId="18339" xr:uid="{EA283D2F-1488-46F7-8C6B-B720D21DB0D0}"/>
    <cellStyle name="Currency 3 2 2 3 11" xfId="9744" xr:uid="{F7E0EE8A-FBEB-47CF-A794-C14A310FE8E9}"/>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EC6E3B23-5CEF-4BE4-A8E1-00B0E6644A3D}"/>
    <cellStyle name="Currency 3 2 2 3 2 2 3" xfId="12303" xr:uid="{2AA939CF-F969-458C-8AA5-155A75FC09F3}"/>
    <cellStyle name="Currency 3 2 2 3 2 3" xfId="5049" xr:uid="{00000000-0005-0000-0000-0000D80A0000}"/>
    <cellStyle name="Currency 3 2 2 3 2 3 2" xfId="14375" xr:uid="{96F9B551-B31B-4F09-B73A-D9E869C45288}"/>
    <cellStyle name="Currency 3 2 2 3 2 4" xfId="9440" xr:uid="{774D5512-BCA5-4224-A909-3336A63369C8}"/>
    <cellStyle name="Currency 3 2 2 3 2 4 2" xfId="18755" xr:uid="{BEA79C59-C17C-4512-883A-4191517E20E1}"/>
    <cellStyle name="Currency 3 2 2 3 2 5" xfId="10158" xr:uid="{DA1DA772-70A8-475F-9B20-BC2BB1EF6501}"/>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23F59AA0-181C-4DED-B8EF-8E1796385D78}"/>
    <cellStyle name="Currency 3 2 2 3 3 2 3" xfId="12716" xr:uid="{B7F4E30D-347B-4746-980F-80B1301F47EC}"/>
    <cellStyle name="Currency 3 2 2 3 3 3" xfId="5462" xr:uid="{00000000-0005-0000-0000-0000DC0A0000}"/>
    <cellStyle name="Currency 3 2 2 3 3 3 2" xfId="14788" xr:uid="{45FCEB7A-84CC-4B93-B9CB-2930E385ABB6}"/>
    <cellStyle name="Currency 3 2 2 3 3 4" xfId="10571" xr:uid="{9C3B864E-AC98-4BC9-B5BF-1957AB0345F3}"/>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FA07F5A4-5F2F-4C05-B66D-36AF28B651DB}"/>
    <cellStyle name="Currency 3 2 2 3 4 2 3" xfId="13129" xr:uid="{34CEFDD3-CA0B-41FD-AA02-9896480AE70D}"/>
    <cellStyle name="Currency 3 2 2 3 4 3" xfId="5875" xr:uid="{00000000-0005-0000-0000-0000E00A0000}"/>
    <cellStyle name="Currency 3 2 2 3 4 3 2" xfId="15201" xr:uid="{62BEEF9D-9D1F-4D1D-B650-F211E5630723}"/>
    <cellStyle name="Currency 3 2 2 3 4 4" xfId="10984" xr:uid="{D8204849-E930-47AA-B1E6-B51FB307B87D}"/>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22497287-11D8-4736-A6DD-FB905C3D9F75}"/>
    <cellStyle name="Currency 3 2 2 3 5 2 3" xfId="13542" xr:uid="{03A8574B-F446-484E-901F-E8DF2057053B}"/>
    <cellStyle name="Currency 3 2 2 3 5 3" xfId="6288" xr:uid="{00000000-0005-0000-0000-0000E40A0000}"/>
    <cellStyle name="Currency 3 2 2 3 5 3 2" xfId="15614" xr:uid="{CE532732-2DC3-40AA-89D9-A1C20970A241}"/>
    <cellStyle name="Currency 3 2 2 3 5 4" xfId="11397" xr:uid="{3AAF4DC9-7D4D-4127-AEAD-A90C11B3F5CE}"/>
    <cellStyle name="Currency 3 2 2 3 6" xfId="2417" xr:uid="{00000000-0005-0000-0000-0000E50A0000}"/>
    <cellStyle name="Currency 3 2 2 3 6 2" xfId="6701" xr:uid="{00000000-0005-0000-0000-0000E60A0000}"/>
    <cellStyle name="Currency 3 2 2 3 6 2 2" xfId="16027" xr:uid="{12527CF3-9A5B-47F9-9A85-AF589D20A999}"/>
    <cellStyle name="Currency 3 2 2 3 6 3" xfId="11810" xr:uid="{8E9D375D-6F6E-4774-913D-1135C0797D3C}"/>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72EF5CFB-E630-44F6-97F0-F6366F1C4923}"/>
    <cellStyle name="Currency 3 2 2 3 8 3" xfId="12127" xr:uid="{BCADF2CD-F874-4CA2-8AE5-BC12B34BA96D}"/>
    <cellStyle name="Currency 3 2 2 3 9" xfId="4635" xr:uid="{00000000-0005-0000-0000-0000EA0A0000}"/>
    <cellStyle name="Currency 3 2 2 3 9 2" xfId="13961" xr:uid="{EDF2EF3B-691C-432D-B782-8652A61FA9B7}"/>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B0D1CD6C-D026-4B10-BA0C-B5F62AB3BBFF}"/>
    <cellStyle name="Currency 3 2 2 4 2 3" xfId="12300" xr:uid="{411641CC-55DA-433C-891B-329D58788FD1}"/>
    <cellStyle name="Currency 3 2 2 4 3" xfId="5046" xr:uid="{00000000-0005-0000-0000-0000EE0A0000}"/>
    <cellStyle name="Currency 3 2 2 4 3 2" xfId="14372" xr:uid="{B8E46286-FEEF-4F0B-B1DD-977339668CF5}"/>
    <cellStyle name="Currency 3 2 2 4 4" xfId="9233" xr:uid="{A90843BF-65B1-48E5-9C93-A2651D7B4B13}"/>
    <cellStyle name="Currency 3 2 2 4 4 2" xfId="18548" xr:uid="{12DF4E13-59C1-4A8C-B616-3BBFB075100B}"/>
    <cellStyle name="Currency 3 2 2 4 5" xfId="10155" xr:uid="{A3A200C8-35EF-40FA-AED7-1D36FF7FDACA}"/>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840E77C7-F1BD-400F-80FE-8B63CD7816C2}"/>
    <cellStyle name="Currency 3 2 2 5 2 3" xfId="12713" xr:uid="{03698939-2432-458F-B5A6-9C285DE92ECE}"/>
    <cellStyle name="Currency 3 2 2 5 3" xfId="5459" xr:uid="{00000000-0005-0000-0000-0000F20A0000}"/>
    <cellStyle name="Currency 3 2 2 5 3 2" xfId="14785" xr:uid="{017D3F1B-0F40-4BF2-B811-40E938E0219D}"/>
    <cellStyle name="Currency 3 2 2 5 4" xfId="10568" xr:uid="{6AE5DAEE-A1CB-4341-A184-AF9B557BD246}"/>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6152C75B-ACD8-4AD5-B89B-A90B6EB93D76}"/>
    <cellStyle name="Currency 3 2 2 6 2 3" xfId="13126" xr:uid="{6235D6B0-14A4-4D4A-A6D3-D3DEC027585D}"/>
    <cellStyle name="Currency 3 2 2 6 3" xfId="5872" xr:uid="{00000000-0005-0000-0000-0000F60A0000}"/>
    <cellStyle name="Currency 3 2 2 6 3 2" xfId="15198" xr:uid="{8F1D6299-BC29-44C8-A433-19DCA988C618}"/>
    <cellStyle name="Currency 3 2 2 6 4" xfId="10981" xr:uid="{0BF4A2DE-1550-46B5-BD71-980BD3FF72D1}"/>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4C0DEF01-1C28-4B6F-9310-C6F4ADF32480}"/>
    <cellStyle name="Currency 3 2 2 7 2 3" xfId="13539" xr:uid="{E74412F1-5171-4CB9-A955-C2EE73D955CD}"/>
    <cellStyle name="Currency 3 2 2 7 3" xfId="6285" xr:uid="{00000000-0005-0000-0000-0000FA0A0000}"/>
    <cellStyle name="Currency 3 2 2 7 3 2" xfId="15611" xr:uid="{261C22E0-E176-4468-A1F7-D377FCBD8692}"/>
    <cellStyle name="Currency 3 2 2 7 4" xfId="11394" xr:uid="{25ADF8A9-1C18-4A17-AFB6-A47303FDDB1C}"/>
    <cellStyle name="Currency 3 2 2 8" xfId="2414" xr:uid="{00000000-0005-0000-0000-0000FB0A0000}"/>
    <cellStyle name="Currency 3 2 2 8 2" xfId="6698" xr:uid="{00000000-0005-0000-0000-0000FC0A0000}"/>
    <cellStyle name="Currency 3 2 2 8 2 2" xfId="16024" xr:uid="{EF649704-7D52-4DA2-BD6B-BE176628A561}"/>
    <cellStyle name="Currency 3 2 2 8 3" xfId="11807" xr:uid="{E6AA5E19-FBDD-4629-91F7-2036F3887A0F}"/>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9EC4ACBF-72AE-4AFE-AB3D-AE49D9BA6007}"/>
    <cellStyle name="Currency 3 2 3 11" xfId="8893" xr:uid="{8CE28714-D587-402C-9A17-1A08799662D4}"/>
    <cellStyle name="Currency 3 2 3 11 2" xfId="18217" xr:uid="{9E320D14-9029-477C-BD98-D3A553767954}"/>
    <cellStyle name="Currency 3 2 3 12" xfId="9745" xr:uid="{CB81E0EC-F9BD-4BA6-8393-8DAA6205AF49}"/>
    <cellStyle name="Currency 3 2 3 2" xfId="183" xr:uid="{00000000-0005-0000-0000-0000000B0000}"/>
    <cellStyle name="Currency 3 2 3 2 10" xfId="9100" xr:uid="{CEBE1F40-0923-46C6-AB84-DD4DAB20CD81}"/>
    <cellStyle name="Currency 3 2 3 2 10 2" xfId="18424" xr:uid="{C58A0A88-AA79-44FC-A1BB-F225442CA2BF}"/>
    <cellStyle name="Currency 3 2 3 2 11" xfId="9746" xr:uid="{F4463FEE-2DFC-428E-9E16-DA60A9F6B7CD}"/>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9F323DBD-9B17-4C81-B1F0-91FE682B9562}"/>
    <cellStyle name="Currency 3 2 3 2 2 2 3" xfId="12305" xr:uid="{8D21B03A-9902-48A8-AAFA-6EF17E22BB54}"/>
    <cellStyle name="Currency 3 2 3 2 2 3" xfId="5051" xr:uid="{00000000-0005-0000-0000-0000040B0000}"/>
    <cellStyle name="Currency 3 2 3 2 2 3 2" xfId="14377" xr:uid="{BF7A79B6-CE3C-4686-B363-422DD04FC4F5}"/>
    <cellStyle name="Currency 3 2 3 2 2 4" xfId="9525" xr:uid="{759374BA-DDD8-4F33-9655-B300986F8700}"/>
    <cellStyle name="Currency 3 2 3 2 2 4 2" xfId="18840" xr:uid="{1ED799F5-2CAD-44EC-95BD-97FC69C35ADF}"/>
    <cellStyle name="Currency 3 2 3 2 2 5" xfId="10160" xr:uid="{D725C60E-6169-4FA4-B38E-DA6D712D2373}"/>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ECDDA6BA-C72C-441D-B23E-5CE718029208}"/>
    <cellStyle name="Currency 3 2 3 2 3 2 3" xfId="12718" xr:uid="{A053401A-5B18-45BF-A8C4-6DD9022DAB58}"/>
    <cellStyle name="Currency 3 2 3 2 3 3" xfId="5464" xr:uid="{00000000-0005-0000-0000-0000080B0000}"/>
    <cellStyle name="Currency 3 2 3 2 3 3 2" xfId="14790" xr:uid="{594C1A8E-E2CB-4485-AA16-70CBC6527567}"/>
    <cellStyle name="Currency 3 2 3 2 3 4" xfId="10573" xr:uid="{0D5645C7-5E57-4265-B83B-121065BAB699}"/>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AA7C7F48-36E1-439B-A04A-0217B53FFFD8}"/>
    <cellStyle name="Currency 3 2 3 2 4 2 3" xfId="13131" xr:uid="{040D0959-C49D-4AD3-A5DB-3413FBA8BB4F}"/>
    <cellStyle name="Currency 3 2 3 2 4 3" xfId="5877" xr:uid="{00000000-0005-0000-0000-00000C0B0000}"/>
    <cellStyle name="Currency 3 2 3 2 4 3 2" xfId="15203" xr:uid="{47DD04EA-C3ED-4980-A39E-719746E3E69C}"/>
    <cellStyle name="Currency 3 2 3 2 4 4" xfId="10986" xr:uid="{D9C34A83-0FC5-4AA3-BBA6-A4CE0D73E13B}"/>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2C8DFDB3-3268-427E-A200-EB9E367920C7}"/>
    <cellStyle name="Currency 3 2 3 2 5 2 3" xfId="13544" xr:uid="{7288631B-D785-48AE-9C2F-F1DA3776DF99}"/>
    <cellStyle name="Currency 3 2 3 2 5 3" xfId="6290" xr:uid="{00000000-0005-0000-0000-0000100B0000}"/>
    <cellStyle name="Currency 3 2 3 2 5 3 2" xfId="15616" xr:uid="{F20DBC13-81C6-4B8C-ABF3-8041C5AC15FE}"/>
    <cellStyle name="Currency 3 2 3 2 5 4" xfId="11399" xr:uid="{D3EC540A-18B5-4A9A-B5E1-F85BDA52D956}"/>
    <cellStyle name="Currency 3 2 3 2 6" xfId="2419" xr:uid="{00000000-0005-0000-0000-0000110B0000}"/>
    <cellStyle name="Currency 3 2 3 2 6 2" xfId="6703" xr:uid="{00000000-0005-0000-0000-0000120B0000}"/>
    <cellStyle name="Currency 3 2 3 2 6 2 2" xfId="16029" xr:uid="{9B162C1F-E1FE-439A-9E50-E3934E942528}"/>
    <cellStyle name="Currency 3 2 3 2 6 3" xfId="11812" xr:uid="{525E5476-6C8D-448C-8E30-710A113FF40B}"/>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757A61E3-037F-47BB-B4B3-B8B39901A24C}"/>
    <cellStyle name="Currency 3 2 3 2 8 3" xfId="12129" xr:uid="{36CF1C0C-9A62-4CDB-9584-26990BF01899}"/>
    <cellStyle name="Currency 3 2 3 2 9" xfId="4637" xr:uid="{00000000-0005-0000-0000-0000160B0000}"/>
    <cellStyle name="Currency 3 2 3 2 9 2" xfId="13963" xr:uid="{CCE96FF1-9D73-473F-A24E-DDDD1C83FF63}"/>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1E63CAC1-4EE8-4B1E-B226-C2114D9069FE}"/>
    <cellStyle name="Currency 3 2 3 3 2 3" xfId="12304" xr:uid="{6AA283EA-29A4-48D6-85E1-8193468636D1}"/>
    <cellStyle name="Currency 3 2 3 3 3" xfId="5050" xr:uid="{00000000-0005-0000-0000-00001A0B0000}"/>
    <cellStyle name="Currency 3 2 3 3 3 2" xfId="14376" xr:uid="{AD5A37B5-A065-4D1F-AAEB-427A6B5950D6}"/>
    <cellStyle name="Currency 3 2 3 3 4" xfId="9318" xr:uid="{AA73873E-8E72-4FDE-A22E-F5D80E2A87B1}"/>
    <cellStyle name="Currency 3 2 3 3 4 2" xfId="18633" xr:uid="{29712AB1-949C-4363-850D-7D20B76B449F}"/>
    <cellStyle name="Currency 3 2 3 3 5" xfId="10159" xr:uid="{20F7FEB4-D110-4B1D-BDCD-EDC2DA1F8BC2}"/>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DCD80BC5-E662-40EC-8D40-45EC909AE4FD}"/>
    <cellStyle name="Currency 3 2 3 4 2 3" xfId="12717" xr:uid="{D04699BC-D9AB-4FA1-BCF7-2CE87C97CF74}"/>
    <cellStyle name="Currency 3 2 3 4 3" xfId="5463" xr:uid="{00000000-0005-0000-0000-00001E0B0000}"/>
    <cellStyle name="Currency 3 2 3 4 3 2" xfId="14789" xr:uid="{FE3697EA-310B-4764-B4D0-3CA5B182E579}"/>
    <cellStyle name="Currency 3 2 3 4 4" xfId="10572" xr:uid="{5E0D1FBB-D689-4119-9809-885313D6C0A7}"/>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F8115B56-D1ED-4C39-885E-FA31441715E6}"/>
    <cellStyle name="Currency 3 2 3 5 2 3" xfId="13130" xr:uid="{2D41A346-F18A-4F0F-83DF-56226E4E7AD7}"/>
    <cellStyle name="Currency 3 2 3 5 3" xfId="5876" xr:uid="{00000000-0005-0000-0000-0000220B0000}"/>
    <cellStyle name="Currency 3 2 3 5 3 2" xfId="15202" xr:uid="{34EBB165-A40E-46E1-8E59-D9CD7C1A325B}"/>
    <cellStyle name="Currency 3 2 3 5 4" xfId="10985" xr:uid="{72089D12-F59A-4AC2-B094-548969E8802D}"/>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EAC66DB6-70DE-4FDC-9E7B-D72A8D04FE35}"/>
    <cellStyle name="Currency 3 2 3 6 2 3" xfId="13543" xr:uid="{459FA55D-76B0-4624-9D70-7E78E9D7CB59}"/>
    <cellStyle name="Currency 3 2 3 6 3" xfId="6289" xr:uid="{00000000-0005-0000-0000-0000260B0000}"/>
    <cellStyle name="Currency 3 2 3 6 3 2" xfId="15615" xr:uid="{94CE37D5-A9E5-4188-AA04-3EAE1CF6A768}"/>
    <cellStyle name="Currency 3 2 3 6 4" xfId="11398" xr:uid="{34B893C0-5E1B-4F51-9BFF-6D7B603251E1}"/>
    <cellStyle name="Currency 3 2 3 7" xfId="2418" xr:uid="{00000000-0005-0000-0000-0000270B0000}"/>
    <cellStyle name="Currency 3 2 3 7 2" xfId="6702" xr:uid="{00000000-0005-0000-0000-0000280B0000}"/>
    <cellStyle name="Currency 3 2 3 7 2 2" xfId="16028" xr:uid="{C3B92D13-F65B-4327-8525-3E7B89C63B6D}"/>
    <cellStyle name="Currency 3 2 3 7 3" xfId="11811" xr:uid="{29B9681D-C496-4344-AE70-667EA02B11A7}"/>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DD27D9E8-A3C9-45E4-84E5-861D21C9D2A3}"/>
    <cellStyle name="Currency 3 2 3 9 3" xfId="12128" xr:uid="{C07765C2-FE7D-48CF-8F31-77230A0AD55C}"/>
    <cellStyle name="Currency 3 2 4" xfId="184" xr:uid="{00000000-0005-0000-0000-00002C0B0000}"/>
    <cellStyle name="Currency 3 2 4 10" xfId="8997" xr:uid="{DF9FC022-A382-4135-990F-F43A472E13BA}"/>
    <cellStyle name="Currency 3 2 4 10 2" xfId="18321" xr:uid="{74B5A62C-34E3-49D4-8C2C-9B63CB2176FC}"/>
    <cellStyle name="Currency 3 2 4 11" xfId="9747" xr:uid="{C666E692-5315-4038-87A1-424ADE1CCD3B}"/>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FE4D56EB-7B59-491A-8183-CFC947246601}"/>
    <cellStyle name="Currency 3 2 4 2 2 3" xfId="12306" xr:uid="{C11153B1-CCD6-4AAC-8242-72D2B5E935AE}"/>
    <cellStyle name="Currency 3 2 4 2 3" xfId="5052" xr:uid="{00000000-0005-0000-0000-0000300B0000}"/>
    <cellStyle name="Currency 3 2 4 2 3 2" xfId="14378" xr:uid="{C9108D3A-D969-4181-B103-E9ED9BD9C271}"/>
    <cellStyle name="Currency 3 2 4 2 4" xfId="9422" xr:uid="{3049B7CE-611E-437A-AD0B-2E3AA5E2E50D}"/>
    <cellStyle name="Currency 3 2 4 2 4 2" xfId="18737" xr:uid="{29C58D96-7C24-40BF-BC94-977B7D0E4A2C}"/>
    <cellStyle name="Currency 3 2 4 2 5" xfId="10161" xr:uid="{8804C517-C947-4228-86CE-6EE113B4B5B8}"/>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60C8B1A4-CDEB-4184-BE52-FA15100C83E2}"/>
    <cellStyle name="Currency 3 2 4 3 2 3" xfId="12719" xr:uid="{52AEA0B9-708F-44F4-AC86-8DA1E1956EA8}"/>
    <cellStyle name="Currency 3 2 4 3 3" xfId="5465" xr:uid="{00000000-0005-0000-0000-0000340B0000}"/>
    <cellStyle name="Currency 3 2 4 3 3 2" xfId="14791" xr:uid="{426F74DD-7DA1-43F7-8ABF-24D449683E09}"/>
    <cellStyle name="Currency 3 2 4 3 4" xfId="10574" xr:uid="{619C5217-1DEF-424A-AFEA-51C151352D4E}"/>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8BB44DC9-DB21-4254-A5C7-82A5DC58EE1E}"/>
    <cellStyle name="Currency 3 2 4 4 2 3" xfId="13132" xr:uid="{C01C0215-F903-450C-BDFC-F1C6A3BC9192}"/>
    <cellStyle name="Currency 3 2 4 4 3" xfId="5878" xr:uid="{00000000-0005-0000-0000-0000380B0000}"/>
    <cellStyle name="Currency 3 2 4 4 3 2" xfId="15204" xr:uid="{C4427252-4563-4D54-B07E-B397ECD56DC8}"/>
    <cellStyle name="Currency 3 2 4 4 4" xfId="10987" xr:uid="{D644FD43-A462-461F-BA56-57F2E084FF05}"/>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6D151622-EF75-4E66-8588-EE4C2B152D9F}"/>
    <cellStyle name="Currency 3 2 4 5 2 3" xfId="13545" xr:uid="{4FDCAFA6-9DDA-41FD-B27E-D85C1DAEAB97}"/>
    <cellStyle name="Currency 3 2 4 5 3" xfId="6291" xr:uid="{00000000-0005-0000-0000-00003C0B0000}"/>
    <cellStyle name="Currency 3 2 4 5 3 2" xfId="15617" xr:uid="{DF89AC72-A9C6-4FB0-B799-D7609AD47F42}"/>
    <cellStyle name="Currency 3 2 4 5 4" xfId="11400" xr:uid="{C5AB0CC1-F9FD-4093-BED5-B5910CDB526E}"/>
    <cellStyle name="Currency 3 2 4 6" xfId="2420" xr:uid="{00000000-0005-0000-0000-00003D0B0000}"/>
    <cellStyle name="Currency 3 2 4 6 2" xfId="6704" xr:uid="{00000000-0005-0000-0000-00003E0B0000}"/>
    <cellStyle name="Currency 3 2 4 6 2 2" xfId="16030" xr:uid="{3A2C584B-EFA0-4273-A5D6-E5DBA0994A57}"/>
    <cellStyle name="Currency 3 2 4 6 3" xfId="11813" xr:uid="{B4032085-22A6-4AD9-B7F6-E7FAD300F7D9}"/>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2CDB1BCF-187F-4179-B15A-36E392908A11}"/>
    <cellStyle name="Currency 3 2 4 8 3" xfId="12130" xr:uid="{944E189D-84C6-4726-B680-70860A846C0D}"/>
    <cellStyle name="Currency 3 2 4 9" xfId="4638" xr:uid="{00000000-0005-0000-0000-0000420B0000}"/>
    <cellStyle name="Currency 3 2 4 9 2" xfId="13964" xr:uid="{4CA252C9-3D77-414A-84B7-4B67ECD43C9A}"/>
    <cellStyle name="Currency 3 2 5" xfId="185" xr:uid="{00000000-0005-0000-0000-0000430B0000}"/>
    <cellStyle name="Currency 3 2 5 10" xfId="9214" xr:uid="{3D0A867F-0B9D-4759-A509-3EC1084E197B}"/>
    <cellStyle name="Currency 3 2 5 10 2" xfId="18530" xr:uid="{48DBCF93-3797-415F-892C-48F057699954}"/>
    <cellStyle name="Currency 3 2 5 11" xfId="9748" xr:uid="{64B684A7-CAE7-4724-82BE-AD8980070586}"/>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06600887-17B4-4B84-8D18-B3B4C102B9AA}"/>
    <cellStyle name="Currency 3 2 5 2 2 3" xfId="12307" xr:uid="{CD170A6D-A0FB-44FA-9D72-ECDAC8B6C2B2}"/>
    <cellStyle name="Currency 3 2 5 2 3" xfId="5053" xr:uid="{00000000-0005-0000-0000-0000470B0000}"/>
    <cellStyle name="Currency 3 2 5 2 3 2" xfId="14379" xr:uid="{47041411-D334-43A7-B9C6-7B585A8D7919}"/>
    <cellStyle name="Currency 3 2 5 2 4" xfId="9597" xr:uid="{6E2F978E-96E4-4AD8-B4BD-1BE9D7E96A2F}"/>
    <cellStyle name="Currency 3 2 5 2 4 2" xfId="18901" xr:uid="{656B4BDB-5C0C-415F-9D50-96C4324A165A}"/>
    <cellStyle name="Currency 3 2 5 2 5" xfId="10162" xr:uid="{38EAE208-609A-426E-B5D3-C4D2C264A863}"/>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2BAF6CD2-3CAB-4E28-82FD-0D91FC5944F7}"/>
    <cellStyle name="Currency 3 2 5 3 2 3" xfId="12720" xr:uid="{DD523CD2-6CB0-4B84-A944-DCC094636D8A}"/>
    <cellStyle name="Currency 3 2 5 3 3" xfId="5466" xr:uid="{00000000-0005-0000-0000-00004B0B0000}"/>
    <cellStyle name="Currency 3 2 5 3 3 2" xfId="14792" xr:uid="{A1DF8C1E-6D6C-491D-A7C8-6F3CC9ADD6A2}"/>
    <cellStyle name="Currency 3 2 5 3 4" xfId="10575" xr:uid="{18DEEDF4-63F2-4F56-98F8-C1E9B5D17F43}"/>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690DD8C0-BFCC-480B-A732-DFB7E0AE311F}"/>
    <cellStyle name="Currency 3 2 5 4 2 3" xfId="13133" xr:uid="{1CFBE89E-6CBF-4B11-A675-057B0114B9F2}"/>
    <cellStyle name="Currency 3 2 5 4 3" xfId="5879" xr:uid="{00000000-0005-0000-0000-00004F0B0000}"/>
    <cellStyle name="Currency 3 2 5 4 3 2" xfId="15205" xr:uid="{8978BCDE-3ABC-46C9-8D72-7D7D6CC73779}"/>
    <cellStyle name="Currency 3 2 5 4 4" xfId="10988" xr:uid="{6871E224-0BAF-40EE-A179-D5EE8CAF0F2B}"/>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75AD834B-4930-46C4-B85C-417D012C7732}"/>
    <cellStyle name="Currency 3 2 5 5 2 3" xfId="13546" xr:uid="{DC6C9103-BBBF-42D2-A2A1-94B5D2D2EDB1}"/>
    <cellStyle name="Currency 3 2 5 5 3" xfId="6292" xr:uid="{00000000-0005-0000-0000-0000530B0000}"/>
    <cellStyle name="Currency 3 2 5 5 3 2" xfId="15618" xr:uid="{854276B1-9E69-4089-95EE-DECF2F9A7730}"/>
    <cellStyle name="Currency 3 2 5 5 4" xfId="11401" xr:uid="{229A0B15-16BD-4275-B42E-03D53927E79B}"/>
    <cellStyle name="Currency 3 2 5 6" xfId="2421" xr:uid="{00000000-0005-0000-0000-0000540B0000}"/>
    <cellStyle name="Currency 3 2 5 6 2" xfId="6705" xr:uid="{00000000-0005-0000-0000-0000550B0000}"/>
    <cellStyle name="Currency 3 2 5 6 2 2" xfId="16031" xr:uid="{80F5DC96-0D93-4B63-AE6C-D24715B64072}"/>
    <cellStyle name="Currency 3 2 5 6 3" xfId="11814" xr:uid="{EE58AF2D-427B-4F6F-8E29-874D2840030C}"/>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C782CACE-ABE4-4DB0-9B3C-B3C77BFE225A}"/>
    <cellStyle name="Currency 3 2 5 8 3" xfId="12131" xr:uid="{CFC91B2A-5DBE-4674-B66C-F994BCEF45A1}"/>
    <cellStyle name="Currency 3 2 5 9" xfId="4639" xr:uid="{00000000-0005-0000-0000-0000590B0000}"/>
    <cellStyle name="Currency 3 2 5 9 2" xfId="13965" xr:uid="{15C6DD53-1D27-49FA-ACA7-B6F0F1E13AAF}"/>
    <cellStyle name="Currency 3 2 6" xfId="9583" xr:uid="{653EC571-6DFB-4D44-8156-8097E74D2DD4}"/>
    <cellStyle name="Currency 3 2 7" xfId="8790" xr:uid="{4F16186C-C154-4E9A-B12A-0E13D64C3701}"/>
    <cellStyle name="Currency 3 2 7 2" xfId="18114" xr:uid="{F0E49393-9295-48B3-A6C9-2C024460A3D8}"/>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E6D6A1E9-73C6-40C2-8E8C-51CEA5259D9A}"/>
    <cellStyle name="Currency 5 2 2 2 10 3" xfId="12132" xr:uid="{EB78E9AC-6364-4F0C-B7C3-1643AD41CB67}"/>
    <cellStyle name="Currency 5 2 2 2 11" xfId="4640" xr:uid="{00000000-0005-0000-0000-00006C0B0000}"/>
    <cellStyle name="Currency 5 2 2 2 11 2" xfId="13966" xr:uid="{6AE02EE2-6D18-47F8-B860-F492892D27FE}"/>
    <cellStyle name="Currency 5 2 2 2 12" xfId="8809" xr:uid="{6E2B58BA-BC61-49BF-A0FE-5BC79A050654}"/>
    <cellStyle name="Currency 5 2 2 2 12 2" xfId="18133" xr:uid="{2DF3602C-9A25-4DAF-80E2-9468BABFA798}"/>
    <cellStyle name="Currency 5 2 2 2 13" xfId="9749" xr:uid="{DC7A52C7-5EBC-403B-94A1-1C541B61509E}"/>
    <cellStyle name="Currency 5 2 2 2 2" xfId="197" xr:uid="{00000000-0005-0000-0000-00006D0B0000}"/>
    <cellStyle name="Currency 5 2 2 2 2 10" xfId="4641" xr:uid="{00000000-0005-0000-0000-00006E0B0000}"/>
    <cellStyle name="Currency 5 2 2 2 2 10 2" xfId="13967" xr:uid="{ADC07513-6B75-40B0-8C56-328A5294AE64}"/>
    <cellStyle name="Currency 5 2 2 2 2 11" xfId="8912" xr:uid="{4079D27E-F98B-4445-AE20-FFD848158756}"/>
    <cellStyle name="Currency 5 2 2 2 2 11 2" xfId="18236" xr:uid="{73129D6A-7FBE-4216-B962-3813AF331687}"/>
    <cellStyle name="Currency 5 2 2 2 2 12" xfId="9750" xr:uid="{3882B42B-83A6-4AAB-B7AD-BB5CBBE654E3}"/>
    <cellStyle name="Currency 5 2 2 2 2 2" xfId="198" xr:uid="{00000000-0005-0000-0000-00006F0B0000}"/>
    <cellStyle name="Currency 5 2 2 2 2 2 10" xfId="9119" xr:uid="{2B97CFE9-E9FD-476D-A341-C695293642F3}"/>
    <cellStyle name="Currency 5 2 2 2 2 2 10 2" xfId="18443" xr:uid="{B077B320-6C2E-477F-8EC1-EF5E32F2D8FE}"/>
    <cellStyle name="Currency 5 2 2 2 2 2 11" xfId="9751" xr:uid="{D04DEB35-2233-4556-9A5A-2B7146A7E0D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2E7E8888-5B4F-4822-AAA4-583B8B7EEE50}"/>
    <cellStyle name="Currency 5 2 2 2 2 2 2 2 3" xfId="12310" xr:uid="{18223A47-9B35-43A3-9E44-EA11CB1C0177}"/>
    <cellStyle name="Currency 5 2 2 2 2 2 2 3" xfId="5056" xr:uid="{00000000-0005-0000-0000-0000730B0000}"/>
    <cellStyle name="Currency 5 2 2 2 2 2 2 3 2" xfId="14382" xr:uid="{B1123845-346C-4258-9F0F-284AFAB18A38}"/>
    <cellStyle name="Currency 5 2 2 2 2 2 2 4" xfId="9544" xr:uid="{77881B28-843C-4677-B92C-D2A5804BDB97}"/>
    <cellStyle name="Currency 5 2 2 2 2 2 2 4 2" xfId="18859" xr:uid="{A4D2432E-ACDF-4D8A-9CD2-323423006AD1}"/>
    <cellStyle name="Currency 5 2 2 2 2 2 2 5" xfId="10165" xr:uid="{625D0BB3-2C98-441A-92BD-5553AA6E833A}"/>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986F2D46-D7F8-41FF-A323-B09BD2D492A4}"/>
    <cellStyle name="Currency 5 2 2 2 2 2 3 2 3" xfId="12723" xr:uid="{BC0FF98D-D5A7-4BE2-9B04-8A6D982E38BF}"/>
    <cellStyle name="Currency 5 2 2 2 2 2 3 3" xfId="5469" xr:uid="{00000000-0005-0000-0000-0000770B0000}"/>
    <cellStyle name="Currency 5 2 2 2 2 2 3 3 2" xfId="14795" xr:uid="{DF4DDBE4-1EB8-4789-A515-63B2D20BB147}"/>
    <cellStyle name="Currency 5 2 2 2 2 2 3 4" xfId="10578" xr:uid="{128328EB-39A0-4A2C-910A-6DEB30B4F785}"/>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C27CB867-3019-4A3F-A783-48DF56255A1A}"/>
    <cellStyle name="Currency 5 2 2 2 2 2 4 2 3" xfId="13136" xr:uid="{B40F0010-7713-4B79-80C2-D16AC41D2706}"/>
    <cellStyle name="Currency 5 2 2 2 2 2 4 3" xfId="5882" xr:uid="{00000000-0005-0000-0000-00007B0B0000}"/>
    <cellStyle name="Currency 5 2 2 2 2 2 4 3 2" xfId="15208" xr:uid="{0B76CB89-E77C-43F5-A7F8-BD84EE079509}"/>
    <cellStyle name="Currency 5 2 2 2 2 2 4 4" xfId="10991" xr:uid="{34AAB65A-4D20-4221-8D5F-66A27FAB6D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47E5F46B-82AD-430B-977B-E0A1964285EC}"/>
    <cellStyle name="Currency 5 2 2 2 2 2 5 2 3" xfId="13549" xr:uid="{C61F7597-8352-4D6E-8101-3739C78961A2}"/>
    <cellStyle name="Currency 5 2 2 2 2 2 5 3" xfId="6295" xr:uid="{00000000-0005-0000-0000-00007F0B0000}"/>
    <cellStyle name="Currency 5 2 2 2 2 2 5 3 2" xfId="15621" xr:uid="{ABB595D8-2B31-46A4-A448-7E21CC4DCB02}"/>
    <cellStyle name="Currency 5 2 2 2 2 2 5 4" xfId="11404" xr:uid="{4E0B1E1C-543E-4EBC-B787-3F501D1E9D49}"/>
    <cellStyle name="Currency 5 2 2 2 2 2 6" xfId="2424" xr:uid="{00000000-0005-0000-0000-0000800B0000}"/>
    <cellStyle name="Currency 5 2 2 2 2 2 6 2" xfId="6708" xr:uid="{00000000-0005-0000-0000-0000810B0000}"/>
    <cellStyle name="Currency 5 2 2 2 2 2 6 2 2" xfId="16034" xr:uid="{4758F765-D344-4BCF-A2A8-524CC7689E5B}"/>
    <cellStyle name="Currency 5 2 2 2 2 2 6 3" xfId="11817" xr:uid="{C7E33D3D-1E4D-4B8B-A303-19D41F590147}"/>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E23B0F86-8C7F-43D7-A0D9-AB6862151F42}"/>
    <cellStyle name="Currency 5 2 2 2 2 2 8 3" xfId="12134" xr:uid="{49DE402B-1760-436C-98E4-6BB27B216E91}"/>
    <cellStyle name="Currency 5 2 2 2 2 2 9" xfId="4642" xr:uid="{00000000-0005-0000-0000-0000850B0000}"/>
    <cellStyle name="Currency 5 2 2 2 2 2 9 2" xfId="13968" xr:uid="{7EB936ED-B99D-45D3-9DE6-5A4F8102657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8F1EDDA0-5607-4F82-BA83-0DB899CEC6B4}"/>
    <cellStyle name="Currency 5 2 2 2 2 3 2 3" xfId="12309" xr:uid="{B2B18283-81A4-4D6C-AE16-385CE0EE7A00}"/>
    <cellStyle name="Currency 5 2 2 2 2 3 3" xfId="5055" xr:uid="{00000000-0005-0000-0000-0000890B0000}"/>
    <cellStyle name="Currency 5 2 2 2 2 3 3 2" xfId="14381" xr:uid="{D0C892D4-EEBD-4945-9BFA-ACC6CEE6633F}"/>
    <cellStyle name="Currency 5 2 2 2 2 3 4" xfId="9337" xr:uid="{A1FF44B9-A8E0-4A4E-9BE9-DA7FD7E326AE}"/>
    <cellStyle name="Currency 5 2 2 2 2 3 4 2" xfId="18652" xr:uid="{D7EA18D2-DBE4-4EFF-8235-E11002765971}"/>
    <cellStyle name="Currency 5 2 2 2 2 3 5" xfId="10164" xr:uid="{48A49F40-5ED0-413C-9EA5-45CF6219D0AD}"/>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B886C35C-67EB-4692-A05C-3703679E1AFE}"/>
    <cellStyle name="Currency 5 2 2 2 2 4 2 3" xfId="12722" xr:uid="{6F1127CC-E24E-4885-BF4F-255C4DF99562}"/>
    <cellStyle name="Currency 5 2 2 2 2 4 3" xfId="5468" xr:uid="{00000000-0005-0000-0000-00008D0B0000}"/>
    <cellStyle name="Currency 5 2 2 2 2 4 3 2" xfId="14794" xr:uid="{C1D96AD7-649C-434A-9616-1436541F51B2}"/>
    <cellStyle name="Currency 5 2 2 2 2 4 4" xfId="10577" xr:uid="{3F5BA89E-2AB2-4B98-9E28-82F5237FB25B}"/>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1C7D1875-5CFD-477A-99E3-36F0C7C03EC6}"/>
    <cellStyle name="Currency 5 2 2 2 2 5 2 3" xfId="13135" xr:uid="{8216A3C4-B14D-43C7-8EB3-C09B0D5C46C6}"/>
    <cellStyle name="Currency 5 2 2 2 2 5 3" xfId="5881" xr:uid="{00000000-0005-0000-0000-0000910B0000}"/>
    <cellStyle name="Currency 5 2 2 2 2 5 3 2" xfId="15207" xr:uid="{23F47B64-BE66-4D33-ADE0-251E0B842AD9}"/>
    <cellStyle name="Currency 5 2 2 2 2 5 4" xfId="10990" xr:uid="{98D98875-1D46-482D-A379-B13A0170994E}"/>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2191600A-2C0A-4C51-9F16-7E7324AB5970}"/>
    <cellStyle name="Currency 5 2 2 2 2 6 2 3" xfId="13548" xr:uid="{F5C74934-1ADB-4446-BDB1-08AF6E57253E}"/>
    <cellStyle name="Currency 5 2 2 2 2 6 3" xfId="6294" xr:uid="{00000000-0005-0000-0000-0000950B0000}"/>
    <cellStyle name="Currency 5 2 2 2 2 6 3 2" xfId="15620" xr:uid="{6996C288-A060-4703-B0AA-A910D56B182C}"/>
    <cellStyle name="Currency 5 2 2 2 2 6 4" xfId="11403" xr:uid="{561661C5-F715-4723-9B68-FB878640313C}"/>
    <cellStyle name="Currency 5 2 2 2 2 7" xfId="2423" xr:uid="{00000000-0005-0000-0000-0000960B0000}"/>
    <cellStyle name="Currency 5 2 2 2 2 7 2" xfId="6707" xr:uid="{00000000-0005-0000-0000-0000970B0000}"/>
    <cellStyle name="Currency 5 2 2 2 2 7 2 2" xfId="16033" xr:uid="{A368D665-E1B4-42B6-A694-166A53472A93}"/>
    <cellStyle name="Currency 5 2 2 2 2 7 3" xfId="11816" xr:uid="{D0C7DA44-419D-4767-A16B-18DB2641114A}"/>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29ECFAA5-44A0-4A36-8948-7A56578C41ED}"/>
    <cellStyle name="Currency 5 2 2 2 2 9 3" xfId="12133" xr:uid="{4283E0FC-A541-4988-B4C3-DB6AA62D2836}"/>
    <cellStyle name="Currency 5 2 2 2 3" xfId="199" xr:uid="{00000000-0005-0000-0000-00009B0B0000}"/>
    <cellStyle name="Currency 5 2 2 2 3 10" xfId="9016" xr:uid="{706F9706-E49D-4995-B402-A842C879DBC8}"/>
    <cellStyle name="Currency 5 2 2 2 3 10 2" xfId="18340" xr:uid="{CB77C2A0-4178-47F8-8C20-FFE7B72B8D15}"/>
    <cellStyle name="Currency 5 2 2 2 3 11" xfId="9752" xr:uid="{73501220-4A21-4BE5-BAFC-D907ADF1D504}"/>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87361CE2-55D5-400D-A6AF-D25BA4D99988}"/>
    <cellStyle name="Currency 5 2 2 2 3 2 2 3" xfId="12311" xr:uid="{4F0E000F-409D-43FF-8009-B183A825FF6A}"/>
    <cellStyle name="Currency 5 2 2 2 3 2 3" xfId="5057" xr:uid="{00000000-0005-0000-0000-00009F0B0000}"/>
    <cellStyle name="Currency 5 2 2 2 3 2 3 2" xfId="14383" xr:uid="{2A8184BC-56D5-4B39-A411-4D13D3694AD2}"/>
    <cellStyle name="Currency 5 2 2 2 3 2 4" xfId="9441" xr:uid="{B7048274-E02F-4E6A-9C9A-FAD4299F19B1}"/>
    <cellStyle name="Currency 5 2 2 2 3 2 4 2" xfId="18756" xr:uid="{432AB185-7E51-4675-A362-B368A64467B0}"/>
    <cellStyle name="Currency 5 2 2 2 3 2 5" xfId="10166" xr:uid="{0617DB4D-9CC5-45B6-BBD1-310EAB6E1D46}"/>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93C44410-12CC-42D0-A55B-90FF75D988E5}"/>
    <cellStyle name="Currency 5 2 2 2 3 3 2 3" xfId="12724" xr:uid="{645041FE-8143-4435-ADE3-ED6688985CF4}"/>
    <cellStyle name="Currency 5 2 2 2 3 3 3" xfId="5470" xr:uid="{00000000-0005-0000-0000-0000A30B0000}"/>
    <cellStyle name="Currency 5 2 2 2 3 3 3 2" xfId="14796" xr:uid="{33DEEB0B-5085-4D87-AED9-3D3E7DFFE4FE}"/>
    <cellStyle name="Currency 5 2 2 2 3 3 4" xfId="10579" xr:uid="{8B01DF2E-FA86-48BF-B963-D74ECA5238B9}"/>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BE66B124-00A6-4A14-B10C-6768EB12C49D}"/>
    <cellStyle name="Currency 5 2 2 2 3 4 2 3" xfId="13137" xr:uid="{33498AF3-A900-400A-822B-3C616245A366}"/>
    <cellStyle name="Currency 5 2 2 2 3 4 3" xfId="5883" xr:uid="{00000000-0005-0000-0000-0000A70B0000}"/>
    <cellStyle name="Currency 5 2 2 2 3 4 3 2" xfId="15209" xr:uid="{D3B4C597-EEB8-41A6-BAC0-30FFBB854721}"/>
    <cellStyle name="Currency 5 2 2 2 3 4 4" xfId="10992" xr:uid="{E4256A54-86AA-45E4-8A13-8FE8B8DDCB98}"/>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947D4ED3-393A-4A81-AC19-D5207518B1E5}"/>
    <cellStyle name="Currency 5 2 2 2 3 5 2 3" xfId="13550" xr:uid="{7197E19A-E2FD-4B52-B8A1-441C693B1DBB}"/>
    <cellStyle name="Currency 5 2 2 2 3 5 3" xfId="6296" xr:uid="{00000000-0005-0000-0000-0000AB0B0000}"/>
    <cellStyle name="Currency 5 2 2 2 3 5 3 2" xfId="15622" xr:uid="{735BBF18-8C3C-492D-A08D-E1F866067218}"/>
    <cellStyle name="Currency 5 2 2 2 3 5 4" xfId="11405" xr:uid="{40E25E41-3EDD-48F0-BB87-A8B21AD787DB}"/>
    <cellStyle name="Currency 5 2 2 2 3 6" xfId="2425" xr:uid="{00000000-0005-0000-0000-0000AC0B0000}"/>
    <cellStyle name="Currency 5 2 2 2 3 6 2" xfId="6709" xr:uid="{00000000-0005-0000-0000-0000AD0B0000}"/>
    <cellStyle name="Currency 5 2 2 2 3 6 2 2" xfId="16035" xr:uid="{4D14E785-F9E0-4441-93E2-7D4E171D0347}"/>
    <cellStyle name="Currency 5 2 2 2 3 6 3" xfId="11818" xr:uid="{FD431FB1-8106-4A1E-A7F7-D1E8060C3DB3}"/>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FDD068E2-B208-4350-961F-03397323FB12}"/>
    <cellStyle name="Currency 5 2 2 2 3 8 3" xfId="12135" xr:uid="{B1FF6480-665E-4D0F-93CA-215EF656CB88}"/>
    <cellStyle name="Currency 5 2 2 2 3 9" xfId="4643" xr:uid="{00000000-0005-0000-0000-0000B10B0000}"/>
    <cellStyle name="Currency 5 2 2 2 3 9 2" xfId="13969" xr:uid="{7870F7EC-BD50-4A4C-94F4-8F99C091438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2667B65E-AB2A-436C-B819-A42A8932D0B9}"/>
    <cellStyle name="Currency 5 2 2 2 4 2 3" xfId="12308" xr:uid="{BC1C4892-95A5-4B5D-8B73-F4F65567FA0A}"/>
    <cellStyle name="Currency 5 2 2 2 4 3" xfId="5054" xr:uid="{00000000-0005-0000-0000-0000B50B0000}"/>
    <cellStyle name="Currency 5 2 2 2 4 3 2" xfId="14380" xr:uid="{7364165E-2367-4A88-9C5C-0F3DC96F9561}"/>
    <cellStyle name="Currency 5 2 2 2 4 4" xfId="9234" xr:uid="{AAF147FE-13D8-48BD-A722-062B96166D61}"/>
    <cellStyle name="Currency 5 2 2 2 4 4 2" xfId="18549" xr:uid="{3121A599-0D33-4C9E-AA26-F79A3AF188BA}"/>
    <cellStyle name="Currency 5 2 2 2 4 5" xfId="10163" xr:uid="{65EBFBCB-CBC7-4C39-BC51-4B222F4EA5DD}"/>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0AF14CD4-304D-474D-8BDB-6DEF577D6BDE}"/>
    <cellStyle name="Currency 5 2 2 2 5 2 3" xfId="12721" xr:uid="{00E4AA45-1021-44FB-A47B-A02343F0374A}"/>
    <cellStyle name="Currency 5 2 2 2 5 3" xfId="5467" xr:uid="{00000000-0005-0000-0000-0000B90B0000}"/>
    <cellStyle name="Currency 5 2 2 2 5 3 2" xfId="14793" xr:uid="{367D6CD2-266B-4A12-9C03-CC2C05012B26}"/>
    <cellStyle name="Currency 5 2 2 2 5 4" xfId="10576" xr:uid="{C506DF5D-424F-431E-A0B0-10BB657C2233}"/>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E6F77E20-7152-476F-A057-1216146D7007}"/>
    <cellStyle name="Currency 5 2 2 2 6 2 3" xfId="13134" xr:uid="{305173F7-2253-4198-8C94-E45B9207D681}"/>
    <cellStyle name="Currency 5 2 2 2 6 3" xfId="5880" xr:uid="{00000000-0005-0000-0000-0000BD0B0000}"/>
    <cellStyle name="Currency 5 2 2 2 6 3 2" xfId="15206" xr:uid="{82EAD42E-4019-4CFB-8E66-BD14F1E8DC14}"/>
    <cellStyle name="Currency 5 2 2 2 6 4" xfId="10989" xr:uid="{69822C54-789A-46ED-89C4-00BA154017AC}"/>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4DB85FB7-23DC-49A3-9F0F-0DF9D272BBA7}"/>
    <cellStyle name="Currency 5 2 2 2 7 2 3" xfId="13547" xr:uid="{E7D6B17B-DB02-45EB-9997-CB074995A08D}"/>
    <cellStyle name="Currency 5 2 2 2 7 3" xfId="6293" xr:uid="{00000000-0005-0000-0000-0000C10B0000}"/>
    <cellStyle name="Currency 5 2 2 2 7 3 2" xfId="15619" xr:uid="{FBA1BE00-02A9-479E-94E0-A37D3B905536}"/>
    <cellStyle name="Currency 5 2 2 2 7 4" xfId="11402" xr:uid="{BB2F4D1E-8058-4499-878D-45F8A3DA07AA}"/>
    <cellStyle name="Currency 5 2 2 2 8" xfId="2422" xr:uid="{00000000-0005-0000-0000-0000C20B0000}"/>
    <cellStyle name="Currency 5 2 2 2 8 2" xfId="6706" xr:uid="{00000000-0005-0000-0000-0000C30B0000}"/>
    <cellStyle name="Currency 5 2 2 2 8 2 2" xfId="16032" xr:uid="{3A7A3D9C-ECE8-4518-A836-E5281AD459E6}"/>
    <cellStyle name="Currency 5 2 2 2 8 3" xfId="11815" xr:uid="{6C6AC542-2066-43CE-A029-3A94AB737028}"/>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44C811E6-39A9-4FD1-B4DC-A1B8B6582A04}"/>
    <cellStyle name="Currency 5 2 2 3 11" xfId="8890" xr:uid="{F313D4EC-7666-4BAA-9452-39176957C213}"/>
    <cellStyle name="Currency 5 2 2 3 11 2" xfId="18214" xr:uid="{A7A273A8-4C90-45B1-94B4-048E8E1FD617}"/>
    <cellStyle name="Currency 5 2 2 3 12" xfId="9753" xr:uid="{69E07D29-BFFE-4BB3-B5FC-A8EA76F44E8A}"/>
    <cellStyle name="Currency 5 2 2 3 2" xfId="201" xr:uid="{00000000-0005-0000-0000-0000C70B0000}"/>
    <cellStyle name="Currency 5 2 2 3 2 10" xfId="9097" xr:uid="{74199D2F-F17A-42DD-AC8B-D958FBFFCA8B}"/>
    <cellStyle name="Currency 5 2 2 3 2 10 2" xfId="18421" xr:uid="{2CD7D472-AD47-4EA2-99E5-32B908EBEA48}"/>
    <cellStyle name="Currency 5 2 2 3 2 11" xfId="9754" xr:uid="{D82A8904-9F0C-4374-B0A8-7F250210D5A1}"/>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DF2DE30A-796E-41E9-99B4-2CCE0A506F04}"/>
    <cellStyle name="Currency 5 2 2 3 2 2 2 3" xfId="12313" xr:uid="{F4EE70F8-ACBA-4C8E-AFF9-8D20DB1D0D14}"/>
    <cellStyle name="Currency 5 2 2 3 2 2 3" xfId="5059" xr:uid="{00000000-0005-0000-0000-0000CB0B0000}"/>
    <cellStyle name="Currency 5 2 2 3 2 2 3 2" xfId="14385" xr:uid="{0AE0D29D-5939-4CFF-A708-F9D58DC62A3C}"/>
    <cellStyle name="Currency 5 2 2 3 2 2 4" xfId="9522" xr:uid="{58EAFCD4-DA5B-47CB-A637-29DA003AA3FD}"/>
    <cellStyle name="Currency 5 2 2 3 2 2 4 2" xfId="18837" xr:uid="{6BE1CAA2-A2BF-4220-BB59-0132D5E83C89}"/>
    <cellStyle name="Currency 5 2 2 3 2 2 5" xfId="10168" xr:uid="{0F45485C-06C7-41F2-B289-A415317C80D6}"/>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2F19947A-92E7-46F2-AC4C-C144F6997729}"/>
    <cellStyle name="Currency 5 2 2 3 2 3 2 3" xfId="12726" xr:uid="{6380596B-E75D-4CBF-984A-0226F42BA1C6}"/>
    <cellStyle name="Currency 5 2 2 3 2 3 3" xfId="5472" xr:uid="{00000000-0005-0000-0000-0000CF0B0000}"/>
    <cellStyle name="Currency 5 2 2 3 2 3 3 2" xfId="14798" xr:uid="{518A96DA-F4FF-45A9-8F65-171D5CDC26E2}"/>
    <cellStyle name="Currency 5 2 2 3 2 3 4" xfId="10581" xr:uid="{F2B4E57F-9B9D-4F03-BC62-1A0EEB14B6A9}"/>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F00BEE22-6EE5-4B38-86A1-53BD817E0655}"/>
    <cellStyle name="Currency 5 2 2 3 2 4 2 3" xfId="13139" xr:uid="{04A50143-50F1-4005-BFA1-299BB91D91EB}"/>
    <cellStyle name="Currency 5 2 2 3 2 4 3" xfId="5885" xr:uid="{00000000-0005-0000-0000-0000D30B0000}"/>
    <cellStyle name="Currency 5 2 2 3 2 4 3 2" xfId="15211" xr:uid="{761378DA-62B2-4693-A755-E537EBFDC9AC}"/>
    <cellStyle name="Currency 5 2 2 3 2 4 4" xfId="10994" xr:uid="{EAC09E05-FF4C-4C66-8E2F-6E78B4D00CD3}"/>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1ACCECFF-5CBB-4476-A488-5992BD52BA1E}"/>
    <cellStyle name="Currency 5 2 2 3 2 5 2 3" xfId="13552" xr:uid="{CAF0E609-F182-4611-905A-D142FE270A8F}"/>
    <cellStyle name="Currency 5 2 2 3 2 5 3" xfId="6298" xr:uid="{00000000-0005-0000-0000-0000D70B0000}"/>
    <cellStyle name="Currency 5 2 2 3 2 5 3 2" xfId="15624" xr:uid="{F603B011-49AD-4D46-96D2-E5AA59332F96}"/>
    <cellStyle name="Currency 5 2 2 3 2 5 4" xfId="11407" xr:uid="{BE7B97DB-039D-4B19-BC6A-50645DFE2A65}"/>
    <cellStyle name="Currency 5 2 2 3 2 6" xfId="2427" xr:uid="{00000000-0005-0000-0000-0000D80B0000}"/>
    <cellStyle name="Currency 5 2 2 3 2 6 2" xfId="6711" xr:uid="{00000000-0005-0000-0000-0000D90B0000}"/>
    <cellStyle name="Currency 5 2 2 3 2 6 2 2" xfId="16037" xr:uid="{185DA8F9-62E5-4B70-B023-B44F6665AD5F}"/>
    <cellStyle name="Currency 5 2 2 3 2 6 3" xfId="11820" xr:uid="{2C3EA14E-E583-4FB4-A8E8-79A71B17F47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113DF1FB-B508-4E20-B6CD-6EF960333A4F}"/>
    <cellStyle name="Currency 5 2 2 3 2 8 3" xfId="12137" xr:uid="{355B51AE-E72B-46E0-9A58-B5BDB911D574}"/>
    <cellStyle name="Currency 5 2 2 3 2 9" xfId="4645" xr:uid="{00000000-0005-0000-0000-0000DD0B0000}"/>
    <cellStyle name="Currency 5 2 2 3 2 9 2" xfId="13971" xr:uid="{51F70343-48AA-4ED2-8EA3-9A4621CF1359}"/>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003959FB-82CA-42A3-BE08-09B1095B0BC6}"/>
    <cellStyle name="Currency 5 2 2 3 3 2 3" xfId="12312" xr:uid="{1678203E-0796-4DA5-B1EE-840EAAD880FC}"/>
    <cellStyle name="Currency 5 2 2 3 3 3" xfId="5058" xr:uid="{00000000-0005-0000-0000-0000E10B0000}"/>
    <cellStyle name="Currency 5 2 2 3 3 3 2" xfId="14384" xr:uid="{D5984E05-7189-47DF-BF90-82E2A778BB0E}"/>
    <cellStyle name="Currency 5 2 2 3 3 4" xfId="9315" xr:uid="{A76EC348-1CDB-41C1-B9B8-9215FF30C619}"/>
    <cellStyle name="Currency 5 2 2 3 3 4 2" xfId="18630" xr:uid="{1D781EE3-1A9A-4F15-9110-2ADF20EB5DC3}"/>
    <cellStyle name="Currency 5 2 2 3 3 5" xfId="10167" xr:uid="{A9070CD7-3D2B-4F75-9FD0-384E8312D53A}"/>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3BF1C708-86F1-4366-94D7-1AD61D7ABB03}"/>
    <cellStyle name="Currency 5 2 2 3 4 2 3" xfId="12725" xr:uid="{66B7BAD6-0532-4888-B3AB-BB2D16A1588C}"/>
    <cellStyle name="Currency 5 2 2 3 4 3" xfId="5471" xr:uid="{00000000-0005-0000-0000-0000E50B0000}"/>
    <cellStyle name="Currency 5 2 2 3 4 3 2" xfId="14797" xr:uid="{7F83FBD4-6AC8-40E4-851C-BD43B1835FA4}"/>
    <cellStyle name="Currency 5 2 2 3 4 4" xfId="10580" xr:uid="{620C9451-E50D-4AC6-B3B8-8CFBB38E7BE2}"/>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A780056C-24CB-4AF5-9AFB-8281AE61E927}"/>
    <cellStyle name="Currency 5 2 2 3 5 2 3" xfId="13138" xr:uid="{CF751C1D-3E48-47A4-A083-25DA1398755A}"/>
    <cellStyle name="Currency 5 2 2 3 5 3" xfId="5884" xr:uid="{00000000-0005-0000-0000-0000E90B0000}"/>
    <cellStyle name="Currency 5 2 2 3 5 3 2" xfId="15210" xr:uid="{4592DBE8-28D5-41AF-8DA9-11E3323C7513}"/>
    <cellStyle name="Currency 5 2 2 3 5 4" xfId="10993" xr:uid="{9B2BD8C6-0B43-4AD3-A6F3-42D60516DEB9}"/>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888BB607-84BB-4D46-B5DB-48D14F942129}"/>
    <cellStyle name="Currency 5 2 2 3 6 2 3" xfId="13551" xr:uid="{9FE853E7-F4EB-4FF5-AC5E-12469C772788}"/>
    <cellStyle name="Currency 5 2 2 3 6 3" xfId="6297" xr:uid="{00000000-0005-0000-0000-0000ED0B0000}"/>
    <cellStyle name="Currency 5 2 2 3 6 3 2" xfId="15623" xr:uid="{271B8997-27FC-4D2E-9690-19D39D9E6E17}"/>
    <cellStyle name="Currency 5 2 2 3 6 4" xfId="11406" xr:uid="{F1081D18-BA86-43FF-87A3-285C3538C4A2}"/>
    <cellStyle name="Currency 5 2 2 3 7" xfId="2426" xr:uid="{00000000-0005-0000-0000-0000EE0B0000}"/>
    <cellStyle name="Currency 5 2 2 3 7 2" xfId="6710" xr:uid="{00000000-0005-0000-0000-0000EF0B0000}"/>
    <cellStyle name="Currency 5 2 2 3 7 2 2" xfId="16036" xr:uid="{698F5C9E-19BC-4708-A4FE-B356B0D21266}"/>
    <cellStyle name="Currency 5 2 2 3 7 3" xfId="11819" xr:uid="{3BB48D87-DD33-41BC-8A2C-2CB6D0292F83}"/>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4270CABE-374F-4103-BB02-7A8A5979FB34}"/>
    <cellStyle name="Currency 5 2 2 3 9 3" xfId="12136" xr:uid="{8D5FF9DC-8022-4CDB-8AF4-CDAB95FD83C7}"/>
    <cellStyle name="Currency 5 2 2 4" xfId="202" xr:uid="{00000000-0005-0000-0000-0000F30B0000}"/>
    <cellStyle name="Currency 5 2 2 4 10" xfId="8994" xr:uid="{484CCE7A-1288-4C7F-ABD6-C45948DC4EC0}"/>
    <cellStyle name="Currency 5 2 2 4 10 2" xfId="18318" xr:uid="{C0F5679F-EA29-4EFE-A8F3-EAEB35B550B7}"/>
    <cellStyle name="Currency 5 2 2 4 11" xfId="9755" xr:uid="{DFA88FE9-2EE8-4A1A-AA51-72F67555492F}"/>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0F07675B-2C65-4FB8-A0AC-3A408E08D016}"/>
    <cellStyle name="Currency 5 2 2 4 2 2 3" xfId="12314" xr:uid="{89B59243-B28E-4C15-BA4D-96DF7622CBA2}"/>
    <cellStyle name="Currency 5 2 2 4 2 3" xfId="5060" xr:uid="{00000000-0005-0000-0000-0000F70B0000}"/>
    <cellStyle name="Currency 5 2 2 4 2 3 2" xfId="14386" xr:uid="{21F7E7E3-D0D2-4F15-8DAF-98D58FE678D8}"/>
    <cellStyle name="Currency 5 2 2 4 2 4" xfId="9419" xr:uid="{F03E4D2E-3BA9-4D5B-9C35-959DB128CBAE}"/>
    <cellStyle name="Currency 5 2 2 4 2 4 2" xfId="18734" xr:uid="{BAF79609-9CE4-4E85-8F5C-F0005494AB83}"/>
    <cellStyle name="Currency 5 2 2 4 2 5" xfId="10169" xr:uid="{B2BAB622-CB6C-4BF8-810B-BF4C9702FB95}"/>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F6B2EC54-0A45-4481-83B1-4DC2197AA1E2}"/>
    <cellStyle name="Currency 5 2 2 4 3 2 3" xfId="12727" xr:uid="{AE736B79-74FB-480C-9630-8BBE3C84076A}"/>
    <cellStyle name="Currency 5 2 2 4 3 3" xfId="5473" xr:uid="{00000000-0005-0000-0000-0000FB0B0000}"/>
    <cellStyle name="Currency 5 2 2 4 3 3 2" xfId="14799" xr:uid="{2188312E-3FDD-4568-9470-A8B8C76FF722}"/>
    <cellStyle name="Currency 5 2 2 4 3 4" xfId="10582" xr:uid="{D488896A-CAE3-4916-8D99-B061C873D3E9}"/>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BE5022D5-05CC-468A-8DDD-DD22262BF790}"/>
    <cellStyle name="Currency 5 2 2 4 4 2 3" xfId="13140" xr:uid="{B57C8A51-6114-42BD-8B70-AD6CEC4D68A6}"/>
    <cellStyle name="Currency 5 2 2 4 4 3" xfId="5886" xr:uid="{00000000-0005-0000-0000-0000FF0B0000}"/>
    <cellStyle name="Currency 5 2 2 4 4 3 2" xfId="15212" xr:uid="{72358353-E900-4842-BE86-9F7F3EE51CCE}"/>
    <cellStyle name="Currency 5 2 2 4 4 4" xfId="10995" xr:uid="{2249C5B4-A1C8-49EC-95D2-6DF22FDBD7B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DCA13EC2-8635-4F46-9876-C17B7587CA1B}"/>
    <cellStyle name="Currency 5 2 2 4 5 2 3" xfId="13553" xr:uid="{F6FD42D9-115F-424A-85E2-9979962F42D3}"/>
    <cellStyle name="Currency 5 2 2 4 5 3" xfId="6299" xr:uid="{00000000-0005-0000-0000-0000030C0000}"/>
    <cellStyle name="Currency 5 2 2 4 5 3 2" xfId="15625" xr:uid="{F15482A6-B021-4656-9EF9-343A28DB741D}"/>
    <cellStyle name="Currency 5 2 2 4 5 4" xfId="11408" xr:uid="{600F25AE-BDBE-4A4E-AE99-796FCD7D8C57}"/>
    <cellStyle name="Currency 5 2 2 4 6" xfId="2428" xr:uid="{00000000-0005-0000-0000-0000040C0000}"/>
    <cellStyle name="Currency 5 2 2 4 6 2" xfId="6712" xr:uid="{00000000-0005-0000-0000-0000050C0000}"/>
    <cellStyle name="Currency 5 2 2 4 6 2 2" xfId="16038" xr:uid="{DD0D5B82-D254-4557-A453-32EFAC950CF6}"/>
    <cellStyle name="Currency 5 2 2 4 6 3" xfId="11821" xr:uid="{898DFBE8-3F16-4222-BDA6-3D22BE349115}"/>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11FF948D-932C-4F4B-9348-2ED59EE2B162}"/>
    <cellStyle name="Currency 5 2 2 4 8 3" xfId="12138" xr:uid="{404401C8-C2EB-423D-90ED-D0C818A5301E}"/>
    <cellStyle name="Currency 5 2 2 4 9" xfId="4646" xr:uid="{00000000-0005-0000-0000-0000090C0000}"/>
    <cellStyle name="Currency 5 2 2 4 9 2" xfId="13972" xr:uid="{8C204789-74E3-4C94-B167-964DB2C39D7A}"/>
    <cellStyle name="Currency 5 2 2 5" xfId="203" xr:uid="{00000000-0005-0000-0000-00000A0C0000}"/>
    <cellStyle name="Currency 5 2 2 5 10" xfId="9211" xr:uid="{586E1D8D-A72F-44A2-BAB5-A0BAD4827F6D}"/>
    <cellStyle name="Currency 5 2 2 5 10 2" xfId="18527" xr:uid="{0D37EA4C-5DF5-4ADB-845A-8A9E5D2E92A6}"/>
    <cellStyle name="Currency 5 2 2 5 11" xfId="9756" xr:uid="{25F33243-F674-42EF-87EA-B830B5FCD9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398103AA-34E4-4B79-855D-D5109D87A42D}"/>
    <cellStyle name="Currency 5 2 2 5 2 2 3" xfId="12315" xr:uid="{C3CE2AC8-C8F8-4FFF-9B65-137C6FA8EAB8}"/>
    <cellStyle name="Currency 5 2 2 5 2 3" xfId="5061" xr:uid="{00000000-0005-0000-0000-00000E0C0000}"/>
    <cellStyle name="Currency 5 2 2 5 2 3 2" xfId="14387" xr:uid="{809F5039-F3CA-4DE8-9EEB-F006FEDD2622}"/>
    <cellStyle name="Currency 5 2 2 5 2 4" xfId="9598" xr:uid="{EBD3270B-608E-49E1-8A20-C5ADF81FBC1B}"/>
    <cellStyle name="Currency 5 2 2 5 2 4 2" xfId="18902" xr:uid="{076E657D-6F76-48AE-ABEA-0D99A3FF1C97}"/>
    <cellStyle name="Currency 5 2 2 5 2 5" xfId="10170" xr:uid="{4365C85F-EC96-4223-9B0A-2FF173209F46}"/>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E73528FF-AF49-4C6B-B4D8-B6DE4A30CE79}"/>
    <cellStyle name="Currency 5 2 2 5 3 2 3" xfId="12728" xr:uid="{65B4C4E2-7019-4618-BC1E-DF2BCB53800A}"/>
    <cellStyle name="Currency 5 2 2 5 3 3" xfId="5474" xr:uid="{00000000-0005-0000-0000-0000120C0000}"/>
    <cellStyle name="Currency 5 2 2 5 3 3 2" xfId="14800" xr:uid="{9729E805-0C7B-4748-ACA7-34F325DB19A5}"/>
    <cellStyle name="Currency 5 2 2 5 3 4" xfId="10583" xr:uid="{DE23FEA9-20CB-493E-9C14-CFC57F28C051}"/>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24455670-F8D7-4096-9F9E-DDCD5E3F44AE}"/>
    <cellStyle name="Currency 5 2 2 5 4 2 3" xfId="13141" xr:uid="{372237EF-ED08-4D2A-8508-C3E937C45A9F}"/>
    <cellStyle name="Currency 5 2 2 5 4 3" xfId="5887" xr:uid="{00000000-0005-0000-0000-0000160C0000}"/>
    <cellStyle name="Currency 5 2 2 5 4 3 2" xfId="15213" xr:uid="{C919F046-885C-4910-8871-BA6FF3901B0A}"/>
    <cellStyle name="Currency 5 2 2 5 4 4" xfId="10996" xr:uid="{AB9C6100-AF40-46A0-9324-39F8E3911F27}"/>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12356A74-1FB2-4998-924D-301CF8B99E0B}"/>
    <cellStyle name="Currency 5 2 2 5 5 2 3" xfId="13554" xr:uid="{B20096F6-A0CD-43B7-9EA7-0EB914C27B5C}"/>
    <cellStyle name="Currency 5 2 2 5 5 3" xfId="6300" xr:uid="{00000000-0005-0000-0000-00001A0C0000}"/>
    <cellStyle name="Currency 5 2 2 5 5 3 2" xfId="15626" xr:uid="{18D65358-0B0D-47D7-B396-E5A451969F75}"/>
    <cellStyle name="Currency 5 2 2 5 5 4" xfId="11409" xr:uid="{F8760B16-67D3-4DF9-87CE-C92FC7962853}"/>
    <cellStyle name="Currency 5 2 2 5 6" xfId="2429" xr:uid="{00000000-0005-0000-0000-00001B0C0000}"/>
    <cellStyle name="Currency 5 2 2 5 6 2" xfId="6713" xr:uid="{00000000-0005-0000-0000-00001C0C0000}"/>
    <cellStyle name="Currency 5 2 2 5 6 2 2" xfId="16039" xr:uid="{99C6187B-64C4-4BDC-BEC3-AE4311FEDC4F}"/>
    <cellStyle name="Currency 5 2 2 5 6 3" xfId="11822" xr:uid="{A883ED07-2789-4CD3-8AD2-1CB883E2435A}"/>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257D662C-AB9F-47E2-A6BF-4E62865DE641}"/>
    <cellStyle name="Currency 5 2 2 5 8 3" xfId="12139" xr:uid="{8014E6B2-BC17-4939-88C7-766637B5F66D}"/>
    <cellStyle name="Currency 5 2 2 5 9" xfId="4647" xr:uid="{00000000-0005-0000-0000-0000200C0000}"/>
    <cellStyle name="Currency 5 2 2 5 9 2" xfId="13973" xr:uid="{59435228-E348-4BD9-B799-3D159854FCB5}"/>
    <cellStyle name="Currency 5 2 2 6" xfId="9584" xr:uid="{DC5749FB-A314-4F8C-B61F-309C27A570F5}"/>
    <cellStyle name="Currency 5 2 2 7" xfId="8787" xr:uid="{822EE7D8-70A6-49D7-843D-E84C848DC397}"/>
    <cellStyle name="Currency 5 2 2 7 2" xfId="18111" xr:uid="{E06A8E14-CD2B-468F-8813-4DEF7C280B7D}"/>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DBB1C277-5A03-4071-9540-767628C2604E}"/>
    <cellStyle name="Currency 5 2 4 11" xfId="8859" xr:uid="{D3A5F8AD-5F4E-4BEA-A9B4-9A705A015524}"/>
    <cellStyle name="Currency 5 2 4 11 2" xfId="18183" xr:uid="{1F032B40-E504-4E22-B2B0-D0B68A36596C}"/>
    <cellStyle name="Currency 5 2 4 12" xfId="9757" xr:uid="{96CEBFF5-B5AB-4EB2-9E6E-32B78960D0C4}"/>
    <cellStyle name="Currency 5 2 4 2" xfId="206" xr:uid="{00000000-0005-0000-0000-0000250C0000}"/>
    <cellStyle name="Currency 5 2 4 2 10" xfId="9066" xr:uid="{2F7A28AF-2120-4AAF-A58B-33C2E07F597D}"/>
    <cellStyle name="Currency 5 2 4 2 10 2" xfId="18390" xr:uid="{2EB8A7CD-D81F-409E-BCB1-4CE2ED19E085}"/>
    <cellStyle name="Currency 5 2 4 2 11" xfId="9758" xr:uid="{F8FD05EA-C43C-4064-A7A0-78CEE8FB375F}"/>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855607C4-D99F-4AEF-94AF-8930639CA800}"/>
    <cellStyle name="Currency 5 2 4 2 2 2 3" xfId="12317" xr:uid="{0EEE8BCB-D141-42C9-8743-B60A9E283CB1}"/>
    <cellStyle name="Currency 5 2 4 2 2 3" xfId="5063" xr:uid="{00000000-0005-0000-0000-0000290C0000}"/>
    <cellStyle name="Currency 5 2 4 2 2 3 2" xfId="14389" xr:uid="{C6107784-79D0-4B10-B64C-35738FC52478}"/>
    <cellStyle name="Currency 5 2 4 2 2 4" xfId="9491" xr:uid="{64B868C7-9024-4970-9E74-7DF82417BD7A}"/>
    <cellStyle name="Currency 5 2 4 2 2 4 2" xfId="18806" xr:uid="{716AF38F-C8A6-4FEC-BE03-0ED89FE7E65E}"/>
    <cellStyle name="Currency 5 2 4 2 2 5" xfId="10172" xr:uid="{57B100D1-0267-4877-991C-D81B6E95D2EF}"/>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70AD70A6-E9EA-4980-814A-9304E90C4ABC}"/>
    <cellStyle name="Currency 5 2 4 2 3 2 3" xfId="12730" xr:uid="{13675598-53C6-49E8-BC86-C5731B4A9E58}"/>
    <cellStyle name="Currency 5 2 4 2 3 3" xfId="5476" xr:uid="{00000000-0005-0000-0000-00002D0C0000}"/>
    <cellStyle name="Currency 5 2 4 2 3 3 2" xfId="14802" xr:uid="{30314C0C-E0EA-4C53-9D1B-647DF5AFF35C}"/>
    <cellStyle name="Currency 5 2 4 2 3 4" xfId="10585" xr:uid="{11DB284E-735F-46B4-95A1-812AA1E07031}"/>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B9C9F0DE-6C9F-41E2-9F0F-B8BB3AE8A37D}"/>
    <cellStyle name="Currency 5 2 4 2 4 2 3" xfId="13143" xr:uid="{B1A15963-B32E-4069-BB85-4AC0D00290B5}"/>
    <cellStyle name="Currency 5 2 4 2 4 3" xfId="5889" xr:uid="{00000000-0005-0000-0000-0000310C0000}"/>
    <cellStyle name="Currency 5 2 4 2 4 3 2" xfId="15215" xr:uid="{8B1BF7A0-33E6-4338-BCCE-5365E2B08901}"/>
    <cellStyle name="Currency 5 2 4 2 4 4" xfId="10998" xr:uid="{8F520C1F-181D-4253-91D9-28774B9BA44C}"/>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B210481A-CDE9-4040-B5D4-B7DB0905789D}"/>
    <cellStyle name="Currency 5 2 4 2 5 2 3" xfId="13556" xr:uid="{C0CA0DA8-5920-407A-9D6C-093C9B627EB4}"/>
    <cellStyle name="Currency 5 2 4 2 5 3" xfId="6302" xr:uid="{00000000-0005-0000-0000-0000350C0000}"/>
    <cellStyle name="Currency 5 2 4 2 5 3 2" xfId="15628" xr:uid="{8C42B06B-AF17-4F66-B68C-BF9EEB4C1094}"/>
    <cellStyle name="Currency 5 2 4 2 5 4" xfId="11411" xr:uid="{FE05E57D-C9EA-4B89-806C-D305AB793FDC}"/>
    <cellStyle name="Currency 5 2 4 2 6" xfId="2431" xr:uid="{00000000-0005-0000-0000-0000360C0000}"/>
    <cellStyle name="Currency 5 2 4 2 6 2" xfId="6715" xr:uid="{00000000-0005-0000-0000-0000370C0000}"/>
    <cellStyle name="Currency 5 2 4 2 6 2 2" xfId="16041" xr:uid="{02DEF10E-794E-4732-8730-1977E131D80D}"/>
    <cellStyle name="Currency 5 2 4 2 6 3" xfId="11824" xr:uid="{3D9DC0C6-6A53-4D37-8A8E-86FF373DB9D6}"/>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67E43184-730D-4A5B-ABE9-DB7F572C385A}"/>
    <cellStyle name="Currency 5 2 4 2 8 3" xfId="12141" xr:uid="{2072DA6A-751E-48CB-B287-D8DEF8EB62B6}"/>
    <cellStyle name="Currency 5 2 4 2 9" xfId="4649" xr:uid="{00000000-0005-0000-0000-00003B0C0000}"/>
    <cellStyle name="Currency 5 2 4 2 9 2" xfId="13975" xr:uid="{B8FFDCAF-673C-4D44-A855-0C247415D9E7}"/>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68CFC852-DFCB-4D18-A05C-43B4EAB8C235}"/>
    <cellStyle name="Currency 5 2 4 3 2 3" xfId="12316" xr:uid="{785A1DC9-2B7A-42B5-89A3-C90210B99B6E}"/>
    <cellStyle name="Currency 5 2 4 3 3" xfId="5062" xr:uid="{00000000-0005-0000-0000-00003F0C0000}"/>
    <cellStyle name="Currency 5 2 4 3 3 2" xfId="14388" xr:uid="{48AF838F-9968-431F-AEA5-52B6A57F3F67}"/>
    <cellStyle name="Currency 5 2 4 3 4" xfId="9284" xr:uid="{1D0B72AC-AFAC-428F-8BF0-6DFF9565613D}"/>
    <cellStyle name="Currency 5 2 4 3 4 2" xfId="18599" xr:uid="{60E7886B-1A89-4BE3-9D2F-22B1D9A924B7}"/>
    <cellStyle name="Currency 5 2 4 3 5" xfId="10171" xr:uid="{8CBFD1FE-F7C9-455F-AA50-663D74EEE7D1}"/>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5533F772-0CBF-413A-8DBC-090AD80717B5}"/>
    <cellStyle name="Currency 5 2 4 4 2 3" xfId="12729" xr:uid="{F849BCE6-432D-46DF-BF97-E69EF6E1AEFC}"/>
    <cellStyle name="Currency 5 2 4 4 3" xfId="5475" xr:uid="{00000000-0005-0000-0000-0000430C0000}"/>
    <cellStyle name="Currency 5 2 4 4 3 2" xfId="14801" xr:uid="{03FBDB8A-9E46-4613-B031-9DD5FC4F78B6}"/>
    <cellStyle name="Currency 5 2 4 4 4" xfId="10584" xr:uid="{49D0342C-ADB0-4F59-BAF5-F00343773ADF}"/>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16B0EFE4-E9E0-4323-BF6A-00FAFCFC2F86}"/>
    <cellStyle name="Currency 5 2 4 5 2 3" xfId="13142" xr:uid="{ACA0069B-A832-41AF-9181-E8FCDAD5A1D0}"/>
    <cellStyle name="Currency 5 2 4 5 3" xfId="5888" xr:uid="{00000000-0005-0000-0000-0000470C0000}"/>
    <cellStyle name="Currency 5 2 4 5 3 2" xfId="15214" xr:uid="{617CA83C-C2CB-4CC6-8F13-CBCDD640279E}"/>
    <cellStyle name="Currency 5 2 4 5 4" xfId="10997" xr:uid="{D3C02CA6-ACED-4402-AC9A-61EB4D5DA24D}"/>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7D61CAB9-B86F-47BD-A1F8-D974F6E5998E}"/>
    <cellStyle name="Currency 5 2 4 6 2 3" xfId="13555" xr:uid="{88CA5AA6-A82D-4AB9-B654-023B4811417F}"/>
    <cellStyle name="Currency 5 2 4 6 3" xfId="6301" xr:uid="{00000000-0005-0000-0000-00004B0C0000}"/>
    <cellStyle name="Currency 5 2 4 6 3 2" xfId="15627" xr:uid="{F6BD1D59-8A7E-4A75-9E62-91A8D2C0EF59}"/>
    <cellStyle name="Currency 5 2 4 6 4" xfId="11410" xr:uid="{6DF5E6CD-C2E7-4330-A3E2-0EEB8675B66B}"/>
    <cellStyle name="Currency 5 2 4 7" xfId="2430" xr:uid="{00000000-0005-0000-0000-00004C0C0000}"/>
    <cellStyle name="Currency 5 2 4 7 2" xfId="6714" xr:uid="{00000000-0005-0000-0000-00004D0C0000}"/>
    <cellStyle name="Currency 5 2 4 7 2 2" xfId="16040" xr:uid="{4F72B204-823C-4CBB-AEA9-901712612DB4}"/>
    <cellStyle name="Currency 5 2 4 7 3" xfId="11823" xr:uid="{7B1F95C6-2520-44F3-A45D-8E984C7424A9}"/>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F8C1D5FA-AB76-4483-B7D8-7370DD4604BB}"/>
    <cellStyle name="Currency 5 2 4 9 3" xfId="12140" xr:uid="{9C6F789A-AF5F-4611-8B41-AF9213A6F766}"/>
    <cellStyle name="Currency 5 2 5" xfId="207" xr:uid="{00000000-0005-0000-0000-0000510C0000}"/>
    <cellStyle name="Currency 5 2 5 10" xfId="8975" xr:uid="{3422EC31-C47F-46E0-A50C-FE05B1979387}"/>
    <cellStyle name="Currency 5 2 5 10 2" xfId="18299" xr:uid="{656A163A-8274-4D34-A2CE-F38D1FACB182}"/>
    <cellStyle name="Currency 5 2 5 11" xfId="9759" xr:uid="{F14B7B03-CDE5-4758-AEA1-02977FB0C5F7}"/>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D1F946DC-21C2-47E1-AD7F-7E8842A8E150}"/>
    <cellStyle name="Currency 5 2 5 2 2 3" xfId="12318" xr:uid="{863A6982-69C9-496A-BD5A-3FCBAB5B0798}"/>
    <cellStyle name="Currency 5 2 5 2 3" xfId="5064" xr:uid="{00000000-0005-0000-0000-0000550C0000}"/>
    <cellStyle name="Currency 5 2 5 2 3 2" xfId="14390" xr:uid="{39CC937F-806C-4832-820A-17F549E652A7}"/>
    <cellStyle name="Currency 5 2 5 2 4" xfId="9400" xr:uid="{6620DDCD-05C0-4AFD-8A83-F1190101CCB3}"/>
    <cellStyle name="Currency 5 2 5 2 4 2" xfId="18715" xr:uid="{6625E1C5-65A9-4CEA-9CB9-92122B337A33}"/>
    <cellStyle name="Currency 5 2 5 2 5" xfId="10173" xr:uid="{4ED5012B-CC96-4444-95FE-323E0C658C74}"/>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B845762C-99A5-4A00-BC27-1A669DA1322E}"/>
    <cellStyle name="Currency 5 2 5 3 2 3" xfId="12731" xr:uid="{9304E059-9CA1-4FD1-BB92-1A292A25CAAB}"/>
    <cellStyle name="Currency 5 2 5 3 3" xfId="5477" xr:uid="{00000000-0005-0000-0000-0000590C0000}"/>
    <cellStyle name="Currency 5 2 5 3 3 2" xfId="14803" xr:uid="{1172B186-9815-4AA0-AC9E-13699305E81E}"/>
    <cellStyle name="Currency 5 2 5 3 4" xfId="10586" xr:uid="{31A1EEF2-E8B4-401F-99C9-D3ECA0950730}"/>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BB5CDDEE-4796-4A19-ACDA-A33F5E32FAEE}"/>
    <cellStyle name="Currency 5 2 5 4 2 3" xfId="13144" xr:uid="{592F7879-8D56-4FD1-BB05-FA3C6390FCD6}"/>
    <cellStyle name="Currency 5 2 5 4 3" xfId="5890" xr:uid="{00000000-0005-0000-0000-00005D0C0000}"/>
    <cellStyle name="Currency 5 2 5 4 3 2" xfId="15216" xr:uid="{F432A941-4471-48CC-8D9F-38AA4F6B3EA7}"/>
    <cellStyle name="Currency 5 2 5 4 4" xfId="10999" xr:uid="{A3F09961-9CDE-4A8C-BFD8-07569C7B7AC5}"/>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5D06EC66-2FDF-41BF-8C72-FDEBACF5EAA0}"/>
    <cellStyle name="Currency 5 2 5 5 2 3" xfId="13557" xr:uid="{FC7D3E5D-7023-4B44-94C8-0A63868252D4}"/>
    <cellStyle name="Currency 5 2 5 5 3" xfId="6303" xr:uid="{00000000-0005-0000-0000-0000610C0000}"/>
    <cellStyle name="Currency 5 2 5 5 3 2" xfId="15629" xr:uid="{8578A39B-2B6A-4D29-B6E6-17A2D9D49FE6}"/>
    <cellStyle name="Currency 5 2 5 5 4" xfId="11412" xr:uid="{6E227702-E04C-421E-9390-031EC55A7CE6}"/>
    <cellStyle name="Currency 5 2 5 6" xfId="2432" xr:uid="{00000000-0005-0000-0000-0000620C0000}"/>
    <cellStyle name="Currency 5 2 5 6 2" xfId="6716" xr:uid="{00000000-0005-0000-0000-0000630C0000}"/>
    <cellStyle name="Currency 5 2 5 6 2 2" xfId="16042" xr:uid="{4BCD24E8-354A-4F16-969F-E28B8252BE83}"/>
    <cellStyle name="Currency 5 2 5 6 3" xfId="11825" xr:uid="{885F7BE7-B869-45EB-B5BD-481BB299DB7A}"/>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743BF2CE-65E4-4155-B375-AED57C0AEDBB}"/>
    <cellStyle name="Currency 5 2 5 8 3" xfId="12142" xr:uid="{1C46C00D-A55E-4F42-833D-40D212ADA2A9}"/>
    <cellStyle name="Currency 5 2 5 9" xfId="4650" xr:uid="{00000000-0005-0000-0000-0000670C0000}"/>
    <cellStyle name="Currency 5 2 5 9 2" xfId="13976" xr:uid="{41382D3B-E191-4515-BFDA-9227406E49D8}"/>
    <cellStyle name="Currency 5 2 6" xfId="208" xr:uid="{00000000-0005-0000-0000-0000680C0000}"/>
    <cellStyle name="Currency 5 2 6 10" xfId="9178" xr:uid="{19F6D70E-88E4-4E39-A1A9-3FF3D840E2F9}"/>
    <cellStyle name="Currency 5 2 6 10 2" xfId="18496" xr:uid="{E335035E-210F-4663-9D9A-311366B707E9}"/>
    <cellStyle name="Currency 5 2 6 11" xfId="9760" xr:uid="{0E4062FD-257F-4986-AE95-B82D30B0A91E}"/>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08D06922-BAE7-4867-A49C-B31B2DD5188A}"/>
    <cellStyle name="Currency 5 2 6 2 2 3" xfId="12319" xr:uid="{3150E77C-E1EB-4ACD-BA56-747DCB7B7FDA}"/>
    <cellStyle name="Currency 5 2 6 2 3" xfId="5065" xr:uid="{00000000-0005-0000-0000-00006C0C0000}"/>
    <cellStyle name="Currency 5 2 6 2 3 2" xfId="14391" xr:uid="{2E1AB11A-F383-440B-9438-01C1BF396A16}"/>
    <cellStyle name="Currency 5 2 6 2 4" xfId="9599" xr:uid="{C2EE182C-D73D-4E6C-9671-0484CB4E8D68}"/>
    <cellStyle name="Currency 5 2 6 2 4 2" xfId="18903" xr:uid="{7BBD57F1-88E6-4760-9DDB-774795F3069D}"/>
    <cellStyle name="Currency 5 2 6 2 5" xfId="10174" xr:uid="{61E72897-9154-410B-8081-D6BE45A7AE99}"/>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08C747A2-B604-41E2-A6F0-8E05C2B4C5D5}"/>
    <cellStyle name="Currency 5 2 6 3 2 3" xfId="12732" xr:uid="{3CD4BDC1-D837-4D56-B319-BA767ADB2D3B}"/>
    <cellStyle name="Currency 5 2 6 3 3" xfId="5478" xr:uid="{00000000-0005-0000-0000-0000700C0000}"/>
    <cellStyle name="Currency 5 2 6 3 3 2" xfId="14804" xr:uid="{E3E9B05B-ECF5-400F-BB35-946D5334BA83}"/>
    <cellStyle name="Currency 5 2 6 3 4" xfId="10587" xr:uid="{A0931F76-511A-4F54-BCA9-ED508F9B5FB5}"/>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7082A64A-1F95-4952-B381-5A3D9CF6E9C7}"/>
    <cellStyle name="Currency 5 2 6 4 2 3" xfId="13145" xr:uid="{4D4078C5-DE74-4284-9A93-B62C0598C627}"/>
    <cellStyle name="Currency 5 2 6 4 3" xfId="5891" xr:uid="{00000000-0005-0000-0000-0000740C0000}"/>
    <cellStyle name="Currency 5 2 6 4 3 2" xfId="15217" xr:uid="{02CF7838-7052-4F9C-AE9B-A8A863635655}"/>
    <cellStyle name="Currency 5 2 6 4 4" xfId="11000" xr:uid="{E377CE91-B174-4340-9700-87772EF7CC88}"/>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6ADE6F19-2F6D-44BF-9093-A50DA34DA764}"/>
    <cellStyle name="Currency 5 2 6 5 2 3" xfId="13558" xr:uid="{84B11ECB-8B7D-4089-87CB-F263086B0328}"/>
    <cellStyle name="Currency 5 2 6 5 3" xfId="6304" xr:uid="{00000000-0005-0000-0000-0000780C0000}"/>
    <cellStyle name="Currency 5 2 6 5 3 2" xfId="15630" xr:uid="{91096F68-8364-4FC9-BEE7-07AB00FBDF24}"/>
    <cellStyle name="Currency 5 2 6 5 4" xfId="11413" xr:uid="{C85B8252-D635-42F2-AC87-B591AF674043}"/>
    <cellStyle name="Currency 5 2 6 6" xfId="2433" xr:uid="{00000000-0005-0000-0000-0000790C0000}"/>
    <cellStyle name="Currency 5 2 6 6 2" xfId="6717" xr:uid="{00000000-0005-0000-0000-00007A0C0000}"/>
    <cellStyle name="Currency 5 2 6 6 2 2" xfId="16043" xr:uid="{260F89AC-5705-4770-B4D5-0BDDBF66EC7D}"/>
    <cellStyle name="Currency 5 2 6 6 3" xfId="11826" xr:uid="{B544E7D8-E2B8-4035-BBDA-72B7E7EAA344}"/>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C8B10DF2-EF80-474E-BF68-E1467463C67E}"/>
    <cellStyle name="Currency 5 2 6 8 3" xfId="12143" xr:uid="{83D921C1-3ACF-4ABF-952A-064617706121}"/>
    <cellStyle name="Currency 5 2 6 9" xfId="4651" xr:uid="{00000000-0005-0000-0000-00007E0C0000}"/>
    <cellStyle name="Currency 5 2 6 9 2" xfId="13977" xr:uid="{2C2762F2-9D84-422F-BB13-FCDC1393F069}"/>
    <cellStyle name="Currency 5 2 7" xfId="722" xr:uid="{00000000-0005-0000-0000-00007F0C0000}"/>
    <cellStyle name="Currency 5 2 8" xfId="8756" xr:uid="{D16196A2-D0A3-46A2-9B14-6B017B4CC82F}"/>
    <cellStyle name="Currency 5 2 8 2" xfId="18080" xr:uid="{72C4A611-0A4D-4B37-8D77-DEF187D8A407}"/>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D4C4A81B-68A4-49C3-B2C9-8549B8A7C60D}"/>
    <cellStyle name="Currency 5 3 2 10 3" xfId="12144" xr:uid="{D2CD89C5-E125-4794-A6C3-AAA259210CED}"/>
    <cellStyle name="Currency 5 3 2 11" xfId="4652" xr:uid="{00000000-0005-0000-0000-0000840C0000}"/>
    <cellStyle name="Currency 5 3 2 11 2" xfId="13978" xr:uid="{1DDBDA3F-9315-4B6F-B8F6-C38696EE9300}"/>
    <cellStyle name="Currency 5 3 2 12" xfId="8810" xr:uid="{C5234FF9-D509-4CD8-ADA1-D3604CCF3D1F}"/>
    <cellStyle name="Currency 5 3 2 12 2" xfId="18134" xr:uid="{80DC622B-CE47-4624-8E62-4ABAF491FA7D}"/>
    <cellStyle name="Currency 5 3 2 13" xfId="9761" xr:uid="{A9900B97-6D85-42DB-91D5-5FDF394C7482}"/>
    <cellStyle name="Currency 5 3 2 2" xfId="211" xr:uid="{00000000-0005-0000-0000-0000850C0000}"/>
    <cellStyle name="Currency 5 3 2 2 10" xfId="4653" xr:uid="{00000000-0005-0000-0000-0000860C0000}"/>
    <cellStyle name="Currency 5 3 2 2 10 2" xfId="13979" xr:uid="{BEE4EBC4-3E23-4748-8469-4864ED4B555F}"/>
    <cellStyle name="Currency 5 3 2 2 11" xfId="8913" xr:uid="{FE033F82-2F16-4925-9899-F927AB9AA612}"/>
    <cellStyle name="Currency 5 3 2 2 11 2" xfId="18237" xr:uid="{FE1758D3-72B7-417A-8F09-5657A1E72B25}"/>
    <cellStyle name="Currency 5 3 2 2 12" xfId="9762" xr:uid="{D84338F2-ED31-472F-8879-78913E91B512}"/>
    <cellStyle name="Currency 5 3 2 2 2" xfId="212" xr:uid="{00000000-0005-0000-0000-0000870C0000}"/>
    <cellStyle name="Currency 5 3 2 2 2 10" xfId="9120" xr:uid="{D5536A1F-8418-4CB5-B1E0-470AD716374A}"/>
    <cellStyle name="Currency 5 3 2 2 2 10 2" xfId="18444" xr:uid="{073616FA-BFB2-4DBA-BDBE-5761E1876FBB}"/>
    <cellStyle name="Currency 5 3 2 2 2 11" xfId="9763" xr:uid="{181DE44A-9C98-46BA-B906-0E5A943E966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502A59BA-C0AD-4777-9B74-D35E6F1F92C8}"/>
    <cellStyle name="Currency 5 3 2 2 2 2 2 3" xfId="12322" xr:uid="{B9C60356-4C71-4951-846B-895EF7B111A5}"/>
    <cellStyle name="Currency 5 3 2 2 2 2 3" xfId="5068" xr:uid="{00000000-0005-0000-0000-00008B0C0000}"/>
    <cellStyle name="Currency 5 3 2 2 2 2 3 2" xfId="14394" xr:uid="{18F510E8-F944-4528-B3AA-4246F4154A80}"/>
    <cellStyle name="Currency 5 3 2 2 2 2 4" xfId="9545" xr:uid="{F6C268D6-0334-42F7-AE4F-535ADD09B625}"/>
    <cellStyle name="Currency 5 3 2 2 2 2 4 2" xfId="18860" xr:uid="{A5E64F4B-0ACF-4F37-B15A-389F4E6AD896}"/>
    <cellStyle name="Currency 5 3 2 2 2 2 5" xfId="10177" xr:uid="{707C0A51-28FC-4514-A02A-38B698C19F0E}"/>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7B7D578C-5D17-426B-B023-8C60D7951C2E}"/>
    <cellStyle name="Currency 5 3 2 2 2 3 2 3" xfId="12735" xr:uid="{34B2848B-840D-4AF0-809A-962572AE51B4}"/>
    <cellStyle name="Currency 5 3 2 2 2 3 3" xfId="5481" xr:uid="{00000000-0005-0000-0000-00008F0C0000}"/>
    <cellStyle name="Currency 5 3 2 2 2 3 3 2" xfId="14807" xr:uid="{EFFDD9B5-F2C3-4F44-ACB6-AB23923070C6}"/>
    <cellStyle name="Currency 5 3 2 2 2 3 4" xfId="10590" xr:uid="{337BCB44-04C7-41D8-A267-C0C0A87260D1}"/>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1F82D3A2-5F26-4377-9C94-9F00A2A5AC0F}"/>
    <cellStyle name="Currency 5 3 2 2 2 4 2 3" xfId="13148" xr:uid="{6186624F-EF4E-4568-A069-55CB89BB47A2}"/>
    <cellStyle name="Currency 5 3 2 2 2 4 3" xfId="5894" xr:uid="{00000000-0005-0000-0000-0000930C0000}"/>
    <cellStyle name="Currency 5 3 2 2 2 4 3 2" xfId="15220" xr:uid="{46C6E975-4FA7-40D2-9D76-7D5755613C8C}"/>
    <cellStyle name="Currency 5 3 2 2 2 4 4" xfId="11003" xr:uid="{249CA944-F1BE-4DD0-B429-B6BA7072898D}"/>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B5D61925-D6A0-4CF2-B5DF-F4D4B8736EA1}"/>
    <cellStyle name="Currency 5 3 2 2 2 5 2 3" xfId="13561" xr:uid="{059BCAD7-E701-45F1-A61D-4B3C9E2544A2}"/>
    <cellStyle name="Currency 5 3 2 2 2 5 3" xfId="6307" xr:uid="{00000000-0005-0000-0000-0000970C0000}"/>
    <cellStyle name="Currency 5 3 2 2 2 5 3 2" xfId="15633" xr:uid="{2A287C11-27A2-4076-96FD-5DA7CDE09635}"/>
    <cellStyle name="Currency 5 3 2 2 2 5 4" xfId="11416" xr:uid="{C1F27C0E-C8EA-4FE2-AE76-1D8B408FDE86}"/>
    <cellStyle name="Currency 5 3 2 2 2 6" xfId="2436" xr:uid="{00000000-0005-0000-0000-0000980C0000}"/>
    <cellStyle name="Currency 5 3 2 2 2 6 2" xfId="6720" xr:uid="{00000000-0005-0000-0000-0000990C0000}"/>
    <cellStyle name="Currency 5 3 2 2 2 6 2 2" xfId="16046" xr:uid="{5843FA30-C0D0-4534-A7D4-8F856D0B283B}"/>
    <cellStyle name="Currency 5 3 2 2 2 6 3" xfId="11829" xr:uid="{A0039883-BA65-472C-83B4-C2CDE636B092}"/>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8D461B42-B3E4-496A-9FCF-64308A2EBE42}"/>
    <cellStyle name="Currency 5 3 2 2 2 8 3" xfId="12146" xr:uid="{2409F6CD-984E-4BFA-A2CC-D2B3B77EA4AE}"/>
    <cellStyle name="Currency 5 3 2 2 2 9" xfId="4654" xr:uid="{00000000-0005-0000-0000-00009D0C0000}"/>
    <cellStyle name="Currency 5 3 2 2 2 9 2" xfId="13980" xr:uid="{9F050E3F-8924-4783-8690-E46ACE056533}"/>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93E1FD5B-9F8E-4E80-9F10-238BE0483E03}"/>
    <cellStyle name="Currency 5 3 2 2 3 2 3" xfId="12321" xr:uid="{60EFADB1-67ED-4F05-91B6-621581499BB4}"/>
    <cellStyle name="Currency 5 3 2 2 3 3" xfId="5067" xr:uid="{00000000-0005-0000-0000-0000A10C0000}"/>
    <cellStyle name="Currency 5 3 2 2 3 3 2" xfId="14393" xr:uid="{847B5A9F-EB79-482D-A5F1-1DDB098829CF}"/>
    <cellStyle name="Currency 5 3 2 2 3 4" xfId="9338" xr:uid="{E79296CA-9516-4DDA-84B2-A3B13AAA9D9D}"/>
    <cellStyle name="Currency 5 3 2 2 3 4 2" xfId="18653" xr:uid="{69BE97DD-36B5-48BC-B5F1-8FF9042A47D7}"/>
    <cellStyle name="Currency 5 3 2 2 3 5" xfId="10176" xr:uid="{19C20A16-6011-4764-B24E-C56884AB0C98}"/>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8B6B2C66-C5AE-48A0-BF1C-7F577C4790A5}"/>
    <cellStyle name="Currency 5 3 2 2 4 2 3" xfId="12734" xr:uid="{60D3F8D2-62BA-4F98-B9E0-57BF6EFDB940}"/>
    <cellStyle name="Currency 5 3 2 2 4 3" xfId="5480" xr:uid="{00000000-0005-0000-0000-0000A50C0000}"/>
    <cellStyle name="Currency 5 3 2 2 4 3 2" xfId="14806" xr:uid="{509FE857-AFA7-4DD4-9ECA-7D1F39870B4B}"/>
    <cellStyle name="Currency 5 3 2 2 4 4" xfId="10589" xr:uid="{02326882-F468-4A5F-96A7-790F111639C3}"/>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3AB3FEAE-8DA2-44E1-A8EA-4619D5CD8DAE}"/>
    <cellStyle name="Currency 5 3 2 2 5 2 3" xfId="13147" xr:uid="{CD505A0C-C4D2-4E94-80F3-F000E2BF61AD}"/>
    <cellStyle name="Currency 5 3 2 2 5 3" xfId="5893" xr:uid="{00000000-0005-0000-0000-0000A90C0000}"/>
    <cellStyle name="Currency 5 3 2 2 5 3 2" xfId="15219" xr:uid="{1D0CD621-8FFC-43B0-A372-FB53F9C9FBDD}"/>
    <cellStyle name="Currency 5 3 2 2 5 4" xfId="11002" xr:uid="{62DD6A06-9B24-40E2-AE8B-62AB2DF007A4}"/>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A46C99D5-C38E-4068-BCAD-06A769D510A5}"/>
    <cellStyle name="Currency 5 3 2 2 6 2 3" xfId="13560" xr:uid="{77FBAB29-33F8-499E-8A97-31F7F0BE6F20}"/>
    <cellStyle name="Currency 5 3 2 2 6 3" xfId="6306" xr:uid="{00000000-0005-0000-0000-0000AD0C0000}"/>
    <cellStyle name="Currency 5 3 2 2 6 3 2" xfId="15632" xr:uid="{B2C2B05A-BCEA-449C-BA26-8ECFF2FB9E26}"/>
    <cellStyle name="Currency 5 3 2 2 6 4" xfId="11415" xr:uid="{2F960895-3B0E-41CF-8FBD-404C61E9B61C}"/>
    <cellStyle name="Currency 5 3 2 2 7" xfId="2435" xr:uid="{00000000-0005-0000-0000-0000AE0C0000}"/>
    <cellStyle name="Currency 5 3 2 2 7 2" xfId="6719" xr:uid="{00000000-0005-0000-0000-0000AF0C0000}"/>
    <cellStyle name="Currency 5 3 2 2 7 2 2" xfId="16045" xr:uid="{1C4E69B7-F7CA-4D8A-8C8B-210356B1B1F8}"/>
    <cellStyle name="Currency 5 3 2 2 7 3" xfId="11828" xr:uid="{28AD6900-96C9-411F-96A2-13857FD55C8B}"/>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8E912029-D486-4940-B4EF-84A7278A4DFD}"/>
    <cellStyle name="Currency 5 3 2 2 9 3" xfId="12145" xr:uid="{DFDC8A3E-F9B7-4E4B-8F89-24E4BB114735}"/>
    <cellStyle name="Currency 5 3 2 3" xfId="213" xr:uid="{00000000-0005-0000-0000-0000B30C0000}"/>
    <cellStyle name="Currency 5 3 2 3 10" xfId="9017" xr:uid="{A6213F8D-EE09-4095-B9BE-99C55DEE210F}"/>
    <cellStyle name="Currency 5 3 2 3 10 2" xfId="18341" xr:uid="{27091C77-7121-4410-94AF-61164936BD2A}"/>
    <cellStyle name="Currency 5 3 2 3 11" xfId="9764" xr:uid="{54A162A2-677F-4240-882E-3508FAB6C959}"/>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BA8564C5-6A3B-4A7C-A524-27736F67EF25}"/>
    <cellStyle name="Currency 5 3 2 3 2 2 3" xfId="12323" xr:uid="{CED0C41C-088D-4634-B214-4F76EA883510}"/>
    <cellStyle name="Currency 5 3 2 3 2 3" xfId="5069" xr:uid="{00000000-0005-0000-0000-0000B70C0000}"/>
    <cellStyle name="Currency 5 3 2 3 2 3 2" xfId="14395" xr:uid="{7E600169-A3D8-4C36-823F-5BF7EDC84D80}"/>
    <cellStyle name="Currency 5 3 2 3 2 4" xfId="9442" xr:uid="{AE48BD1F-B5DA-4007-BBEE-128FE2FE74D7}"/>
    <cellStyle name="Currency 5 3 2 3 2 4 2" xfId="18757" xr:uid="{3DE2F67F-BAD3-4F49-818D-6AFD9308722F}"/>
    <cellStyle name="Currency 5 3 2 3 2 5" xfId="10178" xr:uid="{B670D379-5A03-46E6-AFCE-907B23016C7F}"/>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C5AA3663-634B-4334-81F6-397D6D5D3BCB}"/>
    <cellStyle name="Currency 5 3 2 3 3 2 3" xfId="12736" xr:uid="{A7E85439-451C-4067-BF2C-34A666B76326}"/>
    <cellStyle name="Currency 5 3 2 3 3 3" xfId="5482" xr:uid="{00000000-0005-0000-0000-0000BB0C0000}"/>
    <cellStyle name="Currency 5 3 2 3 3 3 2" xfId="14808" xr:uid="{2AF9BDCF-9B4F-4C95-AC53-2BDDE7069F6B}"/>
    <cellStyle name="Currency 5 3 2 3 3 4" xfId="10591" xr:uid="{F7DFA38C-E77C-4A65-A576-6AB6B8454EEF}"/>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43A872C8-2057-45B0-95CB-F1CFC8DBAE9D}"/>
    <cellStyle name="Currency 5 3 2 3 4 2 3" xfId="13149" xr:uid="{15EF8A47-C2CC-4A8F-AB27-03270464CE6B}"/>
    <cellStyle name="Currency 5 3 2 3 4 3" xfId="5895" xr:uid="{00000000-0005-0000-0000-0000BF0C0000}"/>
    <cellStyle name="Currency 5 3 2 3 4 3 2" xfId="15221" xr:uid="{94AE779E-8E76-4D8C-9E8A-FF28998D8613}"/>
    <cellStyle name="Currency 5 3 2 3 4 4" xfId="11004" xr:uid="{E9457957-3D61-40C1-92CE-7E74DE0943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1D1C3F04-8DAC-4DC0-B008-AC4112AE0B0A}"/>
    <cellStyle name="Currency 5 3 2 3 5 2 3" xfId="13562" xr:uid="{A0259226-0DED-41A4-BB41-07797B1C127C}"/>
    <cellStyle name="Currency 5 3 2 3 5 3" xfId="6308" xr:uid="{00000000-0005-0000-0000-0000C30C0000}"/>
    <cellStyle name="Currency 5 3 2 3 5 3 2" xfId="15634" xr:uid="{0B151C19-9837-422C-BEBA-F93D2DA03931}"/>
    <cellStyle name="Currency 5 3 2 3 5 4" xfId="11417" xr:uid="{187DC51F-F83B-4D46-A892-FC3211B2EB74}"/>
    <cellStyle name="Currency 5 3 2 3 6" xfId="2437" xr:uid="{00000000-0005-0000-0000-0000C40C0000}"/>
    <cellStyle name="Currency 5 3 2 3 6 2" xfId="6721" xr:uid="{00000000-0005-0000-0000-0000C50C0000}"/>
    <cellStyle name="Currency 5 3 2 3 6 2 2" xfId="16047" xr:uid="{CA9E9489-8A76-47C0-B895-E8CE6A2ED914}"/>
    <cellStyle name="Currency 5 3 2 3 6 3" xfId="11830" xr:uid="{2D221A4A-3C7E-4BB9-960D-EE7C29E64F21}"/>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8C1EC2DB-FCAD-4C35-8DFC-8064C660969C}"/>
    <cellStyle name="Currency 5 3 2 3 8 3" xfId="12147" xr:uid="{5F3F8F9B-4F6E-4080-BB54-4DEF553D953D}"/>
    <cellStyle name="Currency 5 3 2 3 9" xfId="4655" xr:uid="{00000000-0005-0000-0000-0000C90C0000}"/>
    <cellStyle name="Currency 5 3 2 3 9 2" xfId="13981" xr:uid="{7F1ABAAB-5E77-4A2E-8FEA-36666CA1CA38}"/>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C58EDD49-42A1-4151-9F23-6F309F35DB5E}"/>
    <cellStyle name="Currency 5 3 2 4 2 3" xfId="12320" xr:uid="{A4A16A71-70F4-4D41-87F1-29720F2568B2}"/>
    <cellStyle name="Currency 5 3 2 4 3" xfId="5066" xr:uid="{00000000-0005-0000-0000-0000CD0C0000}"/>
    <cellStyle name="Currency 5 3 2 4 3 2" xfId="14392" xr:uid="{B150537C-B9DF-461D-BE18-2A9EFB6902F7}"/>
    <cellStyle name="Currency 5 3 2 4 4" xfId="9235" xr:uid="{F2FD4117-6EF1-4663-964A-AB5B57E6F469}"/>
    <cellStyle name="Currency 5 3 2 4 4 2" xfId="18550" xr:uid="{DE1D4ACB-F008-489C-916D-AAF6E0DCCF14}"/>
    <cellStyle name="Currency 5 3 2 4 5" xfId="10175" xr:uid="{F51A8392-EC09-45C2-A626-74C81EA1A8F2}"/>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77F9CB84-72DC-4A28-AD54-2C7FF49C9EC5}"/>
    <cellStyle name="Currency 5 3 2 5 2 3" xfId="12733" xr:uid="{A1EC1029-3BDE-4F89-93C4-F78A66441D56}"/>
    <cellStyle name="Currency 5 3 2 5 3" xfId="5479" xr:uid="{00000000-0005-0000-0000-0000D10C0000}"/>
    <cellStyle name="Currency 5 3 2 5 3 2" xfId="14805" xr:uid="{9616403B-AAC4-405E-A9E2-34B73053229F}"/>
    <cellStyle name="Currency 5 3 2 5 4" xfId="10588" xr:uid="{3DF892E9-0B93-41A4-BA42-9DD6E8783C49}"/>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1A8E445C-3759-45A3-A0D8-6BB8C78291C0}"/>
    <cellStyle name="Currency 5 3 2 6 2 3" xfId="13146" xr:uid="{C16820C8-CB21-44AD-9624-FC367FFA929B}"/>
    <cellStyle name="Currency 5 3 2 6 3" xfId="5892" xr:uid="{00000000-0005-0000-0000-0000D50C0000}"/>
    <cellStyle name="Currency 5 3 2 6 3 2" xfId="15218" xr:uid="{DD27DE6D-5BDA-4136-A7E8-32F11FFE3186}"/>
    <cellStyle name="Currency 5 3 2 6 4" xfId="11001" xr:uid="{776F7B44-E783-4307-9A56-386472C7B49B}"/>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A3FE1AC0-2D94-4FDD-95DA-C5C0755EEE64}"/>
    <cellStyle name="Currency 5 3 2 7 2 3" xfId="13559" xr:uid="{775B4A94-2F3E-471D-9793-7D9E2E135A0C}"/>
    <cellStyle name="Currency 5 3 2 7 3" xfId="6305" xr:uid="{00000000-0005-0000-0000-0000D90C0000}"/>
    <cellStyle name="Currency 5 3 2 7 3 2" xfId="15631" xr:uid="{F7F59625-FF61-4160-AE7E-BB804D431F6D}"/>
    <cellStyle name="Currency 5 3 2 7 4" xfId="11414" xr:uid="{D1FEB3ED-D58D-4D31-9C6A-65E27AF91DAD}"/>
    <cellStyle name="Currency 5 3 2 8" xfId="2434" xr:uid="{00000000-0005-0000-0000-0000DA0C0000}"/>
    <cellStyle name="Currency 5 3 2 8 2" xfId="6718" xr:uid="{00000000-0005-0000-0000-0000DB0C0000}"/>
    <cellStyle name="Currency 5 3 2 8 2 2" xfId="16044" xr:uid="{2AD5B516-387F-47CC-8148-53BD0946C796}"/>
    <cellStyle name="Currency 5 3 2 8 3" xfId="11827" xr:uid="{DE9668F4-F209-4F37-B63A-8A9746B296CB}"/>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8F870F0C-08A6-4DF3-A873-BD2D26151008}"/>
    <cellStyle name="Currency 5 3 3 11" xfId="8882" xr:uid="{A86B3ED4-B552-42F3-9E77-C6763F86EEE6}"/>
    <cellStyle name="Currency 5 3 3 11 2" xfId="18206" xr:uid="{CF2ADC2F-0334-45CD-82EE-41CBA57E577E}"/>
    <cellStyle name="Currency 5 3 3 12" xfId="9765" xr:uid="{DAEAEBCC-89A4-428D-909F-0627FE862457}"/>
    <cellStyle name="Currency 5 3 3 2" xfId="215" xr:uid="{00000000-0005-0000-0000-0000DF0C0000}"/>
    <cellStyle name="Currency 5 3 3 2 10" xfId="9089" xr:uid="{7CFB8DCC-02AE-4CC5-8E10-3D33399ECECE}"/>
    <cellStyle name="Currency 5 3 3 2 10 2" xfId="18413" xr:uid="{D5A89365-EBE2-440A-A563-73B57ED78B63}"/>
    <cellStyle name="Currency 5 3 3 2 11" xfId="9766" xr:uid="{2907C3CB-B731-4875-94E0-DED5F555CDA5}"/>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C2270384-98C1-4D64-BA62-A7BDFE862C9D}"/>
    <cellStyle name="Currency 5 3 3 2 2 2 3" xfId="12325" xr:uid="{B3D5143E-6F85-4749-8292-BB9B993FC841}"/>
    <cellStyle name="Currency 5 3 3 2 2 3" xfId="5071" xr:uid="{00000000-0005-0000-0000-0000E30C0000}"/>
    <cellStyle name="Currency 5 3 3 2 2 3 2" xfId="14397" xr:uid="{41DA47B6-045A-476B-993A-C3970C7403CB}"/>
    <cellStyle name="Currency 5 3 3 2 2 4" xfId="9514" xr:uid="{9A504F43-6423-4200-B7AF-F17B65B2005C}"/>
    <cellStyle name="Currency 5 3 3 2 2 4 2" xfId="18829" xr:uid="{F32E313C-4AF1-4B19-9E38-B50DFB6E28C7}"/>
    <cellStyle name="Currency 5 3 3 2 2 5" xfId="10180" xr:uid="{776A5E7A-86D2-4474-925E-FDF39D4EAA8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3991EE39-F240-4E5A-B750-B9A74D229134}"/>
    <cellStyle name="Currency 5 3 3 2 3 2 3" xfId="12738" xr:uid="{CF1AAB37-EDCC-4EBB-92D0-A7BD08E6FD73}"/>
    <cellStyle name="Currency 5 3 3 2 3 3" xfId="5484" xr:uid="{00000000-0005-0000-0000-0000E70C0000}"/>
    <cellStyle name="Currency 5 3 3 2 3 3 2" xfId="14810" xr:uid="{7332B317-B602-45DB-8B86-D37F11342ABC}"/>
    <cellStyle name="Currency 5 3 3 2 3 4" xfId="10593" xr:uid="{AE04A303-1C22-4023-BCED-370A92D4C174}"/>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7059229F-247D-419C-B8E1-AD2B9AB8B752}"/>
    <cellStyle name="Currency 5 3 3 2 4 2 3" xfId="13151" xr:uid="{FF30023B-B2B8-4250-8E1B-BFB737530C0D}"/>
    <cellStyle name="Currency 5 3 3 2 4 3" xfId="5897" xr:uid="{00000000-0005-0000-0000-0000EB0C0000}"/>
    <cellStyle name="Currency 5 3 3 2 4 3 2" xfId="15223" xr:uid="{08E7D552-AF92-4AEF-8730-4D421CE395D5}"/>
    <cellStyle name="Currency 5 3 3 2 4 4" xfId="11006" xr:uid="{798D8178-04D4-48B6-A751-E69ADA22732D}"/>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F944DC76-DD19-45A0-AD5E-46B9648CD502}"/>
    <cellStyle name="Currency 5 3 3 2 5 2 3" xfId="13564" xr:uid="{5EF3AF83-034B-4763-BB4E-5456C21B65C6}"/>
    <cellStyle name="Currency 5 3 3 2 5 3" xfId="6310" xr:uid="{00000000-0005-0000-0000-0000EF0C0000}"/>
    <cellStyle name="Currency 5 3 3 2 5 3 2" xfId="15636" xr:uid="{83857F3E-75DE-489B-99A4-17369603E865}"/>
    <cellStyle name="Currency 5 3 3 2 5 4" xfId="11419" xr:uid="{B6E489E1-1618-4D18-BCC1-15E528F3FE2B}"/>
    <cellStyle name="Currency 5 3 3 2 6" xfId="2439" xr:uid="{00000000-0005-0000-0000-0000F00C0000}"/>
    <cellStyle name="Currency 5 3 3 2 6 2" xfId="6723" xr:uid="{00000000-0005-0000-0000-0000F10C0000}"/>
    <cellStyle name="Currency 5 3 3 2 6 2 2" xfId="16049" xr:uid="{43B108EF-381C-4AE1-9F22-00113ED2FD7D}"/>
    <cellStyle name="Currency 5 3 3 2 6 3" xfId="11832" xr:uid="{F48399F0-9DA1-4E6B-B30B-D719E72E3326}"/>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03DFD57B-6D4B-4A81-8A50-D04BC9259B82}"/>
    <cellStyle name="Currency 5 3 3 2 8 3" xfId="12149" xr:uid="{674903C4-C8DB-4046-82FF-5FEAD0EC2735}"/>
    <cellStyle name="Currency 5 3 3 2 9" xfId="4657" xr:uid="{00000000-0005-0000-0000-0000F50C0000}"/>
    <cellStyle name="Currency 5 3 3 2 9 2" xfId="13983" xr:uid="{D5A0CE29-D9FC-4A49-AD36-932B3E0EC1EA}"/>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243AA6C6-16C2-4AC6-94EB-E7CF9171F28C}"/>
    <cellStyle name="Currency 5 3 3 3 2 3" xfId="12324" xr:uid="{A015D062-F78A-488E-8799-0C02A06DDED4}"/>
    <cellStyle name="Currency 5 3 3 3 3" xfId="5070" xr:uid="{00000000-0005-0000-0000-0000F90C0000}"/>
    <cellStyle name="Currency 5 3 3 3 3 2" xfId="14396" xr:uid="{50BDBA08-C68C-4C27-9AF9-D9FBD0A11573}"/>
    <cellStyle name="Currency 5 3 3 3 4" xfId="9307" xr:uid="{3F0512A0-B779-46E4-A963-62E327C6AC5F}"/>
    <cellStyle name="Currency 5 3 3 3 4 2" xfId="18622" xr:uid="{C62F75EA-8EA1-4A83-B7B0-E8D9A3E08352}"/>
    <cellStyle name="Currency 5 3 3 3 5" xfId="10179" xr:uid="{8CA86217-6C8F-4290-8BFB-045AE6D5EDAC}"/>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13A5A5D9-6D82-496C-901E-909055466AD7}"/>
    <cellStyle name="Currency 5 3 3 4 2 3" xfId="12737" xr:uid="{2F1E53A0-7352-44F6-A0A2-5D035F4CB0C3}"/>
    <cellStyle name="Currency 5 3 3 4 3" xfId="5483" xr:uid="{00000000-0005-0000-0000-0000FD0C0000}"/>
    <cellStyle name="Currency 5 3 3 4 3 2" xfId="14809" xr:uid="{F1DA9F70-3A9B-419A-96BA-F835273540D9}"/>
    <cellStyle name="Currency 5 3 3 4 4" xfId="10592" xr:uid="{381C0C43-1CC3-478B-8B36-F96403A06A95}"/>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F5418C20-4DD0-40D5-8980-D0C0246AB230}"/>
    <cellStyle name="Currency 5 3 3 5 2 3" xfId="13150" xr:uid="{D70C8465-FF0A-401C-8511-EA2485F610B5}"/>
    <cellStyle name="Currency 5 3 3 5 3" xfId="5896" xr:uid="{00000000-0005-0000-0000-0000010D0000}"/>
    <cellStyle name="Currency 5 3 3 5 3 2" xfId="15222" xr:uid="{B98F78A5-098C-46B7-8E5D-CD5F0B6F2E94}"/>
    <cellStyle name="Currency 5 3 3 5 4" xfId="11005" xr:uid="{17C8DE3D-69E3-4295-8A46-A0087B853326}"/>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B642C6ED-7523-4AA6-A169-38E82829517B}"/>
    <cellStyle name="Currency 5 3 3 6 2 3" xfId="13563" xr:uid="{167D1295-F042-4F97-A75A-EC13A9B30F29}"/>
    <cellStyle name="Currency 5 3 3 6 3" xfId="6309" xr:uid="{00000000-0005-0000-0000-0000050D0000}"/>
    <cellStyle name="Currency 5 3 3 6 3 2" xfId="15635" xr:uid="{B5CD7DBC-B192-43EA-B8D1-26FF31DF4EBD}"/>
    <cellStyle name="Currency 5 3 3 6 4" xfId="11418" xr:uid="{4499A78A-C579-4732-B80C-C04C22C3F109}"/>
    <cellStyle name="Currency 5 3 3 7" xfId="2438" xr:uid="{00000000-0005-0000-0000-0000060D0000}"/>
    <cellStyle name="Currency 5 3 3 7 2" xfId="6722" xr:uid="{00000000-0005-0000-0000-0000070D0000}"/>
    <cellStyle name="Currency 5 3 3 7 2 2" xfId="16048" xr:uid="{C88128F7-27FA-43E8-8DF4-5A29E0EDA53F}"/>
    <cellStyle name="Currency 5 3 3 7 3" xfId="11831" xr:uid="{9350CACB-B850-4462-9735-FBC1E51499F9}"/>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7EF8D74E-FE05-4242-A28B-E6C33EB97E3A}"/>
    <cellStyle name="Currency 5 3 3 9 3" xfId="12148" xr:uid="{91924198-D7EB-40E3-B3C7-5F3915713BE9}"/>
    <cellStyle name="Currency 5 3 4" xfId="216" xr:uid="{00000000-0005-0000-0000-00000B0D0000}"/>
    <cellStyle name="Currency 5 3 4 10" xfId="8986" xr:uid="{4F6CFA4A-F10A-4043-AD92-C0A3F7F06459}"/>
    <cellStyle name="Currency 5 3 4 10 2" xfId="18310" xr:uid="{98384215-909C-4E23-9F40-D8A1DC4ADE18}"/>
    <cellStyle name="Currency 5 3 4 11" xfId="9767" xr:uid="{7CD37CF6-5CB9-44F6-87CC-B3E9F9586334}"/>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C232577E-FFFC-4172-82CD-D91C22F46273}"/>
    <cellStyle name="Currency 5 3 4 2 2 3" xfId="12326" xr:uid="{0B312D27-B349-46DF-B744-5431604DF030}"/>
    <cellStyle name="Currency 5 3 4 2 3" xfId="5072" xr:uid="{00000000-0005-0000-0000-00000F0D0000}"/>
    <cellStyle name="Currency 5 3 4 2 3 2" xfId="14398" xr:uid="{C49DA8FB-6FBC-4E3D-94BB-4C0AF00BC1BD}"/>
    <cellStyle name="Currency 5 3 4 2 4" xfId="9411" xr:uid="{2729DEB6-408B-463E-B468-91D932C31FD7}"/>
    <cellStyle name="Currency 5 3 4 2 4 2" xfId="18726" xr:uid="{D71802EE-D1CD-46C6-BC80-80E756D99B01}"/>
    <cellStyle name="Currency 5 3 4 2 5" xfId="10181" xr:uid="{9C861CC4-6107-4738-9831-C6D3B49F9695}"/>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8D3F73C1-7B02-4381-993D-A1CFD637F625}"/>
    <cellStyle name="Currency 5 3 4 3 2 3" xfId="12739" xr:uid="{903060F8-E8AC-4894-AD2F-96A3FB8B3730}"/>
    <cellStyle name="Currency 5 3 4 3 3" xfId="5485" xr:uid="{00000000-0005-0000-0000-0000130D0000}"/>
    <cellStyle name="Currency 5 3 4 3 3 2" xfId="14811" xr:uid="{E0BE4F7B-1646-49F5-B28E-B971B142C595}"/>
    <cellStyle name="Currency 5 3 4 3 4" xfId="10594" xr:uid="{76E878DF-63AA-4430-B97F-34D3C3C0DA90}"/>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BB29F49D-472B-401C-A34A-41D38F46ACF9}"/>
    <cellStyle name="Currency 5 3 4 4 2 3" xfId="13152" xr:uid="{3295AE25-5276-4B7A-B443-5329CC65D9FC}"/>
    <cellStyle name="Currency 5 3 4 4 3" xfId="5898" xr:uid="{00000000-0005-0000-0000-0000170D0000}"/>
    <cellStyle name="Currency 5 3 4 4 3 2" xfId="15224" xr:uid="{95C11BAA-AA25-43E0-B610-4ADE3B10EC62}"/>
    <cellStyle name="Currency 5 3 4 4 4" xfId="11007" xr:uid="{11700EE9-D1B8-418A-BB21-DFF1C6C9E8CB}"/>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9AC716D7-FE1E-4BB2-A8AF-CFCEE6028899}"/>
    <cellStyle name="Currency 5 3 4 5 2 3" xfId="13565" xr:uid="{9E904E4A-6FEB-4E8B-B588-CADE31B58932}"/>
    <cellStyle name="Currency 5 3 4 5 3" xfId="6311" xr:uid="{00000000-0005-0000-0000-00001B0D0000}"/>
    <cellStyle name="Currency 5 3 4 5 3 2" xfId="15637" xr:uid="{3C8B5258-78E5-4774-B80B-CFF7BFCE26D6}"/>
    <cellStyle name="Currency 5 3 4 5 4" xfId="11420" xr:uid="{FFFBEBD3-5354-4376-AB32-97C1581C9996}"/>
    <cellStyle name="Currency 5 3 4 6" xfId="2440" xr:uid="{00000000-0005-0000-0000-00001C0D0000}"/>
    <cellStyle name="Currency 5 3 4 6 2" xfId="6724" xr:uid="{00000000-0005-0000-0000-00001D0D0000}"/>
    <cellStyle name="Currency 5 3 4 6 2 2" xfId="16050" xr:uid="{047A1974-13C9-4ED2-9B30-47A5AB7B106F}"/>
    <cellStyle name="Currency 5 3 4 6 3" xfId="11833" xr:uid="{96F412A7-4C00-4C81-8520-87152C6AA9FB}"/>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53E14E47-48CA-4258-91EA-8E31D5534D0C}"/>
    <cellStyle name="Currency 5 3 4 8 3" xfId="12150" xr:uid="{881503D6-565C-4870-947D-8A491E78B6AE}"/>
    <cellStyle name="Currency 5 3 4 9" xfId="4658" xr:uid="{00000000-0005-0000-0000-0000210D0000}"/>
    <cellStyle name="Currency 5 3 4 9 2" xfId="13984" xr:uid="{1E73EA27-0B3A-4955-B1F0-BC635C806BE5}"/>
    <cellStyle name="Currency 5 3 5" xfId="217" xr:uid="{00000000-0005-0000-0000-0000220D0000}"/>
    <cellStyle name="Currency 5 3 5 10" xfId="9203" xr:uid="{6167CBBD-227C-4457-B6B6-18EF5C089771}"/>
    <cellStyle name="Currency 5 3 5 10 2" xfId="18519" xr:uid="{64C23B5E-8558-405D-B0C7-7772FFAFC9B9}"/>
    <cellStyle name="Currency 5 3 5 11" xfId="9768" xr:uid="{69CE4079-68CD-483D-B665-8E294994AAFD}"/>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7D8275DB-3C77-447D-B65F-6235E450DB7E}"/>
    <cellStyle name="Currency 5 3 5 2 2 3" xfId="12327" xr:uid="{456CC17B-8CDD-4A3F-80F4-142F2444F458}"/>
    <cellStyle name="Currency 5 3 5 2 3" xfId="5073" xr:uid="{00000000-0005-0000-0000-0000260D0000}"/>
    <cellStyle name="Currency 5 3 5 2 3 2" xfId="14399" xr:uid="{1B69EB16-6413-4400-B125-27DF787D4395}"/>
    <cellStyle name="Currency 5 3 5 2 4" xfId="9600" xr:uid="{650A4058-48FE-4F3E-8845-8F52DF332026}"/>
    <cellStyle name="Currency 5 3 5 2 4 2" xfId="18904" xr:uid="{E1E87DD2-E0CE-4DEA-9B38-2E2B1A781792}"/>
    <cellStyle name="Currency 5 3 5 2 5" xfId="10182" xr:uid="{46EB7DC0-7FF2-43FD-9CE8-427018B02B69}"/>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6F43700B-77C1-48E6-8E09-22DDE59EE82A}"/>
    <cellStyle name="Currency 5 3 5 3 2 3" xfId="12740" xr:uid="{3F1DAFC5-6ABE-42EC-B38E-4FA199FCC0D2}"/>
    <cellStyle name="Currency 5 3 5 3 3" xfId="5486" xr:uid="{00000000-0005-0000-0000-00002A0D0000}"/>
    <cellStyle name="Currency 5 3 5 3 3 2" xfId="14812" xr:uid="{CBD7B16F-F240-436D-98C6-9A039A07A0CD}"/>
    <cellStyle name="Currency 5 3 5 3 4" xfId="10595" xr:uid="{974C0A66-6D67-4D01-8BA0-9C4910CDFB96}"/>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23673DA9-D4F6-41F2-9527-4C941198B30E}"/>
    <cellStyle name="Currency 5 3 5 4 2 3" xfId="13153" xr:uid="{C6C4D134-E221-4B60-902A-C9080A81D7B6}"/>
    <cellStyle name="Currency 5 3 5 4 3" xfId="5899" xr:uid="{00000000-0005-0000-0000-00002E0D0000}"/>
    <cellStyle name="Currency 5 3 5 4 3 2" xfId="15225" xr:uid="{8F4B5184-D3DB-4258-8474-35AB5559364E}"/>
    <cellStyle name="Currency 5 3 5 4 4" xfId="11008" xr:uid="{22EE53A0-B085-4EDD-91FD-414B436E308D}"/>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02DAAE0F-AEC2-42FC-9D4B-675AAFD25EEB}"/>
    <cellStyle name="Currency 5 3 5 5 2 3" xfId="13566" xr:uid="{781259A9-2502-469B-9A90-56D215304D95}"/>
    <cellStyle name="Currency 5 3 5 5 3" xfId="6312" xr:uid="{00000000-0005-0000-0000-0000320D0000}"/>
    <cellStyle name="Currency 5 3 5 5 3 2" xfId="15638" xr:uid="{F9619DB8-783C-47D6-9B72-71CF699B09CA}"/>
    <cellStyle name="Currency 5 3 5 5 4" xfId="11421" xr:uid="{89D34595-F9E7-4BCF-B63F-038F2FE25074}"/>
    <cellStyle name="Currency 5 3 5 6" xfId="2441" xr:uid="{00000000-0005-0000-0000-0000330D0000}"/>
    <cellStyle name="Currency 5 3 5 6 2" xfId="6725" xr:uid="{00000000-0005-0000-0000-0000340D0000}"/>
    <cellStyle name="Currency 5 3 5 6 2 2" xfId="16051" xr:uid="{4D9B157E-E14A-4141-8F54-FED879C8668E}"/>
    <cellStyle name="Currency 5 3 5 6 3" xfId="11834" xr:uid="{77FC9FB6-E576-4362-B94C-38EAC9F571ED}"/>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51C39306-E0B5-4BB3-B0F3-F5BC3DFB2134}"/>
    <cellStyle name="Currency 5 3 5 8 3" xfId="12151" xr:uid="{B5F907DA-02EA-4A6A-8F99-53B88FD10258}"/>
    <cellStyle name="Currency 5 3 5 9" xfId="4659" xr:uid="{00000000-0005-0000-0000-0000380D0000}"/>
    <cellStyle name="Currency 5 3 5 9 2" xfId="13985" xr:uid="{513007F4-9DC5-491B-B086-6EC7143306C6}"/>
    <cellStyle name="Currency 5 3 6" xfId="9585" xr:uid="{F259418A-5AC0-4C4E-A98C-07B5BEE6D673}"/>
    <cellStyle name="Currency 5 3 7" xfId="8779" xr:uid="{856D4C12-E347-4E8F-9200-2EC71AC3E0CB}"/>
    <cellStyle name="Currency 5 3 7 2" xfId="18103" xr:uid="{E6EB274E-8F4E-4DAA-98B4-9A8D7FF3D162}"/>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C00EA1FE-02F2-4D7F-87FF-FDC8C228028A}"/>
    <cellStyle name="Currency 5 5 11" xfId="8850" xr:uid="{8F129173-F323-478F-8B06-1E2599EB26C1}"/>
    <cellStyle name="Currency 5 5 11 2" xfId="18174" xr:uid="{AC53D929-21FE-4B6A-B8DF-195AFF1C52AC}"/>
    <cellStyle name="Currency 5 5 12" xfId="9769" xr:uid="{C8BE35F3-E06C-4022-A5E3-8BD89ABACAA9}"/>
    <cellStyle name="Currency 5 5 2" xfId="220" xr:uid="{00000000-0005-0000-0000-00003D0D0000}"/>
    <cellStyle name="Currency 5 5 2 10" xfId="9057" xr:uid="{90E61E49-0971-4EC1-90D8-E015846E4FB2}"/>
    <cellStyle name="Currency 5 5 2 10 2" xfId="18381" xr:uid="{3EE97CD8-921B-4C4F-A8F6-2A0DCD757180}"/>
    <cellStyle name="Currency 5 5 2 11" xfId="9770" xr:uid="{C48B8A0B-712F-406E-B463-7FF3D16FD559}"/>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056A6A16-2843-4BDB-8076-33FB2B2D4244}"/>
    <cellStyle name="Currency 5 5 2 2 2 3" xfId="12329" xr:uid="{682CF78A-1E53-4616-A98A-99FE5C35834E}"/>
    <cellStyle name="Currency 5 5 2 2 3" xfId="5075" xr:uid="{00000000-0005-0000-0000-0000410D0000}"/>
    <cellStyle name="Currency 5 5 2 2 3 2" xfId="14401" xr:uid="{7694AF1F-4704-4907-8DB2-E341C59F7591}"/>
    <cellStyle name="Currency 5 5 2 2 4" xfId="9482" xr:uid="{ECEE3E7C-42CD-4A2D-A90F-D54FFBA7E41F}"/>
    <cellStyle name="Currency 5 5 2 2 4 2" xfId="18797" xr:uid="{7B686866-FF3B-417D-9D69-906999FB9FDD}"/>
    <cellStyle name="Currency 5 5 2 2 5" xfId="10184" xr:uid="{9D345462-2A4D-40E4-8D5B-E8FBFAEB6751}"/>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03B76B4E-F2C7-4DC6-AF6D-EE617798608E}"/>
    <cellStyle name="Currency 5 5 2 3 2 3" xfId="12742" xr:uid="{7A259C01-2E08-4530-BA7E-20A1F8ED652D}"/>
    <cellStyle name="Currency 5 5 2 3 3" xfId="5488" xr:uid="{00000000-0005-0000-0000-0000450D0000}"/>
    <cellStyle name="Currency 5 5 2 3 3 2" xfId="14814" xr:uid="{C8E3B714-4E2B-4C1B-B8C9-DBBA8F4F1C81}"/>
    <cellStyle name="Currency 5 5 2 3 4" xfId="10597" xr:uid="{D9B3D705-2FB3-4E5E-95D0-B5AFF6057D06}"/>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5689D857-60C8-466F-ADE7-4DC845F9187B}"/>
    <cellStyle name="Currency 5 5 2 4 2 3" xfId="13155" xr:uid="{C9426F00-88D7-487B-BD17-A876D58F2ABC}"/>
    <cellStyle name="Currency 5 5 2 4 3" xfId="5901" xr:uid="{00000000-0005-0000-0000-0000490D0000}"/>
    <cellStyle name="Currency 5 5 2 4 3 2" xfId="15227" xr:uid="{19FDF6C0-3EF8-4EAE-98FF-4AC2BE33F38E}"/>
    <cellStyle name="Currency 5 5 2 4 4" xfId="11010" xr:uid="{5D939671-596A-4246-8CA2-657A8D9B3B7D}"/>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3C062EE8-8BDF-42B0-B0B9-9BFDC212EE49}"/>
    <cellStyle name="Currency 5 5 2 5 2 3" xfId="13568" xr:uid="{4F04D518-96B1-48F5-A138-429D770D9192}"/>
    <cellStyle name="Currency 5 5 2 5 3" xfId="6314" xr:uid="{00000000-0005-0000-0000-00004D0D0000}"/>
    <cellStyle name="Currency 5 5 2 5 3 2" xfId="15640" xr:uid="{A682084B-DD1B-4E8B-8159-331358E90E59}"/>
    <cellStyle name="Currency 5 5 2 5 4" xfId="11423" xr:uid="{2ED4DABF-5BCC-4900-9894-9961712CD737}"/>
    <cellStyle name="Currency 5 5 2 6" xfId="2443" xr:uid="{00000000-0005-0000-0000-00004E0D0000}"/>
    <cellStyle name="Currency 5 5 2 6 2" xfId="6727" xr:uid="{00000000-0005-0000-0000-00004F0D0000}"/>
    <cellStyle name="Currency 5 5 2 6 2 2" xfId="16053" xr:uid="{7C5BF3D2-149A-49B0-AD2B-B8FF0D5B9FCD}"/>
    <cellStyle name="Currency 5 5 2 6 3" xfId="11836" xr:uid="{0BAB83CB-6DDE-4C03-991F-18F194A74062}"/>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2419F64E-FC59-4DC2-83CD-D78E6825DD36}"/>
    <cellStyle name="Currency 5 5 2 8 3" xfId="12153" xr:uid="{B5019765-6B3C-4AA4-9D71-9AE2F0B17C03}"/>
    <cellStyle name="Currency 5 5 2 9" xfId="4661" xr:uid="{00000000-0005-0000-0000-0000530D0000}"/>
    <cellStyle name="Currency 5 5 2 9 2" xfId="13987" xr:uid="{467BF95B-0BE4-45C8-AC8C-70ECD739160A}"/>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05958425-51E5-4BE7-9AB2-0ACD17D5A163}"/>
    <cellStyle name="Currency 5 5 3 2 3" xfId="12328" xr:uid="{78D74078-EFC0-46CB-9136-B1234CAECE53}"/>
    <cellStyle name="Currency 5 5 3 3" xfId="5074" xr:uid="{00000000-0005-0000-0000-0000570D0000}"/>
    <cellStyle name="Currency 5 5 3 3 2" xfId="14400" xr:uid="{35585722-F74C-4E22-87BB-F80E017D2D2F}"/>
    <cellStyle name="Currency 5 5 3 4" xfId="9275" xr:uid="{54783F20-34E5-4A58-80AE-EC7CC69A89C9}"/>
    <cellStyle name="Currency 5 5 3 4 2" xfId="18590" xr:uid="{6FBA357E-C9E2-48FC-99C1-4E052DB8C0FF}"/>
    <cellStyle name="Currency 5 5 3 5" xfId="10183" xr:uid="{BA421A0B-C9DB-48F1-8BE2-B5AD79CE0BFB}"/>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EF46995F-20A5-4093-A364-834ABB99719A}"/>
    <cellStyle name="Currency 5 5 4 2 3" xfId="12741" xr:uid="{A5B07B52-EF4E-43F3-A5B3-C1FBCC8712BB}"/>
    <cellStyle name="Currency 5 5 4 3" xfId="5487" xr:uid="{00000000-0005-0000-0000-00005B0D0000}"/>
    <cellStyle name="Currency 5 5 4 3 2" xfId="14813" xr:uid="{71E915EE-FB75-43D4-9898-70C2C41F9121}"/>
    <cellStyle name="Currency 5 5 4 4" xfId="10596" xr:uid="{F1B4AB62-1F35-409A-86B3-7013D30250A7}"/>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0D304EEC-EC56-4F14-A74F-0DD10C08B679}"/>
    <cellStyle name="Currency 5 5 5 2 3" xfId="13154" xr:uid="{F9786D24-C931-4BF4-BEC8-13DE428467D6}"/>
    <cellStyle name="Currency 5 5 5 3" xfId="5900" xr:uid="{00000000-0005-0000-0000-00005F0D0000}"/>
    <cellStyle name="Currency 5 5 5 3 2" xfId="15226" xr:uid="{B3881B85-A123-4274-B2BF-D535ECADB1C2}"/>
    <cellStyle name="Currency 5 5 5 4" xfId="11009" xr:uid="{D53E9C6B-0078-4809-8E9F-0C9E7B227085}"/>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5C6C49D4-B065-4D6E-9630-9A52206CBE1C}"/>
    <cellStyle name="Currency 5 5 6 2 3" xfId="13567" xr:uid="{76A8DD00-D329-479D-8BC8-59FB3534E258}"/>
    <cellStyle name="Currency 5 5 6 3" xfId="6313" xr:uid="{00000000-0005-0000-0000-0000630D0000}"/>
    <cellStyle name="Currency 5 5 6 3 2" xfId="15639" xr:uid="{09F70724-DF0F-4C90-BC38-2B6AF918A090}"/>
    <cellStyle name="Currency 5 5 6 4" xfId="11422" xr:uid="{7D8B5712-840A-4975-82B6-145398759D24}"/>
    <cellStyle name="Currency 5 5 7" xfId="2442" xr:uid="{00000000-0005-0000-0000-0000640D0000}"/>
    <cellStyle name="Currency 5 5 7 2" xfId="6726" xr:uid="{00000000-0005-0000-0000-0000650D0000}"/>
    <cellStyle name="Currency 5 5 7 2 2" xfId="16052" xr:uid="{2CA1ADA1-42EE-4199-9BA6-9209DBB31DD2}"/>
    <cellStyle name="Currency 5 5 7 3" xfId="11835" xr:uid="{72A0DF12-9BB3-412C-A6AA-571942449035}"/>
    <cellStyle name="Currency 5 5 8" xfId="2739" xr:uid="{00000000-0005-0000-0000-0000660D0000}"/>
    <cellStyle name="Currency 5 5 9" xfId="2820" xr:uid="{00000000-0005-0000-0000-0000670D0000}"/>
    <cellStyle name="Currency 5 5 9 2" xfId="7043" xr:uid="{00000000-0005-0000-0000-0000680D0000}"/>
    <cellStyle name="Currency 5 5 9 2 2" xfId="16369" xr:uid="{A84CF126-46B4-4591-A70E-3363F7B0D9D4}"/>
    <cellStyle name="Currency 5 5 9 3" xfId="12152" xr:uid="{37FC989F-F349-4E9E-9239-E1808881F310}"/>
    <cellStyle name="Currency 5 6" xfId="221" xr:uid="{00000000-0005-0000-0000-0000690D0000}"/>
    <cellStyle name="Currency 5 6 10" xfId="8966" xr:uid="{EC95BD1E-EAA8-4043-BDA7-06F3BBDBC3D5}"/>
    <cellStyle name="Currency 5 6 10 2" xfId="18290" xr:uid="{C36A5EC6-1776-4718-BB6D-30E94A856ADB}"/>
    <cellStyle name="Currency 5 6 11" xfId="9771" xr:uid="{D1C250A3-6310-4399-B5DF-B3CB730D351C}"/>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72A78EE5-5EFA-41D3-97A3-1A7E59E55AC1}"/>
    <cellStyle name="Currency 5 6 2 2 3" xfId="12330" xr:uid="{69DE8732-BC0A-4157-B633-10EA48050117}"/>
    <cellStyle name="Currency 5 6 2 3" xfId="5076" xr:uid="{00000000-0005-0000-0000-00006D0D0000}"/>
    <cellStyle name="Currency 5 6 2 3 2" xfId="14402" xr:uid="{98AAF4CF-4C2E-4098-BE0A-C3BDC92E5F85}"/>
    <cellStyle name="Currency 5 6 2 4" xfId="9391" xr:uid="{8CBF3F74-51EC-4402-B96A-0759E6537FC7}"/>
    <cellStyle name="Currency 5 6 2 4 2" xfId="18706" xr:uid="{63C80B2F-A945-4E3A-822F-50B835A3102F}"/>
    <cellStyle name="Currency 5 6 2 5" xfId="10185" xr:uid="{E741A1C8-87C8-4A79-BDB7-5A9C81474D44}"/>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7AFA99DF-A6DC-444C-858A-E612082894CC}"/>
    <cellStyle name="Currency 5 6 3 2 3" xfId="12743" xr:uid="{52ECDEBB-F6DC-4D86-8FA8-5B99286E6CED}"/>
    <cellStyle name="Currency 5 6 3 3" xfId="5489" xr:uid="{00000000-0005-0000-0000-0000710D0000}"/>
    <cellStyle name="Currency 5 6 3 3 2" xfId="14815" xr:uid="{D21C75BD-A146-4BEC-8E03-F9FDFF580A89}"/>
    <cellStyle name="Currency 5 6 3 4" xfId="10598" xr:uid="{92E92C72-C8A1-4D61-B28F-32ECA69EBC9D}"/>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001293C6-7A17-4771-801A-C66AD9E57B2C}"/>
    <cellStyle name="Currency 5 6 4 2 3" xfId="13156" xr:uid="{D8DB8345-6D3C-40A5-96D7-9E835889CC1A}"/>
    <cellStyle name="Currency 5 6 4 3" xfId="5902" xr:uid="{00000000-0005-0000-0000-0000750D0000}"/>
    <cellStyle name="Currency 5 6 4 3 2" xfId="15228" xr:uid="{62FBB87D-31BD-4930-8B97-DC7C6143A6A8}"/>
    <cellStyle name="Currency 5 6 4 4" xfId="11011" xr:uid="{E3CA0403-8B27-44BF-BC97-0BCFC6BE3088}"/>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A9089925-C9E0-40E7-98A5-5B9676606604}"/>
    <cellStyle name="Currency 5 6 5 2 3" xfId="13569" xr:uid="{4DAED4F1-79F2-4DC5-8F2C-8F0E1AF78EEC}"/>
    <cellStyle name="Currency 5 6 5 3" xfId="6315" xr:uid="{00000000-0005-0000-0000-0000790D0000}"/>
    <cellStyle name="Currency 5 6 5 3 2" xfId="15641" xr:uid="{C9796547-A8BD-4A2E-86DB-B64C753744D6}"/>
    <cellStyle name="Currency 5 6 5 4" xfId="11424" xr:uid="{76720FB5-B045-48C9-BFBE-D6EB3435A273}"/>
    <cellStyle name="Currency 5 6 6" xfId="2444" xr:uid="{00000000-0005-0000-0000-00007A0D0000}"/>
    <cellStyle name="Currency 5 6 6 2" xfId="6728" xr:uid="{00000000-0005-0000-0000-00007B0D0000}"/>
    <cellStyle name="Currency 5 6 6 2 2" xfId="16054" xr:uid="{D7F81917-819D-4F5A-9A2A-264D1DD3B78A}"/>
    <cellStyle name="Currency 5 6 6 3" xfId="11837" xr:uid="{6A66C9D0-8C8E-4335-87ED-04CC76A394CC}"/>
    <cellStyle name="Currency 5 6 7" xfId="2741" xr:uid="{00000000-0005-0000-0000-00007C0D0000}"/>
    <cellStyle name="Currency 5 6 8" xfId="2822" xr:uid="{00000000-0005-0000-0000-00007D0D0000}"/>
    <cellStyle name="Currency 5 6 8 2" xfId="7045" xr:uid="{00000000-0005-0000-0000-00007E0D0000}"/>
    <cellStyle name="Currency 5 6 8 2 2" xfId="16371" xr:uid="{A24BEB1E-080C-43E8-B0FA-12D93F13CE74}"/>
    <cellStyle name="Currency 5 6 8 3" xfId="12154" xr:uid="{BFCBC93F-3701-46AE-9A63-8C01FA2045AF}"/>
    <cellStyle name="Currency 5 6 9" xfId="4662" xr:uid="{00000000-0005-0000-0000-00007F0D0000}"/>
    <cellStyle name="Currency 5 6 9 2" xfId="13988" xr:uid="{A8036B46-A84E-4FC9-BAEB-02E280317EC7}"/>
    <cellStyle name="Currency 5 7" xfId="222" xr:uid="{00000000-0005-0000-0000-0000800D0000}"/>
    <cellStyle name="Currency 5 7 10" xfId="9169" xr:uid="{7A886DE7-136A-429E-90E2-A7C712D111D8}"/>
    <cellStyle name="Currency 5 7 10 2" xfId="18487" xr:uid="{39A33AD0-11B9-4BCA-83CE-ABCEEEED95B1}"/>
    <cellStyle name="Currency 5 7 11" xfId="9772" xr:uid="{EA582445-1E11-4C8F-9393-113EAE2430BE}"/>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C7FD0952-E7C0-4460-9D3C-AD545E3FED2F}"/>
    <cellStyle name="Currency 5 7 2 2 3" xfId="12331" xr:uid="{F7B5876D-3D14-484C-9078-A12A8B2338E0}"/>
    <cellStyle name="Currency 5 7 2 3" xfId="5077" xr:uid="{00000000-0005-0000-0000-0000840D0000}"/>
    <cellStyle name="Currency 5 7 2 3 2" xfId="14403" xr:uid="{090614A6-311A-4462-8728-709A38FB5F52}"/>
    <cellStyle name="Currency 5 7 2 4" xfId="9601" xr:uid="{DC93A830-0AF1-4EC4-B764-C728922F3FEF}"/>
    <cellStyle name="Currency 5 7 2 4 2" xfId="18905" xr:uid="{DDE57210-EDD1-461C-A564-394C30063BBC}"/>
    <cellStyle name="Currency 5 7 2 5" xfId="10186" xr:uid="{C49A44DC-D421-4E15-80C8-AE40E37F6967}"/>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669B42BC-3E04-45C4-AAC2-D118F2986FBA}"/>
    <cellStyle name="Currency 5 7 3 2 3" xfId="12744" xr:uid="{EF65D305-386C-400D-B431-3F909736C3E1}"/>
    <cellStyle name="Currency 5 7 3 3" xfId="5490" xr:uid="{00000000-0005-0000-0000-0000880D0000}"/>
    <cellStyle name="Currency 5 7 3 3 2" xfId="14816" xr:uid="{923ADB15-2D79-4D1D-928B-EC1BFA2F54FB}"/>
    <cellStyle name="Currency 5 7 3 4" xfId="10599" xr:uid="{C7D04715-8C89-4C10-A475-9FBFB554A4AE}"/>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A1158928-8986-4142-893A-193410261257}"/>
    <cellStyle name="Currency 5 7 4 2 3" xfId="13157" xr:uid="{4BBF3344-EE77-48A7-BD6C-78C66FBF80CC}"/>
    <cellStyle name="Currency 5 7 4 3" xfId="5903" xr:uid="{00000000-0005-0000-0000-00008C0D0000}"/>
    <cellStyle name="Currency 5 7 4 3 2" xfId="15229" xr:uid="{3760FCD9-A7BE-4E8A-8C7E-99E3FE235A13}"/>
    <cellStyle name="Currency 5 7 4 4" xfId="11012" xr:uid="{0A6FCB95-28F2-450C-9D75-015F4499A413}"/>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F7C295ED-81EE-4225-9014-602CCBA3ABAE}"/>
    <cellStyle name="Currency 5 7 5 2 3" xfId="13570" xr:uid="{931071B2-918D-4264-B876-C2E1CE1D807F}"/>
    <cellStyle name="Currency 5 7 5 3" xfId="6316" xr:uid="{00000000-0005-0000-0000-0000900D0000}"/>
    <cellStyle name="Currency 5 7 5 3 2" xfId="15642" xr:uid="{5AACD910-4504-471F-8968-4A5AB7176B56}"/>
    <cellStyle name="Currency 5 7 5 4" xfId="11425" xr:uid="{E944D05F-1FB8-4CDE-B492-95DA09A29EE1}"/>
    <cellStyle name="Currency 5 7 6" xfId="2445" xr:uid="{00000000-0005-0000-0000-0000910D0000}"/>
    <cellStyle name="Currency 5 7 6 2" xfId="6729" xr:uid="{00000000-0005-0000-0000-0000920D0000}"/>
    <cellStyle name="Currency 5 7 6 2 2" xfId="16055" xr:uid="{039E8845-0E07-4EB1-B4C1-3FA4C5D8E7A0}"/>
    <cellStyle name="Currency 5 7 6 3" xfId="11838" xr:uid="{41098596-787B-4299-B695-B3724298D59D}"/>
    <cellStyle name="Currency 5 7 7" xfId="2742" xr:uid="{00000000-0005-0000-0000-0000930D0000}"/>
    <cellStyle name="Currency 5 7 8" xfId="2823" xr:uid="{00000000-0005-0000-0000-0000940D0000}"/>
    <cellStyle name="Currency 5 7 8 2" xfId="7046" xr:uid="{00000000-0005-0000-0000-0000950D0000}"/>
    <cellStyle name="Currency 5 7 8 2 2" xfId="16372" xr:uid="{8B046C6C-5FC8-49B8-8B60-790B65E7C322}"/>
    <cellStyle name="Currency 5 7 8 3" xfId="12155" xr:uid="{985DCE1D-3CCF-48A0-8772-AA85386043ED}"/>
    <cellStyle name="Currency 5 7 9" xfId="4663" xr:uid="{00000000-0005-0000-0000-0000960D0000}"/>
    <cellStyle name="Currency 5 7 9 2" xfId="13989" xr:uid="{1BDE14A9-B8DC-4972-9429-AEA77C2E6B45}"/>
    <cellStyle name="Currency 5 8" xfId="721" xr:uid="{00000000-0005-0000-0000-0000970D0000}"/>
    <cellStyle name="Currency 5 9" xfId="8747" xr:uid="{CCFF1C6E-BA46-44B7-A8DD-B170160D04FF}"/>
    <cellStyle name="Currency 5 9 2" xfId="18071" xr:uid="{D14B36EB-2D7E-4A39-A9CA-3DB721151933}"/>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E06B741D-CB69-4F5F-99C7-3C77C5C6141B}"/>
    <cellStyle name="Normal 12 10 3" xfId="11839" xr:uid="{B427A069-8DEA-4322-92B9-D770B923B6EE}"/>
    <cellStyle name="Normal 12 11" xfId="4664" xr:uid="{00000000-0005-0000-0000-0000CC0D0000}"/>
    <cellStyle name="Normal 12 11 2" xfId="13990" xr:uid="{1A32A6FD-9C3D-4397-BA03-8463B096FD97}"/>
    <cellStyle name="Normal 12 12" xfId="8770" xr:uid="{16E7F001-A88D-4413-825E-78352A31064A}"/>
    <cellStyle name="Normal 12 12 2" xfId="18094" xr:uid="{122CE0DB-225D-4327-BE28-37947CF3C096}"/>
    <cellStyle name="Normal 12 13" xfId="9773" xr:uid="{5CE7DAF1-84E1-42BA-B13D-86C7214AD177}"/>
    <cellStyle name="Normal 12 2" xfId="260" xr:uid="{00000000-0005-0000-0000-0000CD0D0000}"/>
    <cellStyle name="Normal 12 2 10" xfId="8811" xr:uid="{C610EFA7-DF28-475D-A7AA-61B6675A083B}"/>
    <cellStyle name="Normal 12 2 10 2" xfId="18135" xr:uid="{3644E31C-3AA2-4B4A-9C7D-1C576D27421C}"/>
    <cellStyle name="Normal 12 2 11" xfId="9774" xr:uid="{8EDE4B55-C202-4775-966E-6599D6E2EEAE}"/>
    <cellStyle name="Normal 12 2 2" xfId="261" xr:uid="{00000000-0005-0000-0000-0000CE0D0000}"/>
    <cellStyle name="Normal 12 2 2 10" xfId="9775" xr:uid="{E20D5439-4B04-4172-BECD-E6BB95463FD3}"/>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CC8638AA-5D56-4379-9AFE-039027105952}"/>
    <cellStyle name="Normal 12 2 2 2 2 2 3" xfId="12335" xr:uid="{9DAAE59E-8982-4562-B9E9-B956A3F9081A}"/>
    <cellStyle name="Normal 12 2 2 2 2 3" xfId="5081" xr:uid="{00000000-0005-0000-0000-0000D30D0000}"/>
    <cellStyle name="Normal 12 2 2 2 2 3 2" xfId="14407" xr:uid="{7E588761-CBE1-4E5F-BAA4-7140DFC885F8}"/>
    <cellStyle name="Normal 12 2 2 2 2 4" xfId="9546" xr:uid="{609DE280-4DA3-4355-9F1C-9E01708347EA}"/>
    <cellStyle name="Normal 12 2 2 2 2 4 2" xfId="18861" xr:uid="{FF1426DA-52BE-43C4-B9C6-FCC8543822E6}"/>
    <cellStyle name="Normal 12 2 2 2 2 5" xfId="10190" xr:uid="{B16A1A39-6195-4BB5-8682-64D07124804D}"/>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B1CF320E-87EA-461D-8598-7A75614854F6}"/>
    <cellStyle name="Normal 12 2 2 2 3 2 3" xfId="12748" xr:uid="{4E221F32-4634-42AE-BB4B-B33D5497D93D}"/>
    <cellStyle name="Normal 12 2 2 2 3 3" xfId="5494" xr:uid="{00000000-0005-0000-0000-0000D70D0000}"/>
    <cellStyle name="Normal 12 2 2 2 3 3 2" xfId="14820" xr:uid="{C55F83F6-20FB-4343-B205-0943A04802C0}"/>
    <cellStyle name="Normal 12 2 2 2 3 4" xfId="10603" xr:uid="{B3E4A4CD-0218-4C92-9B6B-E7FC2CA10EE1}"/>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8C3D2CFE-5356-489B-9634-AD3FE00D0CA3}"/>
    <cellStyle name="Normal 12 2 2 2 4 2 3" xfId="13161" xr:uid="{E0B18252-B70F-4958-A63B-2E8634B7BB0B}"/>
    <cellStyle name="Normal 12 2 2 2 4 3" xfId="5907" xr:uid="{00000000-0005-0000-0000-0000DB0D0000}"/>
    <cellStyle name="Normal 12 2 2 2 4 3 2" xfId="15233" xr:uid="{5FE361FC-43DC-48EE-A1F6-23F914218120}"/>
    <cellStyle name="Normal 12 2 2 2 4 4" xfId="11016" xr:uid="{00D2C55E-E085-49C2-900C-B88D25E1F62A}"/>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05C9A273-48F4-4055-B6F3-E668C884E8A8}"/>
    <cellStyle name="Normal 12 2 2 2 5 2 3" xfId="13574" xr:uid="{E925C38F-CC96-41D6-A5DE-F624A4DD6392}"/>
    <cellStyle name="Normal 12 2 2 2 5 3" xfId="6320" xr:uid="{00000000-0005-0000-0000-0000DF0D0000}"/>
    <cellStyle name="Normal 12 2 2 2 5 3 2" xfId="15646" xr:uid="{FC4775F2-E6B0-4CEA-9AB2-40FFD3752A81}"/>
    <cellStyle name="Normal 12 2 2 2 5 4" xfId="11429" xr:uid="{6D1A90E3-C4EB-454A-98C5-AEDE5F46C01F}"/>
    <cellStyle name="Normal 12 2 2 2 6" xfId="2450" xr:uid="{00000000-0005-0000-0000-0000E00D0000}"/>
    <cellStyle name="Normal 12 2 2 2 6 2" xfId="6733" xr:uid="{00000000-0005-0000-0000-0000E10D0000}"/>
    <cellStyle name="Normal 12 2 2 2 6 2 2" xfId="16059" xr:uid="{522E73B8-755C-4550-8C01-B915752C0DD1}"/>
    <cellStyle name="Normal 12 2 2 2 6 3" xfId="11842" xr:uid="{5063883D-7CB0-4704-9706-0FB80A293C61}"/>
    <cellStyle name="Normal 12 2 2 2 7" xfId="4667" xr:uid="{00000000-0005-0000-0000-0000E20D0000}"/>
    <cellStyle name="Normal 12 2 2 2 7 2" xfId="13993" xr:uid="{A992B9D4-ED1D-4F17-9DA2-E21B67EA7066}"/>
    <cellStyle name="Normal 12 2 2 2 8" xfId="9121" xr:uid="{527C15BB-BE4D-46AB-9317-CC8E6838C91D}"/>
    <cellStyle name="Normal 12 2 2 2 8 2" xfId="18445" xr:uid="{BF0BA8C6-66FD-4ED5-BE1C-BA270B5B972E}"/>
    <cellStyle name="Normal 12 2 2 2 9" xfId="9776" xr:uid="{B7DBDA52-C913-4FF2-8A7A-FCE13E320E91}"/>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4AE6E7F6-D176-4E1B-8227-ED24BE28FA0D}"/>
    <cellStyle name="Normal 12 2 2 3 2 3" xfId="12334" xr:uid="{561E44C0-41F1-47FC-A588-41E0AD5C223F}"/>
    <cellStyle name="Normal 12 2 2 3 3" xfId="5080" xr:uid="{00000000-0005-0000-0000-0000E60D0000}"/>
    <cellStyle name="Normal 12 2 2 3 3 2" xfId="14406" xr:uid="{3D89D0FA-6236-4391-BD9B-9615F4348CC9}"/>
    <cellStyle name="Normal 12 2 2 3 4" xfId="9339" xr:uid="{F3F800C1-92DF-4F1F-A561-C3F3C7F8BAD1}"/>
    <cellStyle name="Normal 12 2 2 3 4 2" xfId="18654" xr:uid="{5F52759F-3767-4F62-A122-C33CE6B7BF1F}"/>
    <cellStyle name="Normal 12 2 2 3 5" xfId="10189" xr:uid="{94020DEC-6880-426F-87C5-03F1D8FB227A}"/>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9486C915-E5BA-4EB9-9A60-34FDF18A0CCA}"/>
    <cellStyle name="Normal 12 2 2 4 2 3" xfId="12747" xr:uid="{8CC1395F-C570-4E42-B4CD-B200CEA2983E}"/>
    <cellStyle name="Normal 12 2 2 4 3" xfId="5493" xr:uid="{00000000-0005-0000-0000-0000EA0D0000}"/>
    <cellStyle name="Normal 12 2 2 4 3 2" xfId="14819" xr:uid="{AB370A2B-8D40-42A6-A925-1DC5DF7AA587}"/>
    <cellStyle name="Normal 12 2 2 4 4" xfId="10602" xr:uid="{7BAB7F44-C4C0-48BF-8BD7-A45A7DAF1D97}"/>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CC834254-5E40-4CC7-B0FD-D9387ADBC514}"/>
    <cellStyle name="Normal 12 2 2 5 2 3" xfId="13160" xr:uid="{61E62F31-0C0D-4248-9371-A3BAD8794B79}"/>
    <cellStyle name="Normal 12 2 2 5 3" xfId="5906" xr:uid="{00000000-0005-0000-0000-0000EE0D0000}"/>
    <cellStyle name="Normal 12 2 2 5 3 2" xfId="15232" xr:uid="{226C4D45-68C3-46A9-B590-C5B3846B3C36}"/>
    <cellStyle name="Normal 12 2 2 5 4" xfId="11015" xr:uid="{38C27347-4082-45F6-8590-59BB8C8EB3F0}"/>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ABA7B9F9-59A7-4141-BFB5-E1D1AEE6E376}"/>
    <cellStyle name="Normal 12 2 2 6 2 3" xfId="13573" xr:uid="{2CCA6BC8-8780-46D3-9EFC-363C0731FA00}"/>
    <cellStyle name="Normal 12 2 2 6 3" xfId="6319" xr:uid="{00000000-0005-0000-0000-0000F20D0000}"/>
    <cellStyle name="Normal 12 2 2 6 3 2" xfId="15645" xr:uid="{6F97F8C3-81F8-4898-BFFE-4FDCE1098AC6}"/>
    <cellStyle name="Normal 12 2 2 6 4" xfId="11428" xr:uid="{1D2E99F8-F441-4CF6-8ECF-B60F4E3384B3}"/>
    <cellStyle name="Normal 12 2 2 7" xfId="2449" xr:uid="{00000000-0005-0000-0000-0000F30D0000}"/>
    <cellStyle name="Normal 12 2 2 7 2" xfId="6732" xr:uid="{00000000-0005-0000-0000-0000F40D0000}"/>
    <cellStyle name="Normal 12 2 2 7 2 2" xfId="16058" xr:uid="{3FA90128-8E48-4AB7-B00B-BC240140FC5F}"/>
    <cellStyle name="Normal 12 2 2 7 3" xfId="11841" xr:uid="{3CAFD607-C31A-45C0-B315-D17D96458E08}"/>
    <cellStyle name="Normal 12 2 2 8" xfId="4666" xr:uid="{00000000-0005-0000-0000-0000F50D0000}"/>
    <cellStyle name="Normal 12 2 2 8 2" xfId="13992" xr:uid="{0D8728F4-994C-4D87-A080-1B8AEC692D1E}"/>
    <cellStyle name="Normal 12 2 2 9" xfId="8914" xr:uid="{85903DBC-FA0A-4A9D-9FB4-BA36A4B6F510}"/>
    <cellStyle name="Normal 12 2 2 9 2" xfId="18238" xr:uid="{551FDB1E-7090-4847-B12D-FB6DB6EB4BE2}"/>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71C93C8E-F24E-4F84-B7B4-1D65C526F575}"/>
    <cellStyle name="Normal 12 2 3 2 2 3" xfId="12336" xr:uid="{E16624D6-74E6-4E29-945A-10AAA7862916}"/>
    <cellStyle name="Normal 12 2 3 2 3" xfId="5082" xr:uid="{00000000-0005-0000-0000-0000FA0D0000}"/>
    <cellStyle name="Normal 12 2 3 2 3 2" xfId="14408" xr:uid="{256ECB2A-0227-42B1-AAD1-0C2AA4C93A66}"/>
    <cellStyle name="Normal 12 2 3 2 4" xfId="9443" xr:uid="{61F0A971-1285-4215-8170-49D07520551A}"/>
    <cellStyle name="Normal 12 2 3 2 4 2" xfId="18758" xr:uid="{99711195-5436-4368-866E-30FB9302F0B9}"/>
    <cellStyle name="Normal 12 2 3 2 5" xfId="10191" xr:uid="{566817D5-6EBA-4875-B3B2-EEC2DD2295B1}"/>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464CB119-38CE-4308-9887-6DB81D7070A6}"/>
    <cellStyle name="Normal 12 2 3 3 2 3" xfId="12749" xr:uid="{D1F2D675-5F47-4E95-83F6-DCE224F2CD76}"/>
    <cellStyle name="Normal 12 2 3 3 3" xfId="5495" xr:uid="{00000000-0005-0000-0000-0000FE0D0000}"/>
    <cellStyle name="Normal 12 2 3 3 3 2" xfId="14821" xr:uid="{35137EBF-EFCE-4EB3-8262-5633C3722453}"/>
    <cellStyle name="Normal 12 2 3 3 4" xfId="10604" xr:uid="{790AF79F-BE83-4836-AFD8-D311FB7D188D}"/>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FC7CBEBE-8384-4B88-9323-DC57CDB985F5}"/>
    <cellStyle name="Normal 12 2 3 4 2 3" xfId="13162" xr:uid="{CBDB03C8-FF30-4FBE-A8E5-6A62CB28139E}"/>
    <cellStyle name="Normal 12 2 3 4 3" xfId="5908" xr:uid="{00000000-0005-0000-0000-0000020E0000}"/>
    <cellStyle name="Normal 12 2 3 4 3 2" xfId="15234" xr:uid="{EF11F4C9-ECDC-4BAC-9552-A009CE4FB5D8}"/>
    <cellStyle name="Normal 12 2 3 4 4" xfId="11017" xr:uid="{03FF23F1-5AAA-4ACD-A527-89CE7EB69663}"/>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DE28D534-C456-456A-86F3-AF99C543E207}"/>
    <cellStyle name="Normal 12 2 3 5 2 3" xfId="13575" xr:uid="{1DD5E7CF-4BC6-48AB-9395-1D451D33CDAE}"/>
    <cellStyle name="Normal 12 2 3 5 3" xfId="6321" xr:uid="{00000000-0005-0000-0000-0000060E0000}"/>
    <cellStyle name="Normal 12 2 3 5 3 2" xfId="15647" xr:uid="{CB6CCE4F-F629-47C3-99AA-269CD826B213}"/>
    <cellStyle name="Normal 12 2 3 5 4" xfId="11430" xr:uid="{122D4FC9-3AC1-4BFF-A387-8F26AEED7F37}"/>
    <cellStyle name="Normal 12 2 3 6" xfId="2451" xr:uid="{00000000-0005-0000-0000-0000070E0000}"/>
    <cellStyle name="Normal 12 2 3 6 2" xfId="6734" xr:uid="{00000000-0005-0000-0000-0000080E0000}"/>
    <cellStyle name="Normal 12 2 3 6 2 2" xfId="16060" xr:uid="{3E12E733-92B0-4125-8927-0AEDC8514AA4}"/>
    <cellStyle name="Normal 12 2 3 6 3" xfId="11843" xr:uid="{6B8DA3B5-E109-4ED0-BDE7-430226A83516}"/>
    <cellStyle name="Normal 12 2 3 7" xfId="4668" xr:uid="{00000000-0005-0000-0000-0000090E0000}"/>
    <cellStyle name="Normal 12 2 3 7 2" xfId="13994" xr:uid="{7CCE79F1-FAE1-427D-9E88-94B17BE967EC}"/>
    <cellStyle name="Normal 12 2 3 8" xfId="9018" xr:uid="{C3F41DC6-3A80-4145-A68D-169ABB54B6D0}"/>
    <cellStyle name="Normal 12 2 3 8 2" xfId="18342" xr:uid="{056608FC-17B2-411E-9DBD-663C37B79029}"/>
    <cellStyle name="Normal 12 2 3 9" xfId="9777" xr:uid="{21443380-6A84-4481-9056-1CCDA0312F85}"/>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57610CC8-5C95-408E-AFA8-1F3751B45099}"/>
    <cellStyle name="Normal 12 2 4 2 3" xfId="12333" xr:uid="{D9284B1E-7439-416C-9DB3-D4B5CEFA10F4}"/>
    <cellStyle name="Normal 12 2 4 3" xfId="5079" xr:uid="{00000000-0005-0000-0000-00000D0E0000}"/>
    <cellStyle name="Normal 12 2 4 3 2" xfId="14405" xr:uid="{C718CC40-66DE-42DF-9776-F061281D4D25}"/>
    <cellStyle name="Normal 12 2 4 4" xfId="9236" xr:uid="{C3D0196D-4BB3-4870-9762-A3CF40E5B45B}"/>
    <cellStyle name="Normal 12 2 4 4 2" xfId="18551" xr:uid="{B04BA799-4428-422F-8E8A-159661F3C1BC}"/>
    <cellStyle name="Normal 12 2 4 5" xfId="10188" xr:uid="{9A1C2890-B575-4B53-8BA5-6C096C0C3EEB}"/>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D67D10B5-9B7C-45C5-8D3E-12D4154B1DE9}"/>
    <cellStyle name="Normal 12 2 5 2 3" xfId="12746" xr:uid="{9FF1F21E-DA98-442E-A083-97A8A5787946}"/>
    <cellStyle name="Normal 12 2 5 3" xfId="5492" xr:uid="{00000000-0005-0000-0000-0000110E0000}"/>
    <cellStyle name="Normal 12 2 5 3 2" xfId="14818" xr:uid="{9385D538-496E-4B94-8D5B-BFF732D19CAD}"/>
    <cellStyle name="Normal 12 2 5 4" xfId="10601" xr:uid="{B64AB3C1-F12F-4E27-908F-F0833C13EB09}"/>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23FB28AD-7B4C-4250-A9A8-0BF1E9B8DA4B}"/>
    <cellStyle name="Normal 12 2 6 2 3" xfId="13159" xr:uid="{71FE8BDF-F2B9-41A6-B59C-CDA989EF5B35}"/>
    <cellStyle name="Normal 12 2 6 3" xfId="5905" xr:uid="{00000000-0005-0000-0000-0000150E0000}"/>
    <cellStyle name="Normal 12 2 6 3 2" xfId="15231" xr:uid="{7964603F-CEA7-4A54-83C0-7A1C1AC27EFC}"/>
    <cellStyle name="Normal 12 2 6 4" xfId="11014" xr:uid="{D4F27908-7E93-4C2E-9282-3CE807462415}"/>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31E764FC-67CC-470E-8E25-284AD1B572CD}"/>
    <cellStyle name="Normal 12 2 7 2 3" xfId="13572" xr:uid="{0597FE86-7E09-4936-AF83-485D20995A0F}"/>
    <cellStyle name="Normal 12 2 7 3" xfId="6318" xr:uid="{00000000-0005-0000-0000-0000190E0000}"/>
    <cellStyle name="Normal 12 2 7 3 2" xfId="15644" xr:uid="{B072909C-002A-44F1-A3AF-C1629AD8B1F8}"/>
    <cellStyle name="Normal 12 2 7 4" xfId="11427" xr:uid="{A087AF90-F6A0-4A01-B91C-43154A6389E5}"/>
    <cellStyle name="Normal 12 2 8" xfId="2448" xr:uid="{00000000-0005-0000-0000-00001A0E0000}"/>
    <cellStyle name="Normal 12 2 8 2" xfId="6731" xr:uid="{00000000-0005-0000-0000-00001B0E0000}"/>
    <cellStyle name="Normal 12 2 8 2 2" xfId="16057" xr:uid="{E0FC88FE-EF9F-4B5D-BFAE-41DDA7F0DAE3}"/>
    <cellStyle name="Normal 12 2 8 3" xfId="11840" xr:uid="{12F629EB-5FC4-4733-9B8C-154E2A7A9E17}"/>
    <cellStyle name="Normal 12 2 9" xfId="4665" xr:uid="{00000000-0005-0000-0000-00001C0E0000}"/>
    <cellStyle name="Normal 12 2 9 2" xfId="13991" xr:uid="{BB34A22B-98D9-4B54-8F5C-20883E5CCA94}"/>
    <cellStyle name="Normal 12 3" xfId="264" xr:uid="{00000000-0005-0000-0000-00001D0E0000}"/>
    <cellStyle name="Normal 12 3 10" xfId="9778" xr:uid="{A73FDABF-F8C8-4BA8-B690-700E0004D0D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43CF6642-7F82-4E33-BCCC-00A93B3BC212}"/>
    <cellStyle name="Normal 12 3 2 2 2 3" xfId="12338" xr:uid="{ECF37778-6CEF-48D3-8DB9-323E008A1862}"/>
    <cellStyle name="Normal 12 3 2 2 3" xfId="5084" xr:uid="{00000000-0005-0000-0000-0000220E0000}"/>
    <cellStyle name="Normal 12 3 2 2 3 2" xfId="14410" xr:uid="{F36AE593-FF3A-4DC5-9D6B-97E421EC2346}"/>
    <cellStyle name="Normal 12 3 2 2 4" xfId="9505" xr:uid="{B127619B-367D-40AD-851E-01DDBB2DCD13}"/>
    <cellStyle name="Normal 12 3 2 2 4 2" xfId="18820" xr:uid="{1385A08D-6CBE-4352-9650-9278E286CAD2}"/>
    <cellStyle name="Normal 12 3 2 2 5" xfId="10193" xr:uid="{A6779936-BABB-469C-A79F-44D3BF7DCDAF}"/>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AE010BBD-A300-4E9B-BE11-BC1CD7B99E4F}"/>
    <cellStyle name="Normal 12 3 2 3 2 3" xfId="12751" xr:uid="{9D590954-C6D3-4132-BCCE-03FE9E778CB9}"/>
    <cellStyle name="Normal 12 3 2 3 3" xfId="5497" xr:uid="{00000000-0005-0000-0000-0000260E0000}"/>
    <cellStyle name="Normal 12 3 2 3 3 2" xfId="14823" xr:uid="{2D5B40C6-72B0-41AF-9AAA-0B2319C3EC91}"/>
    <cellStyle name="Normal 12 3 2 3 4" xfId="10606" xr:uid="{DC583C72-4408-4241-A068-F45A1432F28C}"/>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E85116DD-5D9D-49F4-9F6C-C0EAA2F7622B}"/>
    <cellStyle name="Normal 12 3 2 4 2 3" xfId="13164" xr:uid="{2139B8D8-F9BD-4F8C-BC64-C1B83CA24901}"/>
    <cellStyle name="Normal 12 3 2 4 3" xfId="5910" xr:uid="{00000000-0005-0000-0000-00002A0E0000}"/>
    <cellStyle name="Normal 12 3 2 4 3 2" xfId="15236" xr:uid="{2D8C4FF2-5A73-4D86-BD0A-3D93BC490EB3}"/>
    <cellStyle name="Normal 12 3 2 4 4" xfId="11019" xr:uid="{F9A718DE-7FFB-4E82-8A4C-2FE312A1D01A}"/>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1B212878-38FA-44A4-87C6-A045C5EB81EC}"/>
    <cellStyle name="Normal 12 3 2 5 2 3" xfId="13577" xr:uid="{99CE0414-1C07-46F8-8E80-C10851AA1DFF}"/>
    <cellStyle name="Normal 12 3 2 5 3" xfId="6323" xr:uid="{00000000-0005-0000-0000-00002E0E0000}"/>
    <cellStyle name="Normal 12 3 2 5 3 2" xfId="15649" xr:uid="{2D559A14-26E4-4C15-BA0F-A0826861DFAD}"/>
    <cellStyle name="Normal 12 3 2 5 4" xfId="11432" xr:uid="{4976CA7A-E18D-4460-AD4B-2C98717B0672}"/>
    <cellStyle name="Normal 12 3 2 6" xfId="2453" xr:uid="{00000000-0005-0000-0000-00002F0E0000}"/>
    <cellStyle name="Normal 12 3 2 6 2" xfId="6736" xr:uid="{00000000-0005-0000-0000-0000300E0000}"/>
    <cellStyle name="Normal 12 3 2 6 2 2" xfId="16062" xr:uid="{7FE31542-DC08-4925-BC0D-89925B36FD6B}"/>
    <cellStyle name="Normal 12 3 2 6 3" xfId="11845" xr:uid="{0D284F74-178F-449E-B2E2-585CEAC73162}"/>
    <cellStyle name="Normal 12 3 2 7" xfId="4670" xr:uid="{00000000-0005-0000-0000-0000310E0000}"/>
    <cellStyle name="Normal 12 3 2 7 2" xfId="13996" xr:uid="{A8F1D284-5FB1-4E55-BE9E-1BB5283BD496}"/>
    <cellStyle name="Normal 12 3 2 8" xfId="9080" xr:uid="{403F3083-4A9F-4295-B676-C31241B8936E}"/>
    <cellStyle name="Normal 12 3 2 8 2" xfId="18404" xr:uid="{B9679D98-BFB8-4A7F-9663-E93CE5196D2C}"/>
    <cellStyle name="Normal 12 3 2 9" xfId="9779" xr:uid="{E125AF3E-E637-46EF-AF15-63568ACEAA61}"/>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125F38BF-CB42-476C-BFA6-904FCA2511E0}"/>
    <cellStyle name="Normal 12 3 3 2 3" xfId="12337" xr:uid="{64369F42-3556-49E3-B32C-83701D2D889E}"/>
    <cellStyle name="Normal 12 3 3 3" xfId="5083" xr:uid="{00000000-0005-0000-0000-0000350E0000}"/>
    <cellStyle name="Normal 12 3 3 3 2" xfId="14409" xr:uid="{3B0167B1-18B2-402A-8D8E-D5467FBE8C56}"/>
    <cellStyle name="Normal 12 3 3 4" xfId="9298" xr:uid="{A6F9D711-F86A-406D-B160-91678C261745}"/>
    <cellStyle name="Normal 12 3 3 4 2" xfId="18613" xr:uid="{08346519-3F10-4DCC-B3E8-154ADE269295}"/>
    <cellStyle name="Normal 12 3 3 5" xfId="10192" xr:uid="{7839B2C3-3F8A-4ADD-A2B2-2ACFAE6E59FC}"/>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8D2CE35E-AF38-4F9E-841F-B640AD3C906D}"/>
    <cellStyle name="Normal 12 3 4 2 3" xfId="12750" xr:uid="{9DA4D693-E52C-46B7-8660-5F11F7EC4920}"/>
    <cellStyle name="Normal 12 3 4 3" xfId="5496" xr:uid="{00000000-0005-0000-0000-0000390E0000}"/>
    <cellStyle name="Normal 12 3 4 3 2" xfId="14822" xr:uid="{2EA60DAA-9BBD-43EE-90FB-0156E8089EA6}"/>
    <cellStyle name="Normal 12 3 4 4" xfId="10605" xr:uid="{BE59DEBB-AA88-4D21-B7D7-01BECE585B16}"/>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3C9C48B7-5948-4DCA-8BDE-90231DA80471}"/>
    <cellStyle name="Normal 12 3 5 2 3" xfId="13163" xr:uid="{424784A6-971E-44D2-808D-EBE6B06FEACE}"/>
    <cellStyle name="Normal 12 3 5 3" xfId="5909" xr:uid="{00000000-0005-0000-0000-00003D0E0000}"/>
    <cellStyle name="Normal 12 3 5 3 2" xfId="15235" xr:uid="{A958F9C8-D96E-406D-923A-6ACE080A9CE1}"/>
    <cellStyle name="Normal 12 3 5 4" xfId="11018" xr:uid="{34254CE8-5C40-4D81-93D1-7AF32470848E}"/>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1707AD64-8E13-452F-A9C5-03A9AD213DC1}"/>
    <cellStyle name="Normal 12 3 6 2 3" xfId="13576" xr:uid="{10C45345-CD5D-4D7B-B7C9-71031CD4BADE}"/>
    <cellStyle name="Normal 12 3 6 3" xfId="6322" xr:uid="{00000000-0005-0000-0000-0000410E0000}"/>
    <cellStyle name="Normal 12 3 6 3 2" xfId="15648" xr:uid="{CF9EAC29-923E-452E-9941-E181BAEF0CF4}"/>
    <cellStyle name="Normal 12 3 6 4" xfId="11431" xr:uid="{5E294494-06B8-4FD6-B02B-2E8BC8293939}"/>
    <cellStyle name="Normal 12 3 7" xfId="2452" xr:uid="{00000000-0005-0000-0000-0000420E0000}"/>
    <cellStyle name="Normal 12 3 7 2" xfId="6735" xr:uid="{00000000-0005-0000-0000-0000430E0000}"/>
    <cellStyle name="Normal 12 3 7 2 2" xfId="16061" xr:uid="{27B48C32-0A95-4BFA-A3E2-AE1D3023D291}"/>
    <cellStyle name="Normal 12 3 7 3" xfId="11844" xr:uid="{187B3ADF-C0D6-4757-8F77-21C51EB419CE}"/>
    <cellStyle name="Normal 12 3 8" xfId="4669" xr:uid="{00000000-0005-0000-0000-0000440E0000}"/>
    <cellStyle name="Normal 12 3 8 2" xfId="13995" xr:uid="{75B871B8-3FDF-402D-B94D-64BD179FFCD6}"/>
    <cellStyle name="Normal 12 3 9" xfId="8873" xr:uid="{72AE7E6C-F254-4BFC-80A7-F73848FA4F21}"/>
    <cellStyle name="Normal 12 3 9 2" xfId="18197" xr:uid="{AB94024E-DE5C-4129-8E58-B4B127135293}"/>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9B65C9BA-C4D2-43F9-A704-9D52ECA11E1C}"/>
    <cellStyle name="Normal 12 4 2 2 3" xfId="12339" xr:uid="{A1576DEF-92F9-4E88-92EA-2864239E4702}"/>
    <cellStyle name="Normal 12 4 2 3" xfId="5085" xr:uid="{00000000-0005-0000-0000-0000490E0000}"/>
    <cellStyle name="Normal 12 4 2 3 2" xfId="14411" xr:uid="{4584AF68-6BFD-439E-B0DF-27CEFBF32069}"/>
    <cellStyle name="Normal 12 4 2 4" xfId="9402" xr:uid="{F40C9AB7-F4D0-4A65-BBAA-FF5409160FE5}"/>
    <cellStyle name="Normal 12 4 2 4 2" xfId="18717" xr:uid="{D68484C8-EA09-4E54-9523-560D0E46F29B}"/>
    <cellStyle name="Normal 12 4 2 5" xfId="10194" xr:uid="{34AF6D20-AA45-42B2-A10D-CF856EF8902B}"/>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12070FC9-3F22-4EAF-AAF7-87302AED1B0B}"/>
    <cellStyle name="Normal 12 4 3 2 3" xfId="12752" xr:uid="{9CD2A0D6-4225-40D1-ACD3-4B921C0002CC}"/>
    <cellStyle name="Normal 12 4 3 3" xfId="5498" xr:uid="{00000000-0005-0000-0000-00004D0E0000}"/>
    <cellStyle name="Normal 12 4 3 3 2" xfId="14824" xr:uid="{1454BBFC-C7EC-4B2C-8F99-134087C3D9DC}"/>
    <cellStyle name="Normal 12 4 3 4" xfId="10607" xr:uid="{095BEFAF-39D3-409C-89BE-EF86FD70AA6C}"/>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063AFA3D-3082-4460-B89B-19ADE3E01136}"/>
    <cellStyle name="Normal 12 4 4 2 3" xfId="13165" xr:uid="{F80402AA-4446-4146-9EFE-92E915884F09}"/>
    <cellStyle name="Normal 12 4 4 3" xfId="5911" xr:uid="{00000000-0005-0000-0000-0000510E0000}"/>
    <cellStyle name="Normal 12 4 4 3 2" xfId="15237" xr:uid="{9D5D1B02-4887-45EF-98B8-F67B3E81A103}"/>
    <cellStyle name="Normal 12 4 4 4" xfId="11020" xr:uid="{44A0794D-5126-4D07-A694-BDC3BF268833}"/>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C3BC336A-CBCF-4FDD-84FD-CCAE0E2ADABE}"/>
    <cellStyle name="Normal 12 4 5 2 3" xfId="13578" xr:uid="{E861F33B-80C9-45B8-8E4D-764DDB6F2388}"/>
    <cellStyle name="Normal 12 4 5 3" xfId="6324" xr:uid="{00000000-0005-0000-0000-0000550E0000}"/>
    <cellStyle name="Normal 12 4 5 3 2" xfId="15650" xr:uid="{BC7C79F2-26DF-405C-939E-DB0380CA0781}"/>
    <cellStyle name="Normal 12 4 5 4" xfId="11433" xr:uid="{5116F3FB-B219-4C1F-91C7-E6CB380F8D65}"/>
    <cellStyle name="Normal 12 4 6" xfId="2454" xr:uid="{00000000-0005-0000-0000-0000560E0000}"/>
    <cellStyle name="Normal 12 4 6 2" xfId="6737" xr:uid="{00000000-0005-0000-0000-0000570E0000}"/>
    <cellStyle name="Normal 12 4 6 2 2" xfId="16063" xr:uid="{424347EB-445B-42F2-B99C-7C10E1C1CE8F}"/>
    <cellStyle name="Normal 12 4 6 3" xfId="11846" xr:uid="{D187CE8C-FE41-4B1A-A091-8FDAD377D3FD}"/>
    <cellStyle name="Normal 12 4 7" xfId="4671" xr:uid="{00000000-0005-0000-0000-0000580E0000}"/>
    <cellStyle name="Normal 12 4 7 2" xfId="13997" xr:uid="{DD6583E1-C7D1-42DC-838C-9D56673AECFC}"/>
    <cellStyle name="Normal 12 4 8" xfId="8977" xr:uid="{5BFFE5F3-99F6-4DA1-A3EF-BF749B3B7ACB}"/>
    <cellStyle name="Normal 12 4 8 2" xfId="18301" xr:uid="{9708D02A-5A78-419B-A334-60420F3B87D8}"/>
    <cellStyle name="Normal 12 4 9" xfId="9780" xr:uid="{5DB72EC6-9FD7-4E6D-AC0C-FA1BF10C53F6}"/>
    <cellStyle name="Normal 12 5" xfId="267" xr:uid="{00000000-0005-0000-0000-0000590E0000}"/>
    <cellStyle name="Normal 12 5 2" xfId="9579" xr:uid="{43940F87-8803-4E34-B3E0-736FAF89CA32}"/>
    <cellStyle name="Normal 12 5 2 2" xfId="18894" xr:uid="{954057A0-737C-4770-A828-6B845E583754}"/>
    <cellStyle name="Normal 12 5 3" xfId="9586" xr:uid="{72B01073-C2DA-4DF8-9E0D-6932F6AF67FF}"/>
    <cellStyle name="Normal 12 5 4" xfId="9156" xr:uid="{4BCB05AE-5738-4A10-9D4D-B3A4CD16FD2C}"/>
    <cellStyle name="Normal 12 5 4 2" xfId="18478" xr:uid="{096D80F1-48BF-46CA-9B02-7E0F6D2CC3FC}"/>
    <cellStyle name="Normal 12 6" xfId="760" xr:uid="{00000000-0005-0000-0000-00005A0E0000}"/>
    <cellStyle name="Normal 12 6 2" xfId="3001" xr:uid="{00000000-0005-0000-0000-00005B0E0000}"/>
    <cellStyle name="Normal 12 6 2 2" xfId="7223" xr:uid="{00000000-0005-0000-0000-00005C0E0000}"/>
    <cellStyle name="Normal 12 6 2 2 2" xfId="16549" xr:uid="{24DD30FE-2D75-41D0-9D5D-5E943B7A3C11}"/>
    <cellStyle name="Normal 12 6 2 3" xfId="12332" xr:uid="{9B75D918-C079-4D1D-9937-AB8ED4B50593}"/>
    <cellStyle name="Normal 12 6 3" xfId="5078" xr:uid="{00000000-0005-0000-0000-00005D0E0000}"/>
    <cellStyle name="Normal 12 6 3 2" xfId="14404" xr:uid="{B1A661DC-48B0-42D8-B2EF-051648442F88}"/>
    <cellStyle name="Normal 12 6 4" xfId="9194" xr:uid="{92D32932-3865-4F6F-A551-9A99EC116A43}"/>
    <cellStyle name="Normal 12 6 4 2" xfId="18510" xr:uid="{AFE672F1-F4A6-455F-9D42-3630C6319C9D}"/>
    <cellStyle name="Normal 12 6 5" xfId="10187" xr:uid="{7600C840-6197-49F3-B805-E150ECBACB4A}"/>
    <cellStyle name="Normal 12 7" xfId="1183" xr:uid="{00000000-0005-0000-0000-00005E0E0000}"/>
    <cellStyle name="Normal 12 7 2" xfId="3414" xr:uid="{00000000-0005-0000-0000-00005F0E0000}"/>
    <cellStyle name="Normal 12 7 2 2" xfId="7636" xr:uid="{00000000-0005-0000-0000-0000600E0000}"/>
    <cellStyle name="Normal 12 7 2 2 2" xfId="16962" xr:uid="{5A08C0B3-CEE9-43D6-B03B-C650B4032DAE}"/>
    <cellStyle name="Normal 12 7 2 3" xfId="12745" xr:uid="{9D8AE46B-FC7F-4FEA-B5B8-F1E5DB6C6342}"/>
    <cellStyle name="Normal 12 7 3" xfId="5491" xr:uid="{00000000-0005-0000-0000-0000610E0000}"/>
    <cellStyle name="Normal 12 7 3 2" xfId="14817" xr:uid="{0F860B47-3BEB-4CA5-A6B0-9ADD55EE6E4B}"/>
    <cellStyle name="Normal 12 7 4" xfId="10600" xr:uid="{48B13C2E-FC9D-413F-868B-B22C36B5330C}"/>
    <cellStyle name="Normal 12 8" xfId="1597" xr:uid="{00000000-0005-0000-0000-0000620E0000}"/>
    <cellStyle name="Normal 12 8 2" xfId="3827" xr:uid="{00000000-0005-0000-0000-0000630E0000}"/>
    <cellStyle name="Normal 12 8 2 2" xfId="8049" xr:uid="{00000000-0005-0000-0000-0000640E0000}"/>
    <cellStyle name="Normal 12 8 2 2 2" xfId="17375" xr:uid="{0BC32AB6-F3CC-412B-8222-FD58AEF4B4AA}"/>
    <cellStyle name="Normal 12 8 2 3" xfId="13158" xr:uid="{191F96F6-EE0D-4F7D-9987-1A217A507118}"/>
    <cellStyle name="Normal 12 8 3" xfId="5904" xr:uid="{00000000-0005-0000-0000-0000650E0000}"/>
    <cellStyle name="Normal 12 8 3 2" xfId="15230" xr:uid="{E31CBEEB-D0B3-4C88-98C4-B89FB7CDF6DE}"/>
    <cellStyle name="Normal 12 8 4" xfId="11013" xr:uid="{981B8358-B94C-4772-9EA9-18E767792E1E}"/>
    <cellStyle name="Normal 12 9" xfId="2011" xr:uid="{00000000-0005-0000-0000-0000660E0000}"/>
    <cellStyle name="Normal 12 9 2" xfId="4240" xr:uid="{00000000-0005-0000-0000-0000670E0000}"/>
    <cellStyle name="Normal 12 9 2 2" xfId="8462" xr:uid="{00000000-0005-0000-0000-0000680E0000}"/>
    <cellStyle name="Normal 12 9 2 2 2" xfId="17788" xr:uid="{42782FDD-4DB3-4859-A21B-E68C0D25E228}"/>
    <cellStyle name="Normal 12 9 2 3" xfId="13571" xr:uid="{8550E0E1-6776-47E9-9C18-F6BEF27182ED}"/>
    <cellStyle name="Normal 12 9 3" xfId="6317" xr:uid="{00000000-0005-0000-0000-0000690E0000}"/>
    <cellStyle name="Normal 12 9 3 2" xfId="15643" xr:uid="{BABD9AEC-065D-4B4D-BCDF-1B7174718CF2}"/>
    <cellStyle name="Normal 12 9 4" xfId="11426" xr:uid="{45CE116B-633A-43AE-A560-AD8370EB39E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42F93AB8-4D06-485C-8400-35901F16E059}"/>
    <cellStyle name="Normal 14 2 2 3" xfId="12340" xr:uid="{AB0B03E8-EC09-4F11-8EDE-0931D74DE09F}"/>
    <cellStyle name="Normal 14 2 3" xfId="5086" xr:uid="{00000000-0005-0000-0000-0000700E0000}"/>
    <cellStyle name="Normal 14 2 3 2" xfId="14412" xr:uid="{83F1D824-AE17-425D-8067-A24C085DB1F4}"/>
    <cellStyle name="Normal 14 2 4" xfId="9371" xr:uid="{E1AFB5B4-F468-480A-B09F-3374B2F03BDA}"/>
    <cellStyle name="Normal 14 2 4 2" xfId="18686" xr:uid="{7A23B920-BDB7-4C1F-9BBD-A33165CDFE76}"/>
    <cellStyle name="Normal 14 2 5" xfId="10195" xr:uid="{63431354-F3C1-494D-8D06-47FAE93397A0}"/>
    <cellStyle name="Normal 14 3" xfId="1191" xr:uid="{00000000-0005-0000-0000-0000710E0000}"/>
    <cellStyle name="Normal 14 3 2" xfId="3422" xr:uid="{00000000-0005-0000-0000-0000720E0000}"/>
    <cellStyle name="Normal 14 3 2 2" xfId="7644" xr:uid="{00000000-0005-0000-0000-0000730E0000}"/>
    <cellStyle name="Normal 14 3 2 2 2" xfId="16970" xr:uid="{391E9FC0-4093-453C-A6CD-EC138C2DF8A2}"/>
    <cellStyle name="Normal 14 3 2 3" xfId="12753" xr:uid="{91E887AF-3768-4843-A03F-BFEC190A5B12}"/>
    <cellStyle name="Normal 14 3 3" xfId="5499" xr:uid="{00000000-0005-0000-0000-0000740E0000}"/>
    <cellStyle name="Normal 14 3 3 2" xfId="14825" xr:uid="{8717D6E8-D5AF-4C9D-8ACF-5939983C91B5}"/>
    <cellStyle name="Normal 14 3 4" xfId="10608" xr:uid="{53884AF3-B44F-444F-AD2F-E28C7F691EBC}"/>
    <cellStyle name="Normal 14 4" xfId="1605" xr:uid="{00000000-0005-0000-0000-0000750E0000}"/>
    <cellStyle name="Normal 14 4 2" xfId="3835" xr:uid="{00000000-0005-0000-0000-0000760E0000}"/>
    <cellStyle name="Normal 14 4 2 2" xfId="8057" xr:uid="{00000000-0005-0000-0000-0000770E0000}"/>
    <cellStyle name="Normal 14 4 2 2 2" xfId="17383" xr:uid="{305C40E0-394F-47A7-A1D9-87C3F56DF15B}"/>
    <cellStyle name="Normal 14 4 2 3" xfId="13166" xr:uid="{3FA97E19-C2DE-474D-8E26-3F2C9B4FDB67}"/>
    <cellStyle name="Normal 14 4 3" xfId="5912" xr:uid="{00000000-0005-0000-0000-0000780E0000}"/>
    <cellStyle name="Normal 14 4 3 2" xfId="15238" xr:uid="{59BB9D41-EA77-4F21-AC08-9E25096059DF}"/>
    <cellStyle name="Normal 14 4 4" xfId="11021" xr:uid="{976073BB-9063-4B66-8C8B-C48AB9D5DC31}"/>
    <cellStyle name="Normal 14 5" xfId="2019" xr:uid="{00000000-0005-0000-0000-0000790E0000}"/>
    <cellStyle name="Normal 14 5 2" xfId="4248" xr:uid="{00000000-0005-0000-0000-00007A0E0000}"/>
    <cellStyle name="Normal 14 5 2 2" xfId="8470" xr:uid="{00000000-0005-0000-0000-00007B0E0000}"/>
    <cellStyle name="Normal 14 5 2 2 2" xfId="17796" xr:uid="{2FC055D8-403F-4B6C-ABAF-BA64EA01D1F2}"/>
    <cellStyle name="Normal 14 5 2 3" xfId="13579" xr:uid="{BC5B9C1C-2DD6-4ACD-B0EE-075C03A9CAC5}"/>
    <cellStyle name="Normal 14 5 3" xfId="6325" xr:uid="{00000000-0005-0000-0000-00007C0E0000}"/>
    <cellStyle name="Normal 14 5 3 2" xfId="15651" xr:uid="{95BFF702-BD46-4F4E-A74B-CBB199C1F7C3}"/>
    <cellStyle name="Normal 14 5 4" xfId="11434" xr:uid="{2BAE307A-94E4-443F-BB01-9BDC0B3C9966}"/>
    <cellStyle name="Normal 14 6" xfId="2455" xr:uid="{00000000-0005-0000-0000-00007D0E0000}"/>
    <cellStyle name="Normal 14 6 2" xfId="6738" xr:uid="{00000000-0005-0000-0000-00007E0E0000}"/>
    <cellStyle name="Normal 14 6 2 2" xfId="16064" xr:uid="{BEC1BC2E-5917-4519-AFA8-1CD261FEAE65}"/>
    <cellStyle name="Normal 14 6 3" xfId="11847" xr:uid="{E242324A-C838-45CA-8589-F77FB6D666A5}"/>
    <cellStyle name="Normal 14 7" xfId="4672" xr:uid="{00000000-0005-0000-0000-00007F0E0000}"/>
    <cellStyle name="Normal 14 7 2" xfId="13998" xr:uid="{779ACA5A-1AC9-4AED-8986-56F01189BAF9}"/>
    <cellStyle name="Normal 14 8" xfId="8946" xr:uid="{DD997A1C-6669-41AA-8AC1-78121AFC796C}"/>
    <cellStyle name="Normal 14 8 2" xfId="18270" xr:uid="{C61EFC2B-4635-4E09-B483-F89519C19EEA}"/>
    <cellStyle name="Normal 14 9" xfId="9781" xr:uid="{B804324D-FBE0-49A2-9951-A9DCBCC3CA3D}"/>
    <cellStyle name="Normal 15" xfId="4496" xr:uid="{00000000-0005-0000-0000-0000800E0000}"/>
    <cellStyle name="Normal 15 2" xfId="9578" xr:uid="{99513E76-E7E2-49D8-ADC5-F882C61FFC79}"/>
    <cellStyle name="Normal 15 2 2" xfId="18893" xr:uid="{B0AB395E-B855-4254-9530-0272566971FD}"/>
    <cellStyle name="Normal 15 3" xfId="9155" xr:uid="{47700DD8-A88A-4CB4-BFAD-BA75A2D4FC8E}"/>
    <cellStyle name="Normal 15 3 2" xfId="18477" xr:uid="{76408191-3A48-4F62-9493-9D305FB9ED50}"/>
    <cellStyle name="Normal 15 4" xfId="13824" xr:uid="{3EAF04D6-E1C1-47CE-B58C-1703B7D5D719}"/>
    <cellStyle name="Normal 16" xfId="4500" xr:uid="{00000000-0005-0000-0000-0000810E0000}"/>
    <cellStyle name="Normal 16 2" xfId="8715" xr:uid="{00000000-0005-0000-0000-0000820E0000}"/>
    <cellStyle name="Normal 16 2 2" xfId="18041" xr:uid="{35BFAFBF-4E67-40C7-9880-4049C39BC81A}"/>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8060" xr:uid="{5DF46A42-4D9B-464E-A9DC-8A7BF08CB8F2}"/>
    <cellStyle name="Normal 16 3 2 2 2 2 3" xfId="18057" xr:uid="{02D82274-572C-402B-98CE-483E8F55555E}"/>
    <cellStyle name="Normal 16 3 2 2 2 3" xfId="18054" xr:uid="{E279DB75-2176-4199-A63A-D7A8320E509E}"/>
    <cellStyle name="Normal 16 3 2 2 3" xfId="18050" xr:uid="{A8B3F555-271B-48A4-AA67-6E84418133C4}"/>
    <cellStyle name="Normal 16 3 2 3" xfId="18047" xr:uid="{798DF8D4-C1EF-4135-A7E6-BA769AABC8CF}"/>
    <cellStyle name="Normal 16 3 3" xfId="18044" xr:uid="{8BC4220F-FEEA-41DC-BFC1-F8FA3A8B4D77}"/>
    <cellStyle name="Normal 16 4" xfId="9612" xr:uid="{8729F6E8-3534-4DAE-B0B2-B2AF3CDCD313}"/>
    <cellStyle name="Normal 16 5" xfId="13827" xr:uid="{9E7FCF88-ECB3-4CA2-A083-38B43AF974FF}"/>
    <cellStyle name="Normal 17" xfId="8728" xr:uid="{3FF0972C-833B-4475-99D8-1A6907499E71}"/>
    <cellStyle name="Normal 17 2" xfId="9157" xr:uid="{6C872296-5E17-4821-9139-E52AD113B06C}"/>
    <cellStyle name="Normal 17 3" xfId="9154" xr:uid="{DC3FF210-EC1F-47CE-8CCE-F8F5460671B1}"/>
    <cellStyle name="Normal 17 4" xfId="18053" xr:uid="{36C6E525-BFB1-43C5-B8E5-B066C5925B5E}"/>
    <cellStyle name="Normal 18" xfId="9153" xr:uid="{EF04732C-9519-4C21-BD73-A108E18EA17F}"/>
    <cellStyle name="Normal 19" xfId="8739" xr:uid="{D907EBA7-1F94-4726-9ABB-7E7835FFF57E}"/>
    <cellStyle name="Normal 19 2" xfId="18063" xr:uid="{D2D30197-5CD0-45EC-B76C-C12003B5C006}"/>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2" xr:uid="{C26C7025-BE9A-47AB-863F-810B94ABE3EF}"/>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0E7E4D84-54AE-4958-9B44-2F137EF09C6B}"/>
    <cellStyle name="Normal 2 4 2 10 2 3" xfId="13580" xr:uid="{CD1DD868-8949-453C-8873-F67875D6A97E}"/>
    <cellStyle name="Normal 2 4 2 10 3" xfId="6326" xr:uid="{00000000-0005-0000-0000-0000910E0000}"/>
    <cellStyle name="Normal 2 4 2 10 3 2" xfId="15652" xr:uid="{8DECC321-5751-4818-A475-E99BA802EB0B}"/>
    <cellStyle name="Normal 2 4 2 10 4" xfId="11435" xr:uid="{B308FE8B-0F1D-44D3-9CFC-C48E7293AE31}"/>
    <cellStyle name="Normal 2 4 2 11" xfId="2456" xr:uid="{00000000-0005-0000-0000-0000920E0000}"/>
    <cellStyle name="Normal 2 4 2 11 2" xfId="6739" xr:uid="{00000000-0005-0000-0000-0000930E0000}"/>
    <cellStyle name="Normal 2 4 2 11 2 2" xfId="16065" xr:uid="{944C701B-749D-4A08-B0D4-BDDA93B89DDC}"/>
    <cellStyle name="Normal 2 4 2 11 3" xfId="11848" xr:uid="{7A269F97-A178-4274-991C-A5EEFA260A2E}"/>
    <cellStyle name="Normal 2 4 2 12" xfId="4673" xr:uid="{00000000-0005-0000-0000-0000940E0000}"/>
    <cellStyle name="Normal 2 4 2 12 2" xfId="13999" xr:uid="{FD48B3CE-83DD-48AC-98C9-D57AB0AE7CD5}"/>
    <cellStyle name="Normal 2 4 2 13" xfId="8757" xr:uid="{563A76DD-F7DD-49F0-A61E-0419F4C31301}"/>
    <cellStyle name="Normal 2 4 2 13 2" xfId="18081" xr:uid="{9D3D3311-00BC-4D93-B237-F47B3C70701B}"/>
    <cellStyle name="Normal 2 4 2 14" xfId="9782" xr:uid="{F8967E30-3E15-49B4-8B5B-1C2546003468}"/>
    <cellStyle name="Normal 2 4 2 2" xfId="280" xr:uid="{00000000-0005-0000-0000-0000950E0000}"/>
    <cellStyle name="Normal 2 4 2 3" xfId="281" xr:uid="{00000000-0005-0000-0000-0000960E0000}"/>
    <cellStyle name="Normal 2 4 2 3 10" xfId="4674" xr:uid="{00000000-0005-0000-0000-0000970E0000}"/>
    <cellStyle name="Normal 2 4 2 3 10 2" xfId="14000" xr:uid="{18DE1C77-4F81-40DF-8C4D-4C9E78A7F5D4}"/>
    <cellStyle name="Normal 2 4 2 3 11" xfId="8788" xr:uid="{EAD3D227-C8EF-4F54-8D24-EE1EA1F017BB}"/>
    <cellStyle name="Normal 2 4 2 3 11 2" xfId="18112" xr:uid="{BD94D6AC-EC51-4BCD-BB59-3C8A84CD27AE}"/>
    <cellStyle name="Normal 2 4 2 3 12" xfId="9783" xr:uid="{BD476A75-4C18-4D3B-94B8-B223D8A5BFEC}"/>
    <cellStyle name="Normal 2 4 2 3 2" xfId="282" xr:uid="{00000000-0005-0000-0000-0000980E0000}"/>
    <cellStyle name="Normal 2 4 2 3 2 10" xfId="8813" xr:uid="{C03AE35D-2438-4E07-AE9C-6D04EC6DA2B7}"/>
    <cellStyle name="Normal 2 4 2 3 2 10 2" xfId="18137" xr:uid="{4C40F936-9FD3-4BD4-A13C-2F139B28508B}"/>
    <cellStyle name="Normal 2 4 2 3 2 11" xfId="9784" xr:uid="{BA0928EA-BBBD-49B2-9443-9159E60E4472}"/>
    <cellStyle name="Normal 2 4 2 3 2 2" xfId="283" xr:uid="{00000000-0005-0000-0000-0000990E0000}"/>
    <cellStyle name="Normal 2 4 2 3 2 2 10" xfId="9785" xr:uid="{AE67D1F3-3279-4D67-800E-7AFFC84D3942}"/>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909796F4-224E-4D4C-B35D-D3D2AAF2B7BB}"/>
    <cellStyle name="Normal 2 4 2 3 2 2 2 2 2 3" xfId="12345" xr:uid="{A5AEE67C-92A3-4A5F-A18D-BDFC6D68B9E7}"/>
    <cellStyle name="Normal 2 4 2 3 2 2 2 2 3" xfId="5091" xr:uid="{00000000-0005-0000-0000-00009E0E0000}"/>
    <cellStyle name="Normal 2 4 2 3 2 2 2 2 3 2" xfId="14417" xr:uid="{242703F3-9708-4A8D-96F1-FF34DF600AFD}"/>
    <cellStyle name="Normal 2 4 2 3 2 2 2 2 4" xfId="9548" xr:uid="{29E7289E-B3F4-4F63-9B9C-B531B0E50CEB}"/>
    <cellStyle name="Normal 2 4 2 3 2 2 2 2 4 2" xfId="18863" xr:uid="{0C9D5E55-463C-473A-900B-D47674859F5C}"/>
    <cellStyle name="Normal 2 4 2 3 2 2 2 2 5" xfId="10200" xr:uid="{261CAB17-8A08-466E-9A06-3EDF78DFB39A}"/>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175EEE97-3B03-49F6-B914-FF60C717B29E}"/>
    <cellStyle name="Normal 2 4 2 3 2 2 2 3 2 3" xfId="12758" xr:uid="{F414667B-5558-44C7-BF63-977A4A11B1FD}"/>
    <cellStyle name="Normal 2 4 2 3 2 2 2 3 3" xfId="5504" xr:uid="{00000000-0005-0000-0000-0000A20E0000}"/>
    <cellStyle name="Normal 2 4 2 3 2 2 2 3 3 2" xfId="14830" xr:uid="{B557B662-518A-490C-BB63-ACDF6EFED4AC}"/>
    <cellStyle name="Normal 2 4 2 3 2 2 2 3 4" xfId="10613" xr:uid="{8CF60C96-8A6B-4C4C-835D-3DDC0A14416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A2588074-0E81-48B0-BD4C-59DE8ACDDFB3}"/>
    <cellStyle name="Normal 2 4 2 3 2 2 2 4 2 3" xfId="13171" xr:uid="{B07D84FB-D5EE-4E7B-BAD9-1B098E6F7A45}"/>
    <cellStyle name="Normal 2 4 2 3 2 2 2 4 3" xfId="5917" xr:uid="{00000000-0005-0000-0000-0000A60E0000}"/>
    <cellStyle name="Normal 2 4 2 3 2 2 2 4 3 2" xfId="15243" xr:uid="{4882C8E1-7B37-4688-B20D-061D46445F37}"/>
    <cellStyle name="Normal 2 4 2 3 2 2 2 4 4" xfId="11026" xr:uid="{F6274218-FCE6-476A-8AAD-78F628999417}"/>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3A90DB27-7C62-4187-9F1C-7E0B5B666472}"/>
    <cellStyle name="Normal 2 4 2 3 2 2 2 5 2 3" xfId="13584" xr:uid="{DD0B9F81-583F-432B-B4C5-2E3C85F11C34}"/>
    <cellStyle name="Normal 2 4 2 3 2 2 2 5 3" xfId="6330" xr:uid="{00000000-0005-0000-0000-0000AA0E0000}"/>
    <cellStyle name="Normal 2 4 2 3 2 2 2 5 3 2" xfId="15656" xr:uid="{91649EA7-FD70-4BA0-A222-544DBC268DBE}"/>
    <cellStyle name="Normal 2 4 2 3 2 2 2 5 4" xfId="11439" xr:uid="{A72F4704-811E-4A33-A99E-13166CF9C250}"/>
    <cellStyle name="Normal 2 4 2 3 2 2 2 6" xfId="2460" xr:uid="{00000000-0005-0000-0000-0000AB0E0000}"/>
    <cellStyle name="Normal 2 4 2 3 2 2 2 6 2" xfId="6743" xr:uid="{00000000-0005-0000-0000-0000AC0E0000}"/>
    <cellStyle name="Normal 2 4 2 3 2 2 2 6 2 2" xfId="16069" xr:uid="{4AA370DB-9BEE-41D4-A92F-9B8C013E9EB3}"/>
    <cellStyle name="Normal 2 4 2 3 2 2 2 6 3" xfId="11852" xr:uid="{A1B64CE3-F04E-4B39-868B-EA5F156E5C4A}"/>
    <cellStyle name="Normal 2 4 2 3 2 2 2 7" xfId="4677" xr:uid="{00000000-0005-0000-0000-0000AD0E0000}"/>
    <cellStyle name="Normal 2 4 2 3 2 2 2 7 2" xfId="14003" xr:uid="{AF16E381-8983-48AB-BE6E-D5A607EFF758}"/>
    <cellStyle name="Normal 2 4 2 3 2 2 2 8" xfId="9123" xr:uid="{9F0183A9-880D-46D9-BB7D-5696E4723F5F}"/>
    <cellStyle name="Normal 2 4 2 3 2 2 2 8 2" xfId="18447" xr:uid="{17D08725-296D-43E5-839A-F21A98DF0D0C}"/>
    <cellStyle name="Normal 2 4 2 3 2 2 2 9" xfId="9786" xr:uid="{38B36D02-59FA-4449-9A57-DF90E86D3597}"/>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98AEFC31-2045-4299-AF48-480C995EF400}"/>
    <cellStyle name="Normal 2 4 2 3 2 2 3 2 3" xfId="12344" xr:uid="{8B435511-194A-401A-B0AD-A1CB71561992}"/>
    <cellStyle name="Normal 2 4 2 3 2 2 3 3" xfId="5090" xr:uid="{00000000-0005-0000-0000-0000B10E0000}"/>
    <cellStyle name="Normal 2 4 2 3 2 2 3 3 2" xfId="14416" xr:uid="{DA9D99C9-8044-43AA-A899-E17938C5C11F}"/>
    <cellStyle name="Normal 2 4 2 3 2 2 3 4" xfId="9341" xr:uid="{4F113FF5-050D-47D1-A7D5-F829C93D993D}"/>
    <cellStyle name="Normal 2 4 2 3 2 2 3 4 2" xfId="18656" xr:uid="{3DEA1262-B477-4E87-9220-8A485218C529}"/>
    <cellStyle name="Normal 2 4 2 3 2 2 3 5" xfId="10199" xr:uid="{329E7FFC-3EF7-43EA-A6EE-F7FACF01869C}"/>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A6E7F305-009E-4D6A-9C4E-ADC7E76A5807}"/>
    <cellStyle name="Normal 2 4 2 3 2 2 4 2 3" xfId="12757" xr:uid="{BA85F55C-A9D1-4E29-A50B-FC4CE849FCAE}"/>
    <cellStyle name="Normal 2 4 2 3 2 2 4 3" xfId="5503" xr:uid="{00000000-0005-0000-0000-0000B50E0000}"/>
    <cellStyle name="Normal 2 4 2 3 2 2 4 3 2" xfId="14829" xr:uid="{F40D58DF-C028-4594-AFBE-3DA420D297AA}"/>
    <cellStyle name="Normal 2 4 2 3 2 2 4 4" xfId="10612" xr:uid="{55FF9901-C130-40DA-B4C4-30B6A7590274}"/>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EB7CEF9D-A126-4B69-A77D-3B6B7F5FAEE3}"/>
    <cellStyle name="Normal 2 4 2 3 2 2 5 2 3" xfId="13170" xr:uid="{C11A0FF9-3E72-4EC9-A3FC-C94DD12BAB78}"/>
    <cellStyle name="Normal 2 4 2 3 2 2 5 3" xfId="5916" xr:uid="{00000000-0005-0000-0000-0000B90E0000}"/>
    <cellStyle name="Normal 2 4 2 3 2 2 5 3 2" xfId="15242" xr:uid="{A0590304-ADBE-43D0-AC1C-1583F58E7938}"/>
    <cellStyle name="Normal 2 4 2 3 2 2 5 4" xfId="11025" xr:uid="{2F38D06D-C005-4D64-8E27-CA4C47D54748}"/>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55CAD9CB-E63B-4F43-8785-95AF7319C409}"/>
    <cellStyle name="Normal 2 4 2 3 2 2 6 2 3" xfId="13583" xr:uid="{25F19525-3707-4D0B-AA4E-D4309D25BE84}"/>
    <cellStyle name="Normal 2 4 2 3 2 2 6 3" xfId="6329" xr:uid="{00000000-0005-0000-0000-0000BD0E0000}"/>
    <cellStyle name="Normal 2 4 2 3 2 2 6 3 2" xfId="15655" xr:uid="{9E1B4020-D6A1-4D0C-97C6-DCCCAE261874}"/>
    <cellStyle name="Normal 2 4 2 3 2 2 6 4" xfId="11438" xr:uid="{35BF2108-C54F-4216-8D1E-9CF6B87C3223}"/>
    <cellStyle name="Normal 2 4 2 3 2 2 7" xfId="2459" xr:uid="{00000000-0005-0000-0000-0000BE0E0000}"/>
    <cellStyle name="Normal 2 4 2 3 2 2 7 2" xfId="6742" xr:uid="{00000000-0005-0000-0000-0000BF0E0000}"/>
    <cellStyle name="Normal 2 4 2 3 2 2 7 2 2" xfId="16068" xr:uid="{004A3CB8-1952-4137-A06E-F0F3F8C5C82B}"/>
    <cellStyle name="Normal 2 4 2 3 2 2 7 3" xfId="11851" xr:uid="{7845CE6E-F2F4-486B-96C9-3FD19AEC88CA}"/>
    <cellStyle name="Normal 2 4 2 3 2 2 8" xfId="4676" xr:uid="{00000000-0005-0000-0000-0000C00E0000}"/>
    <cellStyle name="Normal 2 4 2 3 2 2 8 2" xfId="14002" xr:uid="{49124D11-A9F2-4922-B0DC-387B4395F1A7}"/>
    <cellStyle name="Normal 2 4 2 3 2 2 9" xfId="8916" xr:uid="{1EF18CC7-44BB-43EB-8DB6-D193CEF128C1}"/>
    <cellStyle name="Normal 2 4 2 3 2 2 9 2" xfId="18240" xr:uid="{38EB90F3-8AE8-432C-B6F4-78957D7D4E2C}"/>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268C1006-1EC6-4BD4-84B9-591DD4A7C44D}"/>
    <cellStyle name="Normal 2 4 2 3 2 3 2 2 3" xfId="12346" xr:uid="{87C0EA07-20D8-4454-97CF-41DD8461F322}"/>
    <cellStyle name="Normal 2 4 2 3 2 3 2 3" xfId="5092" xr:uid="{00000000-0005-0000-0000-0000C50E0000}"/>
    <cellStyle name="Normal 2 4 2 3 2 3 2 3 2" xfId="14418" xr:uid="{3D6E2FBD-477F-4FA6-87FD-05C0BE26999D}"/>
    <cellStyle name="Normal 2 4 2 3 2 3 2 4" xfId="9445" xr:uid="{67F9E33C-8554-469D-8D7A-1147F632F3B0}"/>
    <cellStyle name="Normal 2 4 2 3 2 3 2 4 2" xfId="18760" xr:uid="{A803C88D-F067-4721-A3A2-A23CE0E16DB0}"/>
    <cellStyle name="Normal 2 4 2 3 2 3 2 5" xfId="10201" xr:uid="{CE10E0FF-CBE4-4E9E-8D4B-41CC0757260B}"/>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623ABA97-0B92-40EC-8570-8615B615D294}"/>
    <cellStyle name="Normal 2 4 2 3 2 3 3 2 3" xfId="12759" xr:uid="{77D28048-1085-4F96-AAA3-23E66F7B6EF9}"/>
    <cellStyle name="Normal 2 4 2 3 2 3 3 3" xfId="5505" xr:uid="{00000000-0005-0000-0000-0000C90E0000}"/>
    <cellStyle name="Normal 2 4 2 3 2 3 3 3 2" xfId="14831" xr:uid="{29BEC9B4-36A1-40DD-8C36-1FE021FE9440}"/>
    <cellStyle name="Normal 2 4 2 3 2 3 3 4" xfId="10614" xr:uid="{99CC6A74-17FF-43D7-AD5C-BC7CDBA822AB}"/>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B144A1D4-63EA-4F25-8797-61566AA94570}"/>
    <cellStyle name="Normal 2 4 2 3 2 3 4 2 3" xfId="13172" xr:uid="{B43E4373-2E33-4D41-8A90-EC60637F9A46}"/>
    <cellStyle name="Normal 2 4 2 3 2 3 4 3" xfId="5918" xr:uid="{00000000-0005-0000-0000-0000CD0E0000}"/>
    <cellStyle name="Normal 2 4 2 3 2 3 4 3 2" xfId="15244" xr:uid="{79DC3847-370C-450D-B04B-C6A6C77AD535}"/>
    <cellStyle name="Normal 2 4 2 3 2 3 4 4" xfId="11027" xr:uid="{942D4FE2-E5EC-4CB4-95E7-4AE13D4E64EC}"/>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0564699B-EC44-4E5F-8534-A52CF9473688}"/>
    <cellStyle name="Normal 2 4 2 3 2 3 5 2 3" xfId="13585" xr:uid="{AFA3FF8A-887B-4F81-89AA-2DC177D8BC5C}"/>
    <cellStyle name="Normal 2 4 2 3 2 3 5 3" xfId="6331" xr:uid="{00000000-0005-0000-0000-0000D10E0000}"/>
    <cellStyle name="Normal 2 4 2 3 2 3 5 3 2" xfId="15657" xr:uid="{6036C785-625E-474E-B3E8-4903C2E0ECC6}"/>
    <cellStyle name="Normal 2 4 2 3 2 3 5 4" xfId="11440" xr:uid="{1C9B58A6-9E50-40D5-A2DC-1139C9A18EF4}"/>
    <cellStyle name="Normal 2 4 2 3 2 3 6" xfId="2461" xr:uid="{00000000-0005-0000-0000-0000D20E0000}"/>
    <cellStyle name="Normal 2 4 2 3 2 3 6 2" xfId="6744" xr:uid="{00000000-0005-0000-0000-0000D30E0000}"/>
    <cellStyle name="Normal 2 4 2 3 2 3 6 2 2" xfId="16070" xr:uid="{A189D3B9-3C10-41B5-8B07-883062F75BC5}"/>
    <cellStyle name="Normal 2 4 2 3 2 3 6 3" xfId="11853" xr:uid="{F16E6C25-B262-4E35-857B-03381D97DC62}"/>
    <cellStyle name="Normal 2 4 2 3 2 3 7" xfId="4678" xr:uid="{00000000-0005-0000-0000-0000D40E0000}"/>
    <cellStyle name="Normal 2 4 2 3 2 3 7 2" xfId="14004" xr:uid="{C132EEEC-8D96-4985-90E7-F5F91D717A42}"/>
    <cellStyle name="Normal 2 4 2 3 2 3 8" xfId="9020" xr:uid="{5718F785-8E2C-4B45-91D1-4597173D90A6}"/>
    <cellStyle name="Normal 2 4 2 3 2 3 8 2" xfId="18344" xr:uid="{82E6FABC-C4AA-45FB-A094-EE90591C34F6}"/>
    <cellStyle name="Normal 2 4 2 3 2 3 9" xfId="9787" xr:uid="{8EC0A139-FEE4-427C-8E1D-DFDD6187CB9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59D8D766-3052-4F50-8F56-A56F3D46ACDD}"/>
    <cellStyle name="Normal 2 4 2 3 2 4 2 3" xfId="12343" xr:uid="{414A9B30-3DDC-47D0-B570-69F3A54E59BD}"/>
    <cellStyle name="Normal 2 4 2 3 2 4 3" xfId="5089" xr:uid="{00000000-0005-0000-0000-0000D80E0000}"/>
    <cellStyle name="Normal 2 4 2 3 2 4 3 2" xfId="14415" xr:uid="{F19EB035-8604-4EDB-938E-E999F17A9385}"/>
    <cellStyle name="Normal 2 4 2 3 2 4 4" xfId="9238" xr:uid="{BC6E5A3D-C256-46E9-A109-D643C24AA206}"/>
    <cellStyle name="Normal 2 4 2 3 2 4 4 2" xfId="18553" xr:uid="{C71A3EC5-473A-4A81-8D75-36C516EAB0FC}"/>
    <cellStyle name="Normal 2 4 2 3 2 4 5" xfId="10198" xr:uid="{568FB9FE-9C9E-4444-82C3-BA30BFE8FF2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800980C2-665C-4A56-B327-EB52EB482DF7}"/>
    <cellStyle name="Normal 2 4 2 3 2 5 2 3" xfId="12756" xr:uid="{359C71D9-C1AC-4980-BF1E-7DF208FF39F1}"/>
    <cellStyle name="Normal 2 4 2 3 2 5 3" xfId="5502" xr:uid="{00000000-0005-0000-0000-0000DC0E0000}"/>
    <cellStyle name="Normal 2 4 2 3 2 5 3 2" xfId="14828" xr:uid="{76E6EA0D-9CE0-4B30-9378-9005F95D3791}"/>
    <cellStyle name="Normal 2 4 2 3 2 5 4" xfId="10611" xr:uid="{AA065EE6-0595-40B6-A607-4693199CA6F2}"/>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0D820384-827A-4C74-BAD1-048AE9185BD3}"/>
    <cellStyle name="Normal 2 4 2 3 2 6 2 3" xfId="13169" xr:uid="{892052E8-8F3B-40A7-B07C-E976BC2E9AA0}"/>
    <cellStyle name="Normal 2 4 2 3 2 6 3" xfId="5915" xr:uid="{00000000-0005-0000-0000-0000E00E0000}"/>
    <cellStyle name="Normal 2 4 2 3 2 6 3 2" xfId="15241" xr:uid="{AA5F9B5C-56B1-4A33-95C9-D697D7F5BCEF}"/>
    <cellStyle name="Normal 2 4 2 3 2 6 4" xfId="11024" xr:uid="{E55367E2-EC3E-4D14-B477-26B6CDBBBEE4}"/>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532BED98-2F80-4F81-AD17-E6D3971DEBE7}"/>
    <cellStyle name="Normal 2 4 2 3 2 7 2 3" xfId="13582" xr:uid="{3E282A6A-F8A0-4D9C-9C05-61B99FB684D4}"/>
    <cellStyle name="Normal 2 4 2 3 2 7 3" xfId="6328" xr:uid="{00000000-0005-0000-0000-0000E40E0000}"/>
    <cellStyle name="Normal 2 4 2 3 2 7 3 2" xfId="15654" xr:uid="{02240494-446A-4857-AB8F-CF9248CC394C}"/>
    <cellStyle name="Normal 2 4 2 3 2 7 4" xfId="11437" xr:uid="{C8BEBC40-8077-4FE2-B32F-DCED0A6561C2}"/>
    <cellStyle name="Normal 2 4 2 3 2 8" xfId="2458" xr:uid="{00000000-0005-0000-0000-0000E50E0000}"/>
    <cellStyle name="Normal 2 4 2 3 2 8 2" xfId="6741" xr:uid="{00000000-0005-0000-0000-0000E60E0000}"/>
    <cellStyle name="Normal 2 4 2 3 2 8 2 2" xfId="16067" xr:uid="{E605AA0C-D662-4949-AAA9-36E54E82124B}"/>
    <cellStyle name="Normal 2 4 2 3 2 8 3" xfId="11850" xr:uid="{0954D624-48CA-44A4-A24E-8572E336BB7B}"/>
    <cellStyle name="Normal 2 4 2 3 2 9" xfId="4675" xr:uid="{00000000-0005-0000-0000-0000E70E0000}"/>
    <cellStyle name="Normal 2 4 2 3 2 9 2" xfId="14001" xr:uid="{B88DA478-B2C6-4D75-A20C-3B12F6B34165}"/>
    <cellStyle name="Normal 2 4 2 3 3" xfId="286" xr:uid="{00000000-0005-0000-0000-0000E80E0000}"/>
    <cellStyle name="Normal 2 4 2 3 3 10" xfId="9788" xr:uid="{8E63489C-8381-495A-8213-2A09A3F418B3}"/>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9CA40754-FA9F-42C4-9E1A-285A67CEC4F0}"/>
    <cellStyle name="Normal 2 4 2 3 3 2 2 2 3" xfId="12348" xr:uid="{F780072F-8148-4E5A-AC11-845067E87DC7}"/>
    <cellStyle name="Normal 2 4 2 3 3 2 2 3" xfId="5094" xr:uid="{00000000-0005-0000-0000-0000ED0E0000}"/>
    <cellStyle name="Normal 2 4 2 3 3 2 2 3 2" xfId="14420" xr:uid="{253C9825-71C8-49A8-89F9-0CD98790F48D}"/>
    <cellStyle name="Normal 2 4 2 3 3 2 2 4" xfId="9523" xr:uid="{49BCB42B-3FEB-4D87-8E20-52FE775F87DD}"/>
    <cellStyle name="Normal 2 4 2 3 3 2 2 4 2" xfId="18838" xr:uid="{F4542BFB-EA1F-4EF3-BE09-01B492C32800}"/>
    <cellStyle name="Normal 2 4 2 3 3 2 2 5" xfId="10203" xr:uid="{1D25DC73-5323-4630-81C6-320328E3C6A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3093B75F-7F23-4C60-BEA6-23C66CAB7E36}"/>
    <cellStyle name="Normal 2 4 2 3 3 2 3 2 3" xfId="12761" xr:uid="{C5EE8332-21D5-4330-88E6-E3D6C155478E}"/>
    <cellStyle name="Normal 2 4 2 3 3 2 3 3" xfId="5507" xr:uid="{00000000-0005-0000-0000-0000F10E0000}"/>
    <cellStyle name="Normal 2 4 2 3 3 2 3 3 2" xfId="14833" xr:uid="{873ACAFE-6767-449C-824C-D64766A3178A}"/>
    <cellStyle name="Normal 2 4 2 3 3 2 3 4" xfId="10616" xr:uid="{1F3DB74E-715A-423B-90AA-E413D7C7FC3D}"/>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73654472-36A0-4ECC-A2EC-F612F6849788}"/>
    <cellStyle name="Normal 2 4 2 3 3 2 4 2 3" xfId="13174" xr:uid="{F91F25EB-760A-42D4-90DE-8BA044809845}"/>
    <cellStyle name="Normal 2 4 2 3 3 2 4 3" xfId="5920" xr:uid="{00000000-0005-0000-0000-0000F50E0000}"/>
    <cellStyle name="Normal 2 4 2 3 3 2 4 3 2" xfId="15246" xr:uid="{9DB4B6DB-F263-48F2-9890-D68A193BAB77}"/>
    <cellStyle name="Normal 2 4 2 3 3 2 4 4" xfId="11029" xr:uid="{89CB2B30-D279-4ECF-997F-1DFEDB0CC6FE}"/>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90567138-E8A2-4E11-B58E-8B100F57B8BD}"/>
    <cellStyle name="Normal 2 4 2 3 3 2 5 2 3" xfId="13587" xr:uid="{D05F7EA3-ED91-457F-B16E-9580E3525F15}"/>
    <cellStyle name="Normal 2 4 2 3 3 2 5 3" xfId="6333" xr:uid="{00000000-0005-0000-0000-0000F90E0000}"/>
    <cellStyle name="Normal 2 4 2 3 3 2 5 3 2" xfId="15659" xr:uid="{92C894D4-0E77-412D-BFC9-B7995C891E0E}"/>
    <cellStyle name="Normal 2 4 2 3 3 2 5 4" xfId="11442" xr:uid="{2154A46D-4086-47C4-9B23-4D5811234685}"/>
    <cellStyle name="Normal 2 4 2 3 3 2 6" xfId="2463" xr:uid="{00000000-0005-0000-0000-0000FA0E0000}"/>
    <cellStyle name="Normal 2 4 2 3 3 2 6 2" xfId="6746" xr:uid="{00000000-0005-0000-0000-0000FB0E0000}"/>
    <cellStyle name="Normal 2 4 2 3 3 2 6 2 2" xfId="16072" xr:uid="{A6B0E031-3950-4DEF-BC9E-C6835B1277FD}"/>
    <cellStyle name="Normal 2 4 2 3 3 2 6 3" xfId="11855" xr:uid="{B9DF03A2-6C34-424B-86A3-187CC1BCE6D6}"/>
    <cellStyle name="Normal 2 4 2 3 3 2 7" xfId="4680" xr:uid="{00000000-0005-0000-0000-0000FC0E0000}"/>
    <cellStyle name="Normal 2 4 2 3 3 2 7 2" xfId="14006" xr:uid="{5D0AB1D9-09E2-4C6E-B9DA-0EC562340194}"/>
    <cellStyle name="Normal 2 4 2 3 3 2 8" xfId="9098" xr:uid="{15335B31-FFDD-479D-88EC-FAB83DC4E6EC}"/>
    <cellStyle name="Normal 2 4 2 3 3 2 8 2" xfId="18422" xr:uid="{E85B484A-C244-4353-ACC9-3877DB0CD6A4}"/>
    <cellStyle name="Normal 2 4 2 3 3 2 9" xfId="9789" xr:uid="{EB6A09C3-F74A-4A65-AD88-A7630E45DBD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7E6610D5-F056-4062-B61F-FFA8B8238773}"/>
    <cellStyle name="Normal 2 4 2 3 3 3 2 3" xfId="12347" xr:uid="{FCEC7776-4B1D-4E23-8926-23BD8B10593A}"/>
    <cellStyle name="Normal 2 4 2 3 3 3 3" xfId="5093" xr:uid="{00000000-0005-0000-0000-0000000F0000}"/>
    <cellStyle name="Normal 2 4 2 3 3 3 3 2" xfId="14419" xr:uid="{CF7A83E7-DA96-4B8B-8E36-A9D21348A16B}"/>
    <cellStyle name="Normal 2 4 2 3 3 3 4" xfId="9316" xr:uid="{C8C83D09-5A3A-4C90-8A04-9D7CD8C85B11}"/>
    <cellStyle name="Normal 2 4 2 3 3 3 4 2" xfId="18631" xr:uid="{53BD023C-D9B0-401A-844B-8A7C6D804925}"/>
    <cellStyle name="Normal 2 4 2 3 3 3 5" xfId="10202" xr:uid="{FA704E09-4F06-4216-9DE1-F0D8E881E0C4}"/>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8E638D91-29AD-4A64-BE78-7FBA9FC7EAC3}"/>
    <cellStyle name="Normal 2 4 2 3 3 4 2 3" xfId="12760" xr:uid="{D86ACD9F-B11F-4D48-BE78-FB01FDD2C212}"/>
    <cellStyle name="Normal 2 4 2 3 3 4 3" xfId="5506" xr:uid="{00000000-0005-0000-0000-0000040F0000}"/>
    <cellStyle name="Normal 2 4 2 3 3 4 3 2" xfId="14832" xr:uid="{3E44F56A-271A-401E-B3C6-09CCF0C18969}"/>
    <cellStyle name="Normal 2 4 2 3 3 4 4" xfId="10615" xr:uid="{81F36023-4323-4E02-B561-FF9F81476919}"/>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662E72A8-66AC-4992-A259-FFDC44D8ED9B}"/>
    <cellStyle name="Normal 2 4 2 3 3 5 2 3" xfId="13173" xr:uid="{8E0CD93A-F122-4C3D-834E-BBAD412E5138}"/>
    <cellStyle name="Normal 2 4 2 3 3 5 3" xfId="5919" xr:uid="{00000000-0005-0000-0000-0000080F0000}"/>
    <cellStyle name="Normal 2 4 2 3 3 5 3 2" xfId="15245" xr:uid="{B777ACC7-DE81-4875-B4F9-CEDDCE5C7748}"/>
    <cellStyle name="Normal 2 4 2 3 3 5 4" xfId="11028" xr:uid="{0DBD27B7-94C7-4D28-AD7A-E02348121156}"/>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E65D226B-BC5F-40FE-BE29-C9BAEE667A98}"/>
    <cellStyle name="Normal 2 4 2 3 3 6 2 3" xfId="13586" xr:uid="{C0DDA965-BE00-41BB-BB9A-53CB5EE54936}"/>
    <cellStyle name="Normal 2 4 2 3 3 6 3" xfId="6332" xr:uid="{00000000-0005-0000-0000-00000C0F0000}"/>
    <cellStyle name="Normal 2 4 2 3 3 6 3 2" xfId="15658" xr:uid="{B9CAB989-1104-4844-B1D1-946F4052488F}"/>
    <cellStyle name="Normal 2 4 2 3 3 6 4" xfId="11441" xr:uid="{DCE4CCF8-BF3F-4B7C-8B34-4A3D5563ADB3}"/>
    <cellStyle name="Normal 2 4 2 3 3 7" xfId="2462" xr:uid="{00000000-0005-0000-0000-00000D0F0000}"/>
    <cellStyle name="Normal 2 4 2 3 3 7 2" xfId="6745" xr:uid="{00000000-0005-0000-0000-00000E0F0000}"/>
    <cellStyle name="Normal 2 4 2 3 3 7 2 2" xfId="16071" xr:uid="{0922F433-0AAE-443E-9AF1-C059A248B1D4}"/>
    <cellStyle name="Normal 2 4 2 3 3 7 3" xfId="11854" xr:uid="{0FA1264B-8AF0-440E-B17D-1274836CFB96}"/>
    <cellStyle name="Normal 2 4 2 3 3 8" xfId="4679" xr:uid="{00000000-0005-0000-0000-00000F0F0000}"/>
    <cellStyle name="Normal 2 4 2 3 3 8 2" xfId="14005" xr:uid="{95BD0545-4A22-4362-AF37-AB1CE5EB9B5B}"/>
    <cellStyle name="Normal 2 4 2 3 3 9" xfId="8891" xr:uid="{D2DF60A1-A34B-4A3F-B29E-E581EFBA8360}"/>
    <cellStyle name="Normal 2 4 2 3 3 9 2" xfId="18215" xr:uid="{002412D4-D72D-43DB-ABE2-BCE4B358C881}"/>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0750D7FC-B4B2-4BC3-80D8-473C4F76CBD6}"/>
    <cellStyle name="Normal 2 4 2 3 4 2 2 3" xfId="12349" xr:uid="{9BBA90F5-5B82-4680-BEFA-7B68529A17D5}"/>
    <cellStyle name="Normal 2 4 2 3 4 2 3" xfId="5095" xr:uid="{00000000-0005-0000-0000-0000140F0000}"/>
    <cellStyle name="Normal 2 4 2 3 4 2 3 2" xfId="14421" xr:uid="{3F6123C8-2A2D-4681-9F3E-80B90E5427A7}"/>
    <cellStyle name="Normal 2 4 2 3 4 2 4" xfId="9420" xr:uid="{49E252B3-99BC-416A-A0CB-FE2641ECFDE3}"/>
    <cellStyle name="Normal 2 4 2 3 4 2 4 2" xfId="18735" xr:uid="{C8252202-846C-4212-83EC-CDBC29BD562E}"/>
    <cellStyle name="Normal 2 4 2 3 4 2 5" xfId="10204" xr:uid="{7C3008BF-F649-42DE-9CE2-727149E42E88}"/>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B2AA3FF4-298A-4849-AD06-14E870DD3596}"/>
    <cellStyle name="Normal 2 4 2 3 4 3 2 3" xfId="12762" xr:uid="{8886738F-9DB4-4BE7-B17E-E9792879A84C}"/>
    <cellStyle name="Normal 2 4 2 3 4 3 3" xfId="5508" xr:uid="{00000000-0005-0000-0000-0000180F0000}"/>
    <cellStyle name="Normal 2 4 2 3 4 3 3 2" xfId="14834" xr:uid="{59BF748E-3C0F-4836-A856-7E6DACE8DD81}"/>
    <cellStyle name="Normal 2 4 2 3 4 3 4" xfId="10617" xr:uid="{A4A0D4B0-A1CE-4621-AC0C-4A7B3545F40C}"/>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ABBD5161-47C3-4038-B95F-59265C2F2675}"/>
    <cellStyle name="Normal 2 4 2 3 4 4 2 3" xfId="13175" xr:uid="{64F44B8D-7AC8-46D2-88AE-4D3EE219B780}"/>
    <cellStyle name="Normal 2 4 2 3 4 4 3" xfId="5921" xr:uid="{00000000-0005-0000-0000-00001C0F0000}"/>
    <cellStyle name="Normal 2 4 2 3 4 4 3 2" xfId="15247" xr:uid="{65680578-0EF8-4ACD-9545-17267BB1B785}"/>
    <cellStyle name="Normal 2 4 2 3 4 4 4" xfId="11030" xr:uid="{14A80D1B-EF68-4D1E-A226-06FE0F44E4CB}"/>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D81F2D5C-E6FD-4E16-B50C-E6E7206CB313}"/>
    <cellStyle name="Normal 2 4 2 3 4 5 2 3" xfId="13588" xr:uid="{7DCDAF06-0167-4F00-89C6-0A439390C7E6}"/>
    <cellStyle name="Normal 2 4 2 3 4 5 3" xfId="6334" xr:uid="{00000000-0005-0000-0000-0000200F0000}"/>
    <cellStyle name="Normal 2 4 2 3 4 5 3 2" xfId="15660" xr:uid="{71FFE5E9-8DE6-4A12-9D69-16880607B9B7}"/>
    <cellStyle name="Normal 2 4 2 3 4 5 4" xfId="11443" xr:uid="{68EE58BA-17BD-4168-9071-4927BB525117}"/>
    <cellStyle name="Normal 2 4 2 3 4 6" xfId="2464" xr:uid="{00000000-0005-0000-0000-0000210F0000}"/>
    <cellStyle name="Normal 2 4 2 3 4 6 2" xfId="6747" xr:uid="{00000000-0005-0000-0000-0000220F0000}"/>
    <cellStyle name="Normal 2 4 2 3 4 6 2 2" xfId="16073" xr:uid="{4B23A01F-68F5-4C95-9602-AE9404CFA3ED}"/>
    <cellStyle name="Normal 2 4 2 3 4 6 3" xfId="11856" xr:uid="{66B5ED92-59E0-4865-97C5-55B1FB00FB8F}"/>
    <cellStyle name="Normal 2 4 2 3 4 7" xfId="4681" xr:uid="{00000000-0005-0000-0000-0000230F0000}"/>
    <cellStyle name="Normal 2 4 2 3 4 7 2" xfId="14007" xr:uid="{EDF11A8B-3D81-4838-BA29-736EF95A5B91}"/>
    <cellStyle name="Normal 2 4 2 3 4 8" xfId="8995" xr:uid="{EEE25A27-4C18-4948-8341-FF27707A7A86}"/>
    <cellStyle name="Normal 2 4 2 3 4 8 2" xfId="18319" xr:uid="{7C42469A-D0A1-4F1D-8E7D-3A0F6F2095F3}"/>
    <cellStyle name="Normal 2 4 2 3 4 9" xfId="9790" xr:uid="{7AD664D6-65DE-4EEE-B2C7-4539F7F8CD33}"/>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9879038B-C676-4C74-92C1-9013DEFD230B}"/>
    <cellStyle name="Normal 2 4 2 3 5 2 3" xfId="12342" xr:uid="{13DB427A-61F3-4E17-9DA8-5251191664F7}"/>
    <cellStyle name="Normal 2 4 2 3 5 3" xfId="5088" xr:uid="{00000000-0005-0000-0000-0000270F0000}"/>
    <cellStyle name="Normal 2 4 2 3 5 3 2" xfId="14414" xr:uid="{DC8BADB3-B98E-49CC-9C4A-470A1F5E24AB}"/>
    <cellStyle name="Normal 2 4 2 3 5 4" xfId="9212" xr:uid="{39F1BF9F-C79C-4226-B2D8-665EAA6F3686}"/>
    <cellStyle name="Normal 2 4 2 3 5 4 2" xfId="18528" xr:uid="{8802700F-D7F3-40ED-A7F7-48CF706CA22A}"/>
    <cellStyle name="Normal 2 4 2 3 5 5" xfId="10197" xr:uid="{B3A7A28D-81BE-4A07-8A3B-B29AE1655F67}"/>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D4374BF0-C977-44D2-AB17-435928C99CB1}"/>
    <cellStyle name="Normal 2 4 2 3 6 2 3" xfId="12755" xr:uid="{F117D5F5-7A68-4059-8973-B016D59B7D4C}"/>
    <cellStyle name="Normal 2 4 2 3 6 3" xfId="5501" xr:uid="{00000000-0005-0000-0000-00002B0F0000}"/>
    <cellStyle name="Normal 2 4 2 3 6 3 2" xfId="14827" xr:uid="{AA4CA561-53A0-494F-A6B4-C2331B0F1626}"/>
    <cellStyle name="Normal 2 4 2 3 6 4" xfId="10610" xr:uid="{05033CF8-4ADA-464E-BF67-D6C398FEF1F6}"/>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8BF943EF-6AC3-4E1A-93C6-82CA98A203E0}"/>
    <cellStyle name="Normal 2 4 2 3 7 2 3" xfId="13168" xr:uid="{D1BDFC66-5D5E-49ED-B831-72C2CF57E81B}"/>
    <cellStyle name="Normal 2 4 2 3 7 3" xfId="5914" xr:uid="{00000000-0005-0000-0000-00002F0F0000}"/>
    <cellStyle name="Normal 2 4 2 3 7 3 2" xfId="15240" xr:uid="{EA1B1F77-7570-4C57-B91F-E304BD30F190}"/>
    <cellStyle name="Normal 2 4 2 3 7 4" xfId="11023" xr:uid="{7DCE05F4-CC7B-4836-ACA1-DDA8F7C44FFC}"/>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AA8A5DA8-A969-4BB8-B89C-0526483F2804}"/>
    <cellStyle name="Normal 2 4 2 3 8 2 3" xfId="13581" xr:uid="{58B89E33-4BFC-4286-A451-DAA29AD6EEEA}"/>
    <cellStyle name="Normal 2 4 2 3 8 3" xfId="6327" xr:uid="{00000000-0005-0000-0000-0000330F0000}"/>
    <cellStyle name="Normal 2 4 2 3 8 3 2" xfId="15653" xr:uid="{E90E8E18-88B9-47E1-AF82-9CA1A2E6B625}"/>
    <cellStyle name="Normal 2 4 2 3 8 4" xfId="11436" xr:uid="{C8999D7B-A305-4865-9399-53A85F7F1FB7}"/>
    <cellStyle name="Normal 2 4 2 3 9" xfId="2457" xr:uid="{00000000-0005-0000-0000-0000340F0000}"/>
    <cellStyle name="Normal 2 4 2 3 9 2" xfId="6740" xr:uid="{00000000-0005-0000-0000-0000350F0000}"/>
    <cellStyle name="Normal 2 4 2 3 9 2 2" xfId="16066" xr:uid="{065339CC-223E-46F6-9DE4-1AC3E9612709}"/>
    <cellStyle name="Normal 2 4 2 3 9 3" xfId="11849" xr:uid="{943578E4-0191-4E51-9201-DD7FCE92EB41}"/>
    <cellStyle name="Normal 2 4 2 4" xfId="289" xr:uid="{00000000-0005-0000-0000-0000360F0000}"/>
    <cellStyle name="Normal 2 4 2 4 10" xfId="8812" xr:uid="{C2E08BA7-2068-4F74-AFE2-E0AED0B82FE2}"/>
    <cellStyle name="Normal 2 4 2 4 10 2" xfId="18136" xr:uid="{4898DBAD-049A-4FD5-A515-1EBB28029B0E}"/>
    <cellStyle name="Normal 2 4 2 4 11" xfId="9791" xr:uid="{8E561EA9-8782-4A01-AB31-572A1C4B0B45}"/>
    <cellStyle name="Normal 2 4 2 4 2" xfId="290" xr:uid="{00000000-0005-0000-0000-0000370F0000}"/>
    <cellStyle name="Normal 2 4 2 4 2 10" xfId="9792" xr:uid="{111F5716-C9E2-4BBD-A16F-75F846E27377}"/>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FB9351CF-5CE5-4165-8982-C87014E19A76}"/>
    <cellStyle name="Normal 2 4 2 4 2 2 2 2 3" xfId="12352" xr:uid="{67B9D7B9-FD1B-48D9-AE95-856C39F1E30D}"/>
    <cellStyle name="Normal 2 4 2 4 2 2 2 3" xfId="5098" xr:uid="{00000000-0005-0000-0000-00003C0F0000}"/>
    <cellStyle name="Normal 2 4 2 4 2 2 2 3 2" xfId="14424" xr:uid="{17C27589-0884-4A83-AC5A-87CE2F797AB3}"/>
    <cellStyle name="Normal 2 4 2 4 2 2 2 4" xfId="9547" xr:uid="{F8909421-8B16-4168-8B85-A5523C430C3C}"/>
    <cellStyle name="Normal 2 4 2 4 2 2 2 4 2" xfId="18862" xr:uid="{BBECEC99-1349-4B22-A8B2-B87EE6CC3064}"/>
    <cellStyle name="Normal 2 4 2 4 2 2 2 5" xfId="10207" xr:uid="{167CB351-4740-45DE-9603-E76576E88784}"/>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77A5BD2D-6B3A-4CF0-AB54-66C3A08B8499}"/>
    <cellStyle name="Normal 2 4 2 4 2 2 3 2 3" xfId="12765" xr:uid="{69B367AC-B5AF-467B-915E-0650B1E4F8DF}"/>
    <cellStyle name="Normal 2 4 2 4 2 2 3 3" xfId="5511" xr:uid="{00000000-0005-0000-0000-0000400F0000}"/>
    <cellStyle name="Normal 2 4 2 4 2 2 3 3 2" xfId="14837" xr:uid="{C4799305-A258-4B75-BFF9-6CB180C06997}"/>
    <cellStyle name="Normal 2 4 2 4 2 2 3 4" xfId="10620" xr:uid="{E363A1B6-06FD-41C1-A233-74F153F761FC}"/>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56328F92-61ED-4BA9-9128-A44125E8AEA1}"/>
    <cellStyle name="Normal 2 4 2 4 2 2 4 2 3" xfId="13178" xr:uid="{D081AE7F-00B4-4C92-985B-088E27816FB8}"/>
    <cellStyle name="Normal 2 4 2 4 2 2 4 3" xfId="5924" xr:uid="{00000000-0005-0000-0000-0000440F0000}"/>
    <cellStyle name="Normal 2 4 2 4 2 2 4 3 2" xfId="15250" xr:uid="{395C8625-A014-4B59-B643-A74B17C32D89}"/>
    <cellStyle name="Normal 2 4 2 4 2 2 4 4" xfId="11033" xr:uid="{B4DD2144-E206-46E4-86FB-6349FAFEC455}"/>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C13B1D61-1F5D-4DAB-A518-1BAACE43117F}"/>
    <cellStyle name="Normal 2 4 2 4 2 2 5 2 3" xfId="13591" xr:uid="{74F48618-08E9-4F35-A17A-E3419082A418}"/>
    <cellStyle name="Normal 2 4 2 4 2 2 5 3" xfId="6337" xr:uid="{00000000-0005-0000-0000-0000480F0000}"/>
    <cellStyle name="Normal 2 4 2 4 2 2 5 3 2" xfId="15663" xr:uid="{636EC50E-087C-43C4-AED1-41B87688FE9A}"/>
    <cellStyle name="Normal 2 4 2 4 2 2 5 4" xfId="11446" xr:uid="{CD100045-5C51-4193-8A41-8B65F1EDFC1A}"/>
    <cellStyle name="Normal 2 4 2 4 2 2 6" xfId="2467" xr:uid="{00000000-0005-0000-0000-0000490F0000}"/>
    <cellStyle name="Normal 2 4 2 4 2 2 6 2" xfId="6750" xr:uid="{00000000-0005-0000-0000-00004A0F0000}"/>
    <cellStyle name="Normal 2 4 2 4 2 2 6 2 2" xfId="16076" xr:uid="{DCAAFB72-ED06-42C8-A1EE-5618B52594BB}"/>
    <cellStyle name="Normal 2 4 2 4 2 2 6 3" xfId="11859" xr:uid="{821E1B44-FD8A-4345-9279-1E900AEF0AE9}"/>
    <cellStyle name="Normal 2 4 2 4 2 2 7" xfId="4684" xr:uid="{00000000-0005-0000-0000-00004B0F0000}"/>
    <cellStyle name="Normal 2 4 2 4 2 2 7 2" xfId="14010" xr:uid="{FC94A6F8-8F9D-4DBA-95D8-965DD724CBFD}"/>
    <cellStyle name="Normal 2 4 2 4 2 2 8" xfId="9122" xr:uid="{861CB008-611F-4F3F-9D09-5BCA5A4CB255}"/>
    <cellStyle name="Normal 2 4 2 4 2 2 8 2" xfId="18446" xr:uid="{FF1F4749-F40E-42E1-80CD-67D5F1BD3247}"/>
    <cellStyle name="Normal 2 4 2 4 2 2 9" xfId="9793" xr:uid="{EF81CC65-1AB3-4DBD-A1DD-2855A6F6B163}"/>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4C12C354-D263-440F-A0F4-D5049948A991}"/>
    <cellStyle name="Normal 2 4 2 4 2 3 2 3" xfId="12351" xr:uid="{3C713C5C-DEC6-47B6-96D7-6358BEDA704C}"/>
    <cellStyle name="Normal 2 4 2 4 2 3 3" xfId="5097" xr:uid="{00000000-0005-0000-0000-00004F0F0000}"/>
    <cellStyle name="Normal 2 4 2 4 2 3 3 2" xfId="14423" xr:uid="{84E3E831-6F24-4650-B007-196C7F9FD888}"/>
    <cellStyle name="Normal 2 4 2 4 2 3 4" xfId="9340" xr:uid="{2D1F2F91-F6E8-42AC-98D0-B8667E0ECE37}"/>
    <cellStyle name="Normal 2 4 2 4 2 3 4 2" xfId="18655" xr:uid="{22DB5346-C122-4765-86DD-23781C3A5844}"/>
    <cellStyle name="Normal 2 4 2 4 2 3 5" xfId="10206" xr:uid="{C1CED9A8-7DA5-49E5-9642-E2ACEB988076}"/>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15EB76FF-C246-4622-825A-2BF3B1492AE6}"/>
    <cellStyle name="Normal 2 4 2 4 2 4 2 3" xfId="12764" xr:uid="{2056A7D1-16B4-4C77-B36C-9B7C574D7CF7}"/>
    <cellStyle name="Normal 2 4 2 4 2 4 3" xfId="5510" xr:uid="{00000000-0005-0000-0000-0000530F0000}"/>
    <cellStyle name="Normal 2 4 2 4 2 4 3 2" xfId="14836" xr:uid="{82368C52-2514-49B1-A16C-83E03B1479E8}"/>
    <cellStyle name="Normal 2 4 2 4 2 4 4" xfId="10619" xr:uid="{1EC47F9B-0816-4395-91FB-9FFCF8E3AD7E}"/>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A2BE0857-3497-45C9-8E17-152407C1D153}"/>
    <cellStyle name="Normal 2 4 2 4 2 5 2 3" xfId="13177" xr:uid="{47A06374-F392-4723-97BC-6BFF43132976}"/>
    <cellStyle name="Normal 2 4 2 4 2 5 3" xfId="5923" xr:uid="{00000000-0005-0000-0000-0000570F0000}"/>
    <cellStyle name="Normal 2 4 2 4 2 5 3 2" xfId="15249" xr:uid="{A93558DA-5359-4056-98B8-677852CE9952}"/>
    <cellStyle name="Normal 2 4 2 4 2 5 4" xfId="11032" xr:uid="{F226B94A-2231-4FE7-BAD8-E5E2B380C6AF}"/>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3D91DF5A-6151-44EF-A9CB-C04D7779AF8A}"/>
    <cellStyle name="Normal 2 4 2 4 2 6 2 3" xfId="13590" xr:uid="{DD7D6EEE-FB79-42AC-B5E6-4C8CCB9C1081}"/>
    <cellStyle name="Normal 2 4 2 4 2 6 3" xfId="6336" xr:uid="{00000000-0005-0000-0000-00005B0F0000}"/>
    <cellStyle name="Normal 2 4 2 4 2 6 3 2" xfId="15662" xr:uid="{9422FC45-4E07-4CD7-82E7-D4C4F1E2F123}"/>
    <cellStyle name="Normal 2 4 2 4 2 6 4" xfId="11445" xr:uid="{DDCCC0CD-07B1-42D5-A7CB-74400BE1909D}"/>
    <cellStyle name="Normal 2 4 2 4 2 7" xfId="2466" xr:uid="{00000000-0005-0000-0000-00005C0F0000}"/>
    <cellStyle name="Normal 2 4 2 4 2 7 2" xfId="6749" xr:uid="{00000000-0005-0000-0000-00005D0F0000}"/>
    <cellStyle name="Normal 2 4 2 4 2 7 2 2" xfId="16075" xr:uid="{C125B9DE-1FA1-4F76-B690-BF83B6891D00}"/>
    <cellStyle name="Normal 2 4 2 4 2 7 3" xfId="11858" xr:uid="{6A211A77-2B81-46E0-9758-489CD57B82A8}"/>
    <cellStyle name="Normal 2 4 2 4 2 8" xfId="4683" xr:uid="{00000000-0005-0000-0000-00005E0F0000}"/>
    <cellStyle name="Normal 2 4 2 4 2 8 2" xfId="14009" xr:uid="{317BA7D3-2EE1-4988-A066-CEC1C6A311DC}"/>
    <cellStyle name="Normal 2 4 2 4 2 9" xfId="8915" xr:uid="{2BEB15AA-2AFA-47D4-AC0E-63DAF2CFE119}"/>
    <cellStyle name="Normal 2 4 2 4 2 9 2" xfId="18239" xr:uid="{FE0E16C8-1136-451C-AB58-E33C518363CC}"/>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0E2FCBC2-CD08-4949-BF32-925896749E16}"/>
    <cellStyle name="Normal 2 4 2 4 3 2 2 3" xfId="12353" xr:uid="{EE3E97BD-72C6-4F93-8C90-2B564AEA8179}"/>
    <cellStyle name="Normal 2 4 2 4 3 2 3" xfId="5099" xr:uid="{00000000-0005-0000-0000-0000630F0000}"/>
    <cellStyle name="Normal 2 4 2 4 3 2 3 2" xfId="14425" xr:uid="{5CFD7EB0-0257-4A21-BABA-C463F4EF4638}"/>
    <cellStyle name="Normal 2 4 2 4 3 2 4" xfId="9444" xr:uid="{807939DF-E7C0-4015-A3D8-AE9E56020172}"/>
    <cellStyle name="Normal 2 4 2 4 3 2 4 2" xfId="18759" xr:uid="{1974158A-4B78-4B94-8717-348DC4531495}"/>
    <cellStyle name="Normal 2 4 2 4 3 2 5" xfId="10208" xr:uid="{1829F68D-D8E8-4BC6-9D70-3BB99FA1CDCD}"/>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2062024A-B81F-4C65-A990-871D54F01BF3}"/>
    <cellStyle name="Normal 2 4 2 4 3 3 2 3" xfId="12766" xr:uid="{613B3679-8951-46A9-8EC4-2C7276D953B1}"/>
    <cellStyle name="Normal 2 4 2 4 3 3 3" xfId="5512" xr:uid="{00000000-0005-0000-0000-0000670F0000}"/>
    <cellStyle name="Normal 2 4 2 4 3 3 3 2" xfId="14838" xr:uid="{70E843E8-46CD-4B0C-896F-54954001DD7A}"/>
    <cellStyle name="Normal 2 4 2 4 3 3 4" xfId="10621" xr:uid="{8AE70C2A-4B60-43AE-BB8A-E734EE278C6A}"/>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9A39DDC5-4558-407F-B619-3DCC41E536D7}"/>
    <cellStyle name="Normal 2 4 2 4 3 4 2 3" xfId="13179" xr:uid="{86B959B5-87C1-427A-9857-B722F46ECBDA}"/>
    <cellStyle name="Normal 2 4 2 4 3 4 3" xfId="5925" xr:uid="{00000000-0005-0000-0000-00006B0F0000}"/>
    <cellStyle name="Normal 2 4 2 4 3 4 3 2" xfId="15251" xr:uid="{DBD86088-EFFA-4757-B2C3-84B34005A79E}"/>
    <cellStyle name="Normal 2 4 2 4 3 4 4" xfId="11034" xr:uid="{FEC36F08-F12F-483E-BA8D-9B5C18B4870B}"/>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52614FEF-26CB-47BF-AC6E-6ADA9A61C657}"/>
    <cellStyle name="Normal 2 4 2 4 3 5 2 3" xfId="13592" xr:uid="{8D75EE2E-001A-485C-A7F8-BCF866619D42}"/>
    <cellStyle name="Normal 2 4 2 4 3 5 3" xfId="6338" xr:uid="{00000000-0005-0000-0000-00006F0F0000}"/>
    <cellStyle name="Normal 2 4 2 4 3 5 3 2" xfId="15664" xr:uid="{5310A456-47DA-4914-9951-361D6CB9C7AB}"/>
    <cellStyle name="Normal 2 4 2 4 3 5 4" xfId="11447" xr:uid="{F2EA9478-FB7E-4766-ADF3-A0697ED2802E}"/>
    <cellStyle name="Normal 2 4 2 4 3 6" xfId="2468" xr:uid="{00000000-0005-0000-0000-0000700F0000}"/>
    <cellStyle name="Normal 2 4 2 4 3 6 2" xfId="6751" xr:uid="{00000000-0005-0000-0000-0000710F0000}"/>
    <cellStyle name="Normal 2 4 2 4 3 6 2 2" xfId="16077" xr:uid="{BED4E2A0-231E-4E2E-98F2-8586F7464C6A}"/>
    <cellStyle name="Normal 2 4 2 4 3 6 3" xfId="11860" xr:uid="{CDF46B9E-3EFE-407F-88E1-615F02BB8FE1}"/>
    <cellStyle name="Normal 2 4 2 4 3 7" xfId="4685" xr:uid="{00000000-0005-0000-0000-0000720F0000}"/>
    <cellStyle name="Normal 2 4 2 4 3 7 2" xfId="14011" xr:uid="{4A59E61A-9C05-4E49-B8D2-7F2947B63311}"/>
    <cellStyle name="Normal 2 4 2 4 3 8" xfId="9019" xr:uid="{1F22810F-FF7D-4FF4-861A-F2BA8F253428}"/>
    <cellStyle name="Normal 2 4 2 4 3 8 2" xfId="18343" xr:uid="{61DA64EA-0B15-4D74-AEE0-22D4E973700B}"/>
    <cellStyle name="Normal 2 4 2 4 3 9" xfId="9794" xr:uid="{B06557F6-D9CC-413F-A014-90541BFB195C}"/>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4B7188DF-8440-4AA9-8108-65C9270E0C9D}"/>
    <cellStyle name="Normal 2 4 2 4 4 2 3" xfId="12350" xr:uid="{B5E82113-B12C-480A-81C5-C00794860449}"/>
    <cellStyle name="Normal 2 4 2 4 4 3" xfId="5096" xr:uid="{00000000-0005-0000-0000-0000760F0000}"/>
    <cellStyle name="Normal 2 4 2 4 4 3 2" xfId="14422" xr:uid="{3D1B6891-26D5-475F-8898-67ABA5CC0C1D}"/>
    <cellStyle name="Normal 2 4 2 4 4 4" xfId="9237" xr:uid="{FF4B133D-A40B-4895-9E3D-E727B18E66C8}"/>
    <cellStyle name="Normal 2 4 2 4 4 4 2" xfId="18552" xr:uid="{00471E6D-637D-447C-A706-FEACD0BD55DA}"/>
    <cellStyle name="Normal 2 4 2 4 4 5" xfId="10205" xr:uid="{FF553C59-08E6-405B-853F-5E7354B7012D}"/>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6F18AD71-C91A-4872-9004-282C67C66249}"/>
    <cellStyle name="Normal 2 4 2 4 5 2 3" xfId="12763" xr:uid="{75C47A64-276B-484F-B06D-BAB989DB3234}"/>
    <cellStyle name="Normal 2 4 2 4 5 3" xfId="5509" xr:uid="{00000000-0005-0000-0000-00007A0F0000}"/>
    <cellStyle name="Normal 2 4 2 4 5 3 2" xfId="14835" xr:uid="{DE17C682-320B-40D3-B3C4-D90DF9AC685A}"/>
    <cellStyle name="Normal 2 4 2 4 5 4" xfId="10618" xr:uid="{5DE74168-4880-4D8F-859E-A360AD6EF9CF}"/>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449E2BC7-0F96-4B04-915B-6898095CD8B3}"/>
    <cellStyle name="Normal 2 4 2 4 6 2 3" xfId="13176" xr:uid="{738688C1-0819-44BC-AE6C-7CB40023664D}"/>
    <cellStyle name="Normal 2 4 2 4 6 3" xfId="5922" xr:uid="{00000000-0005-0000-0000-00007E0F0000}"/>
    <cellStyle name="Normal 2 4 2 4 6 3 2" xfId="15248" xr:uid="{211F8BA0-DBA1-44A7-BDA6-334CA5D9F5AB}"/>
    <cellStyle name="Normal 2 4 2 4 6 4" xfId="11031" xr:uid="{9E8B37F6-9D39-45AB-AD4A-D31D892C0E56}"/>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4DCD3F9B-8876-45A6-AA6D-012E5F15CB84}"/>
    <cellStyle name="Normal 2 4 2 4 7 2 3" xfId="13589" xr:uid="{0C055E7B-3012-412A-868D-0E2B1245886E}"/>
    <cellStyle name="Normal 2 4 2 4 7 3" xfId="6335" xr:uid="{00000000-0005-0000-0000-0000820F0000}"/>
    <cellStyle name="Normal 2 4 2 4 7 3 2" xfId="15661" xr:uid="{1B677F41-1FED-43D0-A4D4-A57B78CFA096}"/>
    <cellStyle name="Normal 2 4 2 4 7 4" xfId="11444" xr:uid="{A04CCEAE-754A-4557-839A-366A3AE0BF5A}"/>
    <cellStyle name="Normal 2 4 2 4 8" xfId="2465" xr:uid="{00000000-0005-0000-0000-0000830F0000}"/>
    <cellStyle name="Normal 2 4 2 4 8 2" xfId="6748" xr:uid="{00000000-0005-0000-0000-0000840F0000}"/>
    <cellStyle name="Normal 2 4 2 4 8 2 2" xfId="16074" xr:uid="{6D208C01-56FC-415F-9498-8204FE6DF084}"/>
    <cellStyle name="Normal 2 4 2 4 8 3" xfId="11857" xr:uid="{8C5D050F-F0F4-4FA4-8C6E-EBECAE910A32}"/>
    <cellStyle name="Normal 2 4 2 4 9" xfId="4682" xr:uid="{00000000-0005-0000-0000-0000850F0000}"/>
    <cellStyle name="Normal 2 4 2 4 9 2" xfId="14008" xr:uid="{9CD3B617-0547-4EA6-B335-ADEDC425A606}"/>
    <cellStyle name="Normal 2 4 2 5" xfId="293" xr:uid="{00000000-0005-0000-0000-0000860F0000}"/>
    <cellStyle name="Normal 2 4 2 5 10" xfId="9795" xr:uid="{ED476EE6-05C0-40D7-9CDE-E375EC0C448C}"/>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76558BE6-2F65-441A-B98F-CE2EF72EC42E}"/>
    <cellStyle name="Normal 2 4 2 5 2 2 2 3" xfId="12355" xr:uid="{FA249140-4E00-4FED-AF90-CC99A87CF9E4}"/>
    <cellStyle name="Normal 2 4 2 5 2 2 3" xfId="5101" xr:uid="{00000000-0005-0000-0000-00008B0F0000}"/>
    <cellStyle name="Normal 2 4 2 5 2 2 3 2" xfId="14427" xr:uid="{83FABEBC-89C7-41A0-9C3C-FA80A5BD88A5}"/>
    <cellStyle name="Normal 2 4 2 5 2 2 4" xfId="9492" xr:uid="{07DC9204-2F52-408E-80EE-617A106DD9FD}"/>
    <cellStyle name="Normal 2 4 2 5 2 2 4 2" xfId="18807" xr:uid="{41F3D761-2383-4B66-A1D9-BD68E98106E1}"/>
    <cellStyle name="Normal 2 4 2 5 2 2 5" xfId="10210" xr:uid="{6B3146DC-88D9-4D54-A187-E69D90D6C688}"/>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5D1C3051-7A88-4859-9057-91B317DA861B}"/>
    <cellStyle name="Normal 2 4 2 5 2 3 2 3" xfId="12768" xr:uid="{3FC8E3A8-BC68-426D-BDEC-1EDE0C10425C}"/>
    <cellStyle name="Normal 2 4 2 5 2 3 3" xfId="5514" xr:uid="{00000000-0005-0000-0000-00008F0F0000}"/>
    <cellStyle name="Normal 2 4 2 5 2 3 3 2" xfId="14840" xr:uid="{36189EE5-1D00-48DF-965A-7BF7479D9ABF}"/>
    <cellStyle name="Normal 2 4 2 5 2 3 4" xfId="10623" xr:uid="{37D98D79-7D25-41A1-8A9B-D8570BE6A74E}"/>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D7464DFB-FC28-4BE1-AFF0-249B19FD41D3}"/>
    <cellStyle name="Normal 2 4 2 5 2 4 2 3" xfId="13181" xr:uid="{134F2053-F4A2-4FA6-93D4-F9C4B671BED1}"/>
    <cellStyle name="Normal 2 4 2 5 2 4 3" xfId="5927" xr:uid="{00000000-0005-0000-0000-0000930F0000}"/>
    <cellStyle name="Normal 2 4 2 5 2 4 3 2" xfId="15253" xr:uid="{C33A0523-461B-40E9-9266-5E1E35B3663B}"/>
    <cellStyle name="Normal 2 4 2 5 2 4 4" xfId="11036" xr:uid="{D24432B6-8DB8-4FAD-BA36-A334F448D208}"/>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0FE9213E-F137-42DD-9E2B-E8979ECC191B}"/>
    <cellStyle name="Normal 2 4 2 5 2 5 2 3" xfId="13594" xr:uid="{36959926-412F-4CD1-97C3-5D90B6D2D4EF}"/>
    <cellStyle name="Normal 2 4 2 5 2 5 3" xfId="6340" xr:uid="{00000000-0005-0000-0000-0000970F0000}"/>
    <cellStyle name="Normal 2 4 2 5 2 5 3 2" xfId="15666" xr:uid="{EEC3587B-A41A-4506-B6F8-6A26AACAA04C}"/>
    <cellStyle name="Normal 2 4 2 5 2 5 4" xfId="11449" xr:uid="{6A6DD64A-1944-49EB-B3B7-EDCC86D7CB36}"/>
    <cellStyle name="Normal 2 4 2 5 2 6" xfId="2470" xr:uid="{00000000-0005-0000-0000-0000980F0000}"/>
    <cellStyle name="Normal 2 4 2 5 2 6 2" xfId="6753" xr:uid="{00000000-0005-0000-0000-0000990F0000}"/>
    <cellStyle name="Normal 2 4 2 5 2 6 2 2" xfId="16079" xr:uid="{F15497FD-6424-49E9-80DE-957A58EA086A}"/>
    <cellStyle name="Normal 2 4 2 5 2 6 3" xfId="11862" xr:uid="{57F3A1F4-D3D0-4533-8E90-F0E7598639F4}"/>
    <cellStyle name="Normal 2 4 2 5 2 7" xfId="4687" xr:uid="{00000000-0005-0000-0000-00009A0F0000}"/>
    <cellStyle name="Normal 2 4 2 5 2 7 2" xfId="14013" xr:uid="{60C95AF8-3F3E-4E48-A744-500BA36FCE1B}"/>
    <cellStyle name="Normal 2 4 2 5 2 8" xfId="9067" xr:uid="{89D5CB5A-ADE0-44B8-BC1E-FDE984B579C9}"/>
    <cellStyle name="Normal 2 4 2 5 2 8 2" xfId="18391" xr:uid="{79DED526-D9B4-4BB4-8BA1-64DC2DF920FA}"/>
    <cellStyle name="Normal 2 4 2 5 2 9" xfId="9796" xr:uid="{70C00205-830A-4BA2-B75C-5BE74B9126BC}"/>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33BEB0F3-80CD-4A15-82A8-458B750C2472}"/>
    <cellStyle name="Normal 2 4 2 5 3 2 3" xfId="12354" xr:uid="{CBD38934-6304-442B-8A70-1ECD02FEF74E}"/>
    <cellStyle name="Normal 2 4 2 5 3 3" xfId="5100" xr:uid="{00000000-0005-0000-0000-00009E0F0000}"/>
    <cellStyle name="Normal 2 4 2 5 3 3 2" xfId="14426" xr:uid="{24BC7198-745C-4A3B-BA01-1ED09F0D2542}"/>
    <cellStyle name="Normal 2 4 2 5 3 4" xfId="9285" xr:uid="{5DA39FB9-904E-46D3-8E24-58BF2F19DA5B}"/>
    <cellStyle name="Normal 2 4 2 5 3 4 2" xfId="18600" xr:uid="{2CCBFCF8-93E4-4729-8BE9-C796147E7CD5}"/>
    <cellStyle name="Normal 2 4 2 5 3 5" xfId="10209" xr:uid="{C5C141FB-479F-4D4A-9C8B-4C8D8D00D997}"/>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F3A655FD-4880-4BA1-A882-767732107480}"/>
    <cellStyle name="Normal 2 4 2 5 4 2 3" xfId="12767" xr:uid="{4418F314-CF30-4446-8661-138B194A60B1}"/>
    <cellStyle name="Normal 2 4 2 5 4 3" xfId="5513" xr:uid="{00000000-0005-0000-0000-0000A20F0000}"/>
    <cellStyle name="Normal 2 4 2 5 4 3 2" xfId="14839" xr:uid="{CE806799-F7AE-406E-B562-3B425B7AF701}"/>
    <cellStyle name="Normal 2 4 2 5 4 4" xfId="10622" xr:uid="{3F7EE52E-768F-48F9-B0DF-7D642637BB6D}"/>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BDFB5F3C-63F0-4032-94A9-5A388FD4D54D}"/>
    <cellStyle name="Normal 2 4 2 5 5 2 3" xfId="13180" xr:uid="{6D6A80D4-8685-449B-BAAD-C245CF78DA63}"/>
    <cellStyle name="Normal 2 4 2 5 5 3" xfId="5926" xr:uid="{00000000-0005-0000-0000-0000A60F0000}"/>
    <cellStyle name="Normal 2 4 2 5 5 3 2" xfId="15252" xr:uid="{5C21F489-ED25-4EFD-BE1F-8B23378690C6}"/>
    <cellStyle name="Normal 2 4 2 5 5 4" xfId="11035" xr:uid="{D29CC63C-5E7C-4D7B-8CBB-5CB7A6E17276}"/>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8FF220D6-8ABA-4F0D-8D87-261BE6F5E750}"/>
    <cellStyle name="Normal 2 4 2 5 6 2 3" xfId="13593" xr:uid="{60BA0CEA-9222-49CE-9B37-779C45DAD2FF}"/>
    <cellStyle name="Normal 2 4 2 5 6 3" xfId="6339" xr:uid="{00000000-0005-0000-0000-0000AA0F0000}"/>
    <cellStyle name="Normal 2 4 2 5 6 3 2" xfId="15665" xr:uid="{4BF3ADFE-FA98-41D3-8C8E-F60A0804A3A2}"/>
    <cellStyle name="Normal 2 4 2 5 6 4" xfId="11448" xr:uid="{CA0A6502-E690-48BA-9D22-3CF2CD9A98C3}"/>
    <cellStyle name="Normal 2 4 2 5 7" xfId="2469" xr:uid="{00000000-0005-0000-0000-0000AB0F0000}"/>
    <cellStyle name="Normal 2 4 2 5 7 2" xfId="6752" xr:uid="{00000000-0005-0000-0000-0000AC0F0000}"/>
    <cellStyle name="Normal 2 4 2 5 7 2 2" xfId="16078" xr:uid="{D35AF3A6-C115-4E5D-8BF0-6EBC21FFA957}"/>
    <cellStyle name="Normal 2 4 2 5 7 3" xfId="11861" xr:uid="{A2016D5E-A8B0-48D3-BD8C-8D2C38645B48}"/>
    <cellStyle name="Normal 2 4 2 5 8" xfId="4686" xr:uid="{00000000-0005-0000-0000-0000AD0F0000}"/>
    <cellStyle name="Normal 2 4 2 5 8 2" xfId="14012" xr:uid="{CD66CB6D-1AFA-4603-AE30-744864A1BF23}"/>
    <cellStyle name="Normal 2 4 2 5 9" xfId="8860" xr:uid="{5FAFEFC0-3249-464B-9F12-2B1DA137C588}"/>
    <cellStyle name="Normal 2 4 2 5 9 2" xfId="18184" xr:uid="{49945F1F-BE76-4A78-BEA2-C4BA6A4A1E3C}"/>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F0CE4C97-DDF0-4979-9A8D-D82CE85BC549}"/>
    <cellStyle name="Normal 2 4 2 6 2 2 3" xfId="12356" xr:uid="{7136C67C-CED4-45F6-B308-6896E9836B7A}"/>
    <cellStyle name="Normal 2 4 2 6 2 3" xfId="5102" xr:uid="{00000000-0005-0000-0000-0000B20F0000}"/>
    <cellStyle name="Normal 2 4 2 6 2 3 2" xfId="14428" xr:uid="{CD1A5FA5-3BDD-4AAC-AD7B-F8FBD2DDD6D4}"/>
    <cellStyle name="Normal 2 4 2 6 2 4" xfId="9401" xr:uid="{C89DD342-23DD-474B-84C5-F9DED42F169B}"/>
    <cellStyle name="Normal 2 4 2 6 2 4 2" xfId="18716" xr:uid="{063A335C-EE8A-4082-94DE-8E9E8ACD7A36}"/>
    <cellStyle name="Normal 2 4 2 6 2 5" xfId="10211" xr:uid="{88A5ED3C-A918-48CD-B6A9-FDBF28032508}"/>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38381766-23B6-4BC8-B969-BE226D601F40}"/>
    <cellStyle name="Normal 2 4 2 6 3 2 3" xfId="12769" xr:uid="{FBE1D64A-3071-4051-AF49-BC178BF87205}"/>
    <cellStyle name="Normal 2 4 2 6 3 3" xfId="5515" xr:uid="{00000000-0005-0000-0000-0000B60F0000}"/>
    <cellStyle name="Normal 2 4 2 6 3 3 2" xfId="14841" xr:uid="{73CF2B81-0FD5-448D-B6E8-36B677572F43}"/>
    <cellStyle name="Normal 2 4 2 6 3 4" xfId="10624" xr:uid="{98F2E3C1-6975-44D9-A15A-44DF4B50A0E3}"/>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98A2D84F-780B-47C2-85B6-49C67FFC4CFA}"/>
    <cellStyle name="Normal 2 4 2 6 4 2 3" xfId="13182" xr:uid="{0E40C8F0-AEA4-4F02-96C8-32BE091EC091}"/>
    <cellStyle name="Normal 2 4 2 6 4 3" xfId="5928" xr:uid="{00000000-0005-0000-0000-0000BA0F0000}"/>
    <cellStyle name="Normal 2 4 2 6 4 3 2" xfId="15254" xr:uid="{EABF1A26-D2D8-4912-B5EA-C34666F32156}"/>
    <cellStyle name="Normal 2 4 2 6 4 4" xfId="11037" xr:uid="{CDF66E13-6FD0-459F-8EA2-21A1C53008E2}"/>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B3BCA239-16EA-494C-AA02-C7E9FB753C6A}"/>
    <cellStyle name="Normal 2 4 2 6 5 2 3" xfId="13595" xr:uid="{C71F336D-63C2-4BAC-9F08-44732B54A215}"/>
    <cellStyle name="Normal 2 4 2 6 5 3" xfId="6341" xr:uid="{00000000-0005-0000-0000-0000BE0F0000}"/>
    <cellStyle name="Normal 2 4 2 6 5 3 2" xfId="15667" xr:uid="{A70FF242-393A-4911-82C4-A06E1984865A}"/>
    <cellStyle name="Normal 2 4 2 6 5 4" xfId="11450" xr:uid="{71E689FB-4CDD-41D9-82BA-BBE2D3F2F993}"/>
    <cellStyle name="Normal 2 4 2 6 6" xfId="2471" xr:uid="{00000000-0005-0000-0000-0000BF0F0000}"/>
    <cellStyle name="Normal 2 4 2 6 6 2" xfId="6754" xr:uid="{00000000-0005-0000-0000-0000C00F0000}"/>
    <cellStyle name="Normal 2 4 2 6 6 2 2" xfId="16080" xr:uid="{17F2E33C-4708-448D-87F5-D57DDA2292B0}"/>
    <cellStyle name="Normal 2 4 2 6 6 3" xfId="11863" xr:uid="{18F3B72A-2521-4687-A359-0F921835AD58}"/>
    <cellStyle name="Normal 2 4 2 6 7" xfId="4688" xr:uid="{00000000-0005-0000-0000-0000C10F0000}"/>
    <cellStyle name="Normal 2 4 2 6 7 2" xfId="14014" xr:uid="{2368351F-E877-420E-8277-90DFF59432B5}"/>
    <cellStyle name="Normal 2 4 2 6 8" xfId="8976" xr:uid="{6DEAFF8C-68CB-4364-A161-479509F453AE}"/>
    <cellStyle name="Normal 2 4 2 6 8 2" xfId="18300" xr:uid="{5A7A486E-22DA-48F7-AC34-50362904851F}"/>
    <cellStyle name="Normal 2 4 2 6 9" xfId="9797" xr:uid="{C5CEFB06-6919-4D26-A51F-3B990BA59B66}"/>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3FB2499E-B562-47B1-A383-E114A8588DCA}"/>
    <cellStyle name="Normal 2 4 2 7 2 3" xfId="12341" xr:uid="{66BAA074-1D17-46DD-8EFC-4C642B8B22E1}"/>
    <cellStyle name="Normal 2 4 2 7 3" xfId="5087" xr:uid="{00000000-0005-0000-0000-0000C50F0000}"/>
    <cellStyle name="Normal 2 4 2 7 3 2" xfId="14413" xr:uid="{B3142A42-EB22-4507-88FC-E4395EB9AD8B}"/>
    <cellStyle name="Normal 2 4 2 7 4" xfId="9179" xr:uid="{D1C44CED-398E-43B3-AFA3-1E7DC60C5D92}"/>
    <cellStyle name="Normal 2 4 2 7 4 2" xfId="18497" xr:uid="{904A17B9-3169-4A8A-A0A8-F53EADC3A5A4}"/>
    <cellStyle name="Normal 2 4 2 7 5" xfId="10196" xr:uid="{39263C16-15A3-414F-A5F7-297A2ADC5527}"/>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303389AD-1C3D-44F4-AF87-66CE10ECCFE8}"/>
    <cellStyle name="Normal 2 4 2 8 2 3" xfId="12754" xr:uid="{3A7D4AAE-484C-41EF-ACA0-44EAD1E804E2}"/>
    <cellStyle name="Normal 2 4 2 8 3" xfId="5500" xr:uid="{00000000-0005-0000-0000-0000C90F0000}"/>
    <cellStyle name="Normal 2 4 2 8 3 2" xfId="14826" xr:uid="{A2B2B170-E17A-494C-9FF0-AA7B2F687C72}"/>
    <cellStyle name="Normal 2 4 2 8 4" xfId="10609" xr:uid="{1454B9F8-644A-4711-88AB-468EE50E5234}"/>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A59E3544-1912-402D-80C9-768F50E07880}"/>
    <cellStyle name="Normal 2 4 2 9 2 3" xfId="13167" xr:uid="{7D0C8ACB-7F87-4DA6-90A9-C77F75FC5076}"/>
    <cellStyle name="Normal 2 4 2 9 3" xfId="5913" xr:uid="{00000000-0005-0000-0000-0000CD0F0000}"/>
    <cellStyle name="Normal 2 4 2 9 3 2" xfId="15239" xr:uid="{02D29F7B-757C-4F60-8077-35B6730505BD}"/>
    <cellStyle name="Normal 2 4 2 9 4" xfId="11022" xr:uid="{B163233C-7192-4A69-AE5F-1C1B5D86C65D}"/>
    <cellStyle name="Normal 2 4 3" xfId="296" xr:uid="{00000000-0005-0000-0000-0000CE0F0000}"/>
    <cellStyle name="Normal 2 4 3 10" xfId="9798" xr:uid="{0C73D0E9-4099-4F56-83F0-B0ECB0ACC2CF}"/>
    <cellStyle name="Normal 2 4 3 2" xfId="297" xr:uid="{00000000-0005-0000-0000-0000CF0F0000}"/>
    <cellStyle name="Normal 2 4 3 3" xfId="298" xr:uid="{00000000-0005-0000-0000-0000D00F0000}"/>
    <cellStyle name="Normal 2 4 3 3 10" xfId="8814" xr:uid="{F78EFD99-FCC5-4915-ACA3-DFC3FC0D45A5}"/>
    <cellStyle name="Normal 2 4 3 3 10 2" xfId="18138" xr:uid="{62561605-9C7E-4FAB-9172-A80B80C3694C}"/>
    <cellStyle name="Normal 2 4 3 3 11" xfId="9799" xr:uid="{88ED3AED-E23D-4A87-AC2D-1BD24B936A54}"/>
    <cellStyle name="Normal 2 4 3 3 2" xfId="299" xr:uid="{00000000-0005-0000-0000-0000D10F0000}"/>
    <cellStyle name="Normal 2 4 3 3 2 10" xfId="9800" xr:uid="{FC69B68C-A209-4FDD-8DFE-F255770486AB}"/>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3F78D713-BEA7-4134-8747-0D06F242368E}"/>
    <cellStyle name="Normal 2 4 3 3 2 2 2 2 3" xfId="12360" xr:uid="{92F5D6A3-E724-43D2-9660-71FA5D31F5F0}"/>
    <cellStyle name="Normal 2 4 3 3 2 2 2 3" xfId="5106" xr:uid="{00000000-0005-0000-0000-0000D60F0000}"/>
    <cellStyle name="Normal 2 4 3 3 2 2 2 3 2" xfId="14432" xr:uid="{FFB4B6E0-18C5-4443-B7FC-C889FF7714DB}"/>
    <cellStyle name="Normal 2 4 3 3 2 2 2 4" xfId="9549" xr:uid="{EA88B7BC-E37D-4688-A768-0D7FE5EF9F42}"/>
    <cellStyle name="Normal 2 4 3 3 2 2 2 4 2" xfId="18864" xr:uid="{779DA71E-5206-441F-A0FC-D4C38B5AC24A}"/>
    <cellStyle name="Normal 2 4 3 3 2 2 2 5" xfId="10215" xr:uid="{292BA761-19EE-40FD-B732-997390EB96F5}"/>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59DCB0B1-B298-4444-A9DF-EF13455C4A34}"/>
    <cellStyle name="Normal 2 4 3 3 2 2 3 2 3" xfId="12773" xr:uid="{51E9CEDE-F278-46B5-8964-E30CA7F40871}"/>
    <cellStyle name="Normal 2 4 3 3 2 2 3 3" xfId="5519" xr:uid="{00000000-0005-0000-0000-0000DA0F0000}"/>
    <cellStyle name="Normal 2 4 3 3 2 2 3 3 2" xfId="14845" xr:uid="{EEC1D99A-746A-4CA0-BB10-CB082FC362C4}"/>
    <cellStyle name="Normal 2 4 3 3 2 2 3 4" xfId="10628" xr:uid="{08A757AE-EAA4-43B0-9D60-34B68FB8634B}"/>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7B06FB0F-EAC0-407B-8991-A034D8F94E8F}"/>
    <cellStyle name="Normal 2 4 3 3 2 2 4 2 3" xfId="13186" xr:uid="{33F86C1E-ECA7-4457-9750-33C761445379}"/>
    <cellStyle name="Normal 2 4 3 3 2 2 4 3" xfId="5932" xr:uid="{00000000-0005-0000-0000-0000DE0F0000}"/>
    <cellStyle name="Normal 2 4 3 3 2 2 4 3 2" xfId="15258" xr:uid="{CB86CAFD-78B4-46CA-96D4-B8161A90973E}"/>
    <cellStyle name="Normal 2 4 3 3 2 2 4 4" xfId="11041" xr:uid="{DA3465E8-87F7-4619-9D00-1E5B7C676F8E}"/>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BF8C0F55-F860-482A-BFD9-2106CF7810AB}"/>
    <cellStyle name="Normal 2 4 3 3 2 2 5 2 3" xfId="13599" xr:uid="{410B9D04-62E6-4E00-A681-364FFEB0105E}"/>
    <cellStyle name="Normal 2 4 3 3 2 2 5 3" xfId="6345" xr:uid="{00000000-0005-0000-0000-0000E20F0000}"/>
    <cellStyle name="Normal 2 4 3 3 2 2 5 3 2" xfId="15671" xr:uid="{70EDAC2A-3B06-44C2-BFE1-36A28BC5D2D5}"/>
    <cellStyle name="Normal 2 4 3 3 2 2 5 4" xfId="11454" xr:uid="{E1B72231-B2C8-4C78-9C02-EF068912350F}"/>
    <cellStyle name="Normal 2 4 3 3 2 2 6" xfId="2475" xr:uid="{00000000-0005-0000-0000-0000E30F0000}"/>
    <cellStyle name="Normal 2 4 3 3 2 2 6 2" xfId="6758" xr:uid="{00000000-0005-0000-0000-0000E40F0000}"/>
    <cellStyle name="Normal 2 4 3 3 2 2 6 2 2" xfId="16084" xr:uid="{0F36B688-8100-49B4-9838-F50581BE1CC6}"/>
    <cellStyle name="Normal 2 4 3 3 2 2 6 3" xfId="11867" xr:uid="{89AF4594-0BD6-4B1F-886B-72A77617D24C}"/>
    <cellStyle name="Normal 2 4 3 3 2 2 7" xfId="4692" xr:uid="{00000000-0005-0000-0000-0000E50F0000}"/>
    <cellStyle name="Normal 2 4 3 3 2 2 7 2" xfId="14018" xr:uid="{86722A25-EEAC-486E-8483-D49894CB2962}"/>
    <cellStyle name="Normal 2 4 3 3 2 2 8" xfId="9124" xr:uid="{1FF2B195-09C8-4D7B-A363-E8AF809A669B}"/>
    <cellStyle name="Normal 2 4 3 3 2 2 8 2" xfId="18448" xr:uid="{72BF11AB-46C3-4D0B-9EB5-ACC641651A45}"/>
    <cellStyle name="Normal 2 4 3 3 2 2 9" xfId="9801" xr:uid="{5CD0326B-908F-463F-9D7F-15923D7BE8C8}"/>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04AB4648-0075-45D1-9D4F-B271F89C85AF}"/>
    <cellStyle name="Normal 2 4 3 3 2 3 2 3" xfId="12359" xr:uid="{5EA1EAEA-3D52-465F-9F37-549154197A67}"/>
    <cellStyle name="Normal 2 4 3 3 2 3 3" xfId="5105" xr:uid="{00000000-0005-0000-0000-0000E90F0000}"/>
    <cellStyle name="Normal 2 4 3 3 2 3 3 2" xfId="14431" xr:uid="{A179605B-05C4-4169-9356-821D051ACA2E}"/>
    <cellStyle name="Normal 2 4 3 3 2 3 4" xfId="9342" xr:uid="{41454CF9-47C1-4E8A-868A-8F39341308EB}"/>
    <cellStyle name="Normal 2 4 3 3 2 3 4 2" xfId="18657" xr:uid="{70D2AABF-9CEA-437E-8336-942421579D9F}"/>
    <cellStyle name="Normal 2 4 3 3 2 3 5" xfId="10214" xr:uid="{B6162A87-B3DB-413F-941A-4334E94D6162}"/>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225D25B8-AC99-4A65-B7CB-15AF889813D4}"/>
    <cellStyle name="Normal 2 4 3 3 2 4 2 3" xfId="12772" xr:uid="{506BE5EA-F9BB-4A8B-AF6D-F5D7FF473523}"/>
    <cellStyle name="Normal 2 4 3 3 2 4 3" xfId="5518" xr:uid="{00000000-0005-0000-0000-0000ED0F0000}"/>
    <cellStyle name="Normal 2 4 3 3 2 4 3 2" xfId="14844" xr:uid="{0811BFEF-EEEA-4AFC-9ED1-5BF5B8F727F6}"/>
    <cellStyle name="Normal 2 4 3 3 2 4 4" xfId="10627" xr:uid="{3674098E-980B-43CC-A05B-804912940D1B}"/>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999D9D8C-EB24-46D7-BE5A-05B31D2AC990}"/>
    <cellStyle name="Normal 2 4 3 3 2 5 2 3" xfId="13185" xr:uid="{607037AE-CFB9-40C4-95C0-8D10F4107B32}"/>
    <cellStyle name="Normal 2 4 3 3 2 5 3" xfId="5931" xr:uid="{00000000-0005-0000-0000-0000F10F0000}"/>
    <cellStyle name="Normal 2 4 3 3 2 5 3 2" xfId="15257" xr:uid="{E2AFD400-9504-4349-9A7D-F255998DA9B5}"/>
    <cellStyle name="Normal 2 4 3 3 2 5 4" xfId="11040" xr:uid="{CA583CE9-96FD-4F73-8883-1C5AD0ABFE9F}"/>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F362C58A-0354-4E7C-8245-62D48DAF2DF2}"/>
    <cellStyle name="Normal 2 4 3 3 2 6 2 3" xfId="13598" xr:uid="{8938F306-7DBA-4F79-B759-CAB5DF3C7BA3}"/>
    <cellStyle name="Normal 2 4 3 3 2 6 3" xfId="6344" xr:uid="{00000000-0005-0000-0000-0000F50F0000}"/>
    <cellStyle name="Normal 2 4 3 3 2 6 3 2" xfId="15670" xr:uid="{608691A4-14CB-4DB2-B358-8C3F14815880}"/>
    <cellStyle name="Normal 2 4 3 3 2 6 4" xfId="11453" xr:uid="{4C03A479-8F7E-4F41-B0C6-C02017072AFE}"/>
    <cellStyle name="Normal 2 4 3 3 2 7" xfId="2474" xr:uid="{00000000-0005-0000-0000-0000F60F0000}"/>
    <cellStyle name="Normal 2 4 3 3 2 7 2" xfId="6757" xr:uid="{00000000-0005-0000-0000-0000F70F0000}"/>
    <cellStyle name="Normal 2 4 3 3 2 7 2 2" xfId="16083" xr:uid="{B1AD8DEA-E5EF-4B8F-BA7E-8FFA9FCDE78D}"/>
    <cellStyle name="Normal 2 4 3 3 2 7 3" xfId="11866" xr:uid="{8981E72F-1073-44AE-88AD-8C8AEE5E6BAE}"/>
    <cellStyle name="Normal 2 4 3 3 2 8" xfId="4691" xr:uid="{00000000-0005-0000-0000-0000F80F0000}"/>
    <cellStyle name="Normal 2 4 3 3 2 8 2" xfId="14017" xr:uid="{D75884CF-8F0B-47FC-94F4-E945AFF3675A}"/>
    <cellStyle name="Normal 2 4 3 3 2 9" xfId="8917" xr:uid="{1E22693C-F4B1-4678-80B0-65CF6DC31586}"/>
    <cellStyle name="Normal 2 4 3 3 2 9 2" xfId="18241" xr:uid="{24D1F757-C180-4A75-AA8E-68E5C151CC69}"/>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823B0CE6-4C3C-4B32-BBBC-C839177A5FB5}"/>
    <cellStyle name="Normal 2 4 3 3 3 2 2 3" xfId="12361" xr:uid="{EBBD0395-C0D4-41EE-9C19-2B7826ED045D}"/>
    <cellStyle name="Normal 2 4 3 3 3 2 3" xfId="5107" xr:uid="{00000000-0005-0000-0000-0000FD0F0000}"/>
    <cellStyle name="Normal 2 4 3 3 3 2 3 2" xfId="14433" xr:uid="{BFB19DE0-89CD-4369-A6F1-B2D68322752D}"/>
    <cellStyle name="Normal 2 4 3 3 3 2 4" xfId="9446" xr:uid="{7ACDBBC8-943F-41CF-9832-96F56BCB3985}"/>
    <cellStyle name="Normal 2 4 3 3 3 2 4 2" xfId="18761" xr:uid="{DA9BDF9E-074C-427C-878E-2623ADD4C04E}"/>
    <cellStyle name="Normal 2 4 3 3 3 2 5" xfId="10216" xr:uid="{DB9988F2-F720-457F-80ED-C3212321585E}"/>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8A25A634-1F72-413F-A3BD-6CA6E2C1C27A}"/>
    <cellStyle name="Normal 2 4 3 3 3 3 2 3" xfId="12774" xr:uid="{35531875-31FE-4C74-9DDD-D1F61E683B19}"/>
    <cellStyle name="Normal 2 4 3 3 3 3 3" xfId="5520" xr:uid="{00000000-0005-0000-0000-000001100000}"/>
    <cellStyle name="Normal 2 4 3 3 3 3 3 2" xfId="14846" xr:uid="{5A4DB742-420D-4CB5-801F-CA28F0FC02E7}"/>
    <cellStyle name="Normal 2 4 3 3 3 3 4" xfId="10629" xr:uid="{E1ADBB09-C08C-4A39-84C8-5B0410DE90E1}"/>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EFACC0AE-0189-4ECC-A964-6C599D44D8A4}"/>
    <cellStyle name="Normal 2 4 3 3 3 4 2 3" xfId="13187" xr:uid="{32355790-1B6D-452A-903E-58799BFD2A79}"/>
    <cellStyle name="Normal 2 4 3 3 3 4 3" xfId="5933" xr:uid="{00000000-0005-0000-0000-000005100000}"/>
    <cellStyle name="Normal 2 4 3 3 3 4 3 2" xfId="15259" xr:uid="{6FEB6027-90DC-4AD7-A98A-CC46851E4812}"/>
    <cellStyle name="Normal 2 4 3 3 3 4 4" xfId="11042" xr:uid="{5FDCDAB5-B434-494B-B6DA-7663774204EB}"/>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C25ACF71-C9BA-4208-B04F-A4F44B64A474}"/>
    <cellStyle name="Normal 2 4 3 3 3 5 2 3" xfId="13600" xr:uid="{CAE6477A-D8B2-4A6C-B9A4-9551159929F4}"/>
    <cellStyle name="Normal 2 4 3 3 3 5 3" xfId="6346" xr:uid="{00000000-0005-0000-0000-000009100000}"/>
    <cellStyle name="Normal 2 4 3 3 3 5 3 2" xfId="15672" xr:uid="{F30AA100-8930-48F3-B981-681C84779639}"/>
    <cellStyle name="Normal 2 4 3 3 3 5 4" xfId="11455" xr:uid="{4765D496-510E-406D-B7CD-40860AA840FE}"/>
    <cellStyle name="Normal 2 4 3 3 3 6" xfId="2476" xr:uid="{00000000-0005-0000-0000-00000A100000}"/>
    <cellStyle name="Normal 2 4 3 3 3 6 2" xfId="6759" xr:uid="{00000000-0005-0000-0000-00000B100000}"/>
    <cellStyle name="Normal 2 4 3 3 3 6 2 2" xfId="16085" xr:uid="{BEF5762B-20C6-4A6F-BD89-4D7D528CC0CD}"/>
    <cellStyle name="Normal 2 4 3 3 3 6 3" xfId="11868" xr:uid="{80A468DA-B379-4695-B53E-D8CE2DD04F9A}"/>
    <cellStyle name="Normal 2 4 3 3 3 7" xfId="4693" xr:uid="{00000000-0005-0000-0000-00000C100000}"/>
    <cellStyle name="Normal 2 4 3 3 3 7 2" xfId="14019" xr:uid="{5503458D-0A26-4F21-AA29-4329C1625A23}"/>
    <cellStyle name="Normal 2 4 3 3 3 8" xfId="9021" xr:uid="{4EC0F035-DC07-4262-9C58-7142AC357944}"/>
    <cellStyle name="Normal 2 4 3 3 3 8 2" xfId="18345" xr:uid="{7366E9ED-4B1C-43B5-A516-817854869DA8}"/>
    <cellStyle name="Normal 2 4 3 3 3 9" xfId="9802" xr:uid="{F0B537B6-9B06-4875-8960-9A45592B0F0C}"/>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2E62A16F-DBA8-49B0-9068-BC7FA7397D92}"/>
    <cellStyle name="Normal 2 4 3 3 4 2 3" xfId="12358" xr:uid="{600F165D-DA4E-4B4B-9929-45AE46EC532D}"/>
    <cellStyle name="Normal 2 4 3 3 4 3" xfId="5104" xr:uid="{00000000-0005-0000-0000-000010100000}"/>
    <cellStyle name="Normal 2 4 3 3 4 3 2" xfId="14430" xr:uid="{D80834AB-1CD2-45F0-A829-B0C6962978FB}"/>
    <cellStyle name="Normal 2 4 3 3 4 4" xfId="9239" xr:uid="{3DCBA9AF-C63D-4CA9-81B6-AC7CB7B67292}"/>
    <cellStyle name="Normal 2 4 3 3 4 4 2" xfId="18554" xr:uid="{E4EBF7DD-B4F8-4020-BB13-B65ED5B60ADC}"/>
    <cellStyle name="Normal 2 4 3 3 4 5" xfId="10213" xr:uid="{9C30DE55-E327-4528-B3DF-70E5D443CF98}"/>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E43D13F4-3523-459E-A898-0160DB3620EB}"/>
    <cellStyle name="Normal 2 4 3 3 5 2 3" xfId="12771" xr:uid="{B39BA4A8-C347-44EC-97CF-2A4FBD93FA4F}"/>
    <cellStyle name="Normal 2 4 3 3 5 3" xfId="5517" xr:uid="{00000000-0005-0000-0000-000014100000}"/>
    <cellStyle name="Normal 2 4 3 3 5 3 2" xfId="14843" xr:uid="{CB6B9EC1-1E41-495D-A09A-75DBAFE80579}"/>
    <cellStyle name="Normal 2 4 3 3 5 4" xfId="10626" xr:uid="{F87210AD-529D-40F5-8BBE-2B21F0EE9A1E}"/>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8B1A2DF0-0A02-4F3A-9A32-C857D356E860}"/>
    <cellStyle name="Normal 2 4 3 3 6 2 3" xfId="13184" xr:uid="{BFAF9082-AB84-46FE-8522-BBAC89361D84}"/>
    <cellStyle name="Normal 2 4 3 3 6 3" xfId="5930" xr:uid="{00000000-0005-0000-0000-000018100000}"/>
    <cellStyle name="Normal 2 4 3 3 6 3 2" xfId="15256" xr:uid="{7E3AB349-F9B1-4095-B019-DC15198E1BBE}"/>
    <cellStyle name="Normal 2 4 3 3 6 4" xfId="11039" xr:uid="{9B2D36F2-FCE4-4CBD-B7B9-D627C0C76C92}"/>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077CBABC-CD42-485F-B9FC-2A9D851E897B}"/>
    <cellStyle name="Normal 2 4 3 3 7 2 3" xfId="13597" xr:uid="{77441506-9B12-4348-A644-79DC2FB66505}"/>
    <cellStyle name="Normal 2 4 3 3 7 3" xfId="6343" xr:uid="{00000000-0005-0000-0000-00001C100000}"/>
    <cellStyle name="Normal 2 4 3 3 7 3 2" xfId="15669" xr:uid="{8DD47F6C-FF31-4958-853A-5E28A9DD943C}"/>
    <cellStyle name="Normal 2 4 3 3 7 4" xfId="11452" xr:uid="{3905D1B6-9504-489E-AF2E-04ED16AEBF7A}"/>
    <cellStyle name="Normal 2 4 3 3 8" xfId="2473" xr:uid="{00000000-0005-0000-0000-00001D100000}"/>
    <cellStyle name="Normal 2 4 3 3 8 2" xfId="6756" xr:uid="{00000000-0005-0000-0000-00001E100000}"/>
    <cellStyle name="Normal 2 4 3 3 8 2 2" xfId="16082" xr:uid="{921F6B06-459C-46BD-B6DD-2898EB037F26}"/>
    <cellStyle name="Normal 2 4 3 3 8 3" xfId="11865" xr:uid="{2ADA8660-68C6-4D13-B769-CAF60BBEFB40}"/>
    <cellStyle name="Normal 2 4 3 3 9" xfId="4690" xr:uid="{00000000-0005-0000-0000-00001F100000}"/>
    <cellStyle name="Normal 2 4 3 3 9 2" xfId="14016" xr:uid="{7B3B8177-B5FF-4071-8CF1-F23608509C29}"/>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764A9A0E-A2B4-4494-9FEE-0A1758CB521E}"/>
    <cellStyle name="Normal 2 4 3 4 2 3" xfId="12357" xr:uid="{241D0E26-5889-4F00-A12C-FE03D9EFA24E}"/>
    <cellStyle name="Normal 2 4 3 4 3" xfId="5103" xr:uid="{00000000-0005-0000-0000-000023100000}"/>
    <cellStyle name="Normal 2 4 3 4 3 2" xfId="14429" xr:uid="{89EF4F25-6C18-4E29-B956-05B4DF6B3C5C}"/>
    <cellStyle name="Normal 2 4 3 4 4" xfId="9605" xr:uid="{31B075F0-6828-4EC6-AC77-4B4B0626A722}"/>
    <cellStyle name="Normal 2 4 3 4 4 2" xfId="18906" xr:uid="{C5453DDC-0EF2-4D8E-A9B7-7080C92E74B2}"/>
    <cellStyle name="Normal 2 4 3 4 5" xfId="10212" xr:uid="{4D9B794A-57A5-474E-B134-88BB7B0CE4C7}"/>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634BD856-5CAC-4ACA-9E12-2C333D7911CA}"/>
    <cellStyle name="Normal 2 4 3 5 2 3" xfId="12770" xr:uid="{EB7DC39A-0C19-4DED-81C5-3DF895344F0D}"/>
    <cellStyle name="Normal 2 4 3 5 3" xfId="5516" xr:uid="{00000000-0005-0000-0000-000027100000}"/>
    <cellStyle name="Normal 2 4 3 5 3 2" xfId="14842" xr:uid="{F5169814-E848-4A67-8926-C0EBFC42C008}"/>
    <cellStyle name="Normal 2 4 3 5 4" xfId="10625" xr:uid="{4A38438A-8A81-4F3A-918F-00E0A6E05631}"/>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64098A5E-EFBA-4F04-A1D3-C7E30066D575}"/>
    <cellStyle name="Normal 2 4 3 6 2 3" xfId="13183" xr:uid="{216403B0-9048-48BC-BDFA-61AA6C421815}"/>
    <cellStyle name="Normal 2 4 3 6 3" xfId="5929" xr:uid="{00000000-0005-0000-0000-00002B100000}"/>
    <cellStyle name="Normal 2 4 3 6 3 2" xfId="15255" xr:uid="{07372DDA-19DF-4A84-A1DE-0684A1256A52}"/>
    <cellStyle name="Normal 2 4 3 6 4" xfId="11038" xr:uid="{215F6DB0-C447-4DB1-94D4-8EDCA4D7E099}"/>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34081357-A7C8-4E4F-B211-84332172C448}"/>
    <cellStyle name="Normal 2 4 3 7 2 3" xfId="13596" xr:uid="{CE82A114-9A7C-4D72-B4AF-9068C2AB8D6F}"/>
    <cellStyle name="Normal 2 4 3 7 3" xfId="6342" xr:uid="{00000000-0005-0000-0000-00002F100000}"/>
    <cellStyle name="Normal 2 4 3 7 3 2" xfId="15668" xr:uid="{6DE2DA22-5E74-4FB5-9AD3-8B9D7390ACD1}"/>
    <cellStyle name="Normal 2 4 3 7 4" xfId="11451" xr:uid="{1E278938-D7B7-4B4B-B724-CAE50B3624A0}"/>
    <cellStyle name="Normal 2 4 3 8" xfId="2472" xr:uid="{00000000-0005-0000-0000-000030100000}"/>
    <cellStyle name="Normal 2 4 3 8 2" xfId="6755" xr:uid="{00000000-0005-0000-0000-000031100000}"/>
    <cellStyle name="Normal 2 4 3 8 2 2" xfId="16081" xr:uid="{FBC7B964-D29D-4212-9F80-DEC4F1F3CC05}"/>
    <cellStyle name="Normal 2 4 3 8 3" xfId="11864" xr:uid="{D4822A71-8ACE-4E00-8157-2163F9E3E080}"/>
    <cellStyle name="Normal 2 4 3 9" xfId="4689" xr:uid="{00000000-0005-0000-0000-000032100000}"/>
    <cellStyle name="Normal 2 4 3 9 2" xfId="14015" xr:uid="{7253199D-4939-4459-8D4E-942FC04C6D2D}"/>
    <cellStyle name="Normal 2 4 4" xfId="302" xr:uid="{00000000-0005-0000-0000-000033100000}"/>
    <cellStyle name="Normal 2 4 5" xfId="303" xr:uid="{00000000-0005-0000-0000-000034100000}"/>
    <cellStyle name="Normal 2 4 5 10" xfId="4694" xr:uid="{00000000-0005-0000-0000-000035100000}"/>
    <cellStyle name="Normal 2 4 5 10 2" xfId="14020" xr:uid="{FB26B7EC-7214-4EC1-BB71-8CF8F59D385C}"/>
    <cellStyle name="Normal 2 4 5 11" xfId="8780" xr:uid="{7650B30D-5C17-47F0-B17B-A5E27258C29E}"/>
    <cellStyle name="Normal 2 4 5 11 2" xfId="18104" xr:uid="{FE2BB01E-AB72-490C-89BC-BBDF8C06C333}"/>
    <cellStyle name="Normal 2 4 5 12" xfId="9803" xr:uid="{79D5741D-58CC-4CDC-9107-357FE46088F3}"/>
    <cellStyle name="Normal 2 4 5 2" xfId="304" xr:uid="{00000000-0005-0000-0000-000036100000}"/>
    <cellStyle name="Normal 2 4 5 2 10" xfId="8815" xr:uid="{40A5EFE5-2EC9-4F25-B9EC-CAF9321E00F7}"/>
    <cellStyle name="Normal 2 4 5 2 10 2" xfId="18139" xr:uid="{6E0273B7-65DB-40CA-8A17-47F6CB5D7A00}"/>
    <cellStyle name="Normal 2 4 5 2 11" xfId="9804" xr:uid="{4966FE2E-7F6C-4D91-BB31-B76E7A492902}"/>
    <cellStyle name="Normal 2 4 5 2 2" xfId="305" xr:uid="{00000000-0005-0000-0000-000037100000}"/>
    <cellStyle name="Normal 2 4 5 2 2 10" xfId="9805" xr:uid="{0C8D4184-92E5-4E43-8157-42D159249215}"/>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BDBA9E52-6A69-42ED-A9DB-43196691889A}"/>
    <cellStyle name="Normal 2 4 5 2 2 2 2 2 3" xfId="12365" xr:uid="{3D18E9C2-3383-4F2F-A3EC-A5289F91F440}"/>
    <cellStyle name="Normal 2 4 5 2 2 2 2 3" xfId="5111" xr:uid="{00000000-0005-0000-0000-00003C100000}"/>
    <cellStyle name="Normal 2 4 5 2 2 2 2 3 2" xfId="14437" xr:uid="{21270CA0-7518-4BFC-A3D0-E86691419D33}"/>
    <cellStyle name="Normal 2 4 5 2 2 2 2 4" xfId="9550" xr:uid="{8A7671EC-AB7E-4F51-9B1B-FE1F0FDC42A9}"/>
    <cellStyle name="Normal 2 4 5 2 2 2 2 4 2" xfId="18865" xr:uid="{330161A0-9549-4B21-BF44-261313A90B56}"/>
    <cellStyle name="Normal 2 4 5 2 2 2 2 5" xfId="10220" xr:uid="{04932B6D-D224-43B3-AEAD-399A576677D5}"/>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CEB4A03F-8E48-44E4-A938-5745B7D0B464}"/>
    <cellStyle name="Normal 2 4 5 2 2 2 3 2 3" xfId="12778" xr:uid="{9979F36F-60A0-4A08-8FC1-D47E2F87CDAE}"/>
    <cellStyle name="Normal 2 4 5 2 2 2 3 3" xfId="5524" xr:uid="{00000000-0005-0000-0000-000040100000}"/>
    <cellStyle name="Normal 2 4 5 2 2 2 3 3 2" xfId="14850" xr:uid="{8A660FDF-90C7-497C-8D4D-E707B9344C32}"/>
    <cellStyle name="Normal 2 4 5 2 2 2 3 4" xfId="10633" xr:uid="{E73C1EB0-6D92-40C0-9D9A-A65692D4A7CA}"/>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F9CE3899-CDBD-4E41-92A3-06A21B95875E}"/>
    <cellStyle name="Normal 2 4 5 2 2 2 4 2 3" xfId="13191" xr:uid="{EEDF489F-60EF-4BA4-BF3A-F8729884ED7C}"/>
    <cellStyle name="Normal 2 4 5 2 2 2 4 3" xfId="5937" xr:uid="{00000000-0005-0000-0000-000044100000}"/>
    <cellStyle name="Normal 2 4 5 2 2 2 4 3 2" xfId="15263" xr:uid="{2713DB7D-D464-40E0-88C3-D08680B64A9D}"/>
    <cellStyle name="Normal 2 4 5 2 2 2 4 4" xfId="11046" xr:uid="{971D2F23-F81F-439C-B2B5-CC486AA8A1D2}"/>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60607890-62F7-47EA-AACF-F039F8F30517}"/>
    <cellStyle name="Normal 2 4 5 2 2 2 5 2 3" xfId="13604" xr:uid="{9190D59F-082B-4C9A-8525-085CECDB4BFB}"/>
    <cellStyle name="Normal 2 4 5 2 2 2 5 3" xfId="6350" xr:uid="{00000000-0005-0000-0000-000048100000}"/>
    <cellStyle name="Normal 2 4 5 2 2 2 5 3 2" xfId="15676" xr:uid="{1C8D25A9-B6FC-4098-88D6-54B6A516F1AD}"/>
    <cellStyle name="Normal 2 4 5 2 2 2 5 4" xfId="11459" xr:uid="{B7775F97-E242-4650-A239-047F2D04292E}"/>
    <cellStyle name="Normal 2 4 5 2 2 2 6" xfId="2480" xr:uid="{00000000-0005-0000-0000-000049100000}"/>
    <cellStyle name="Normal 2 4 5 2 2 2 6 2" xfId="6763" xr:uid="{00000000-0005-0000-0000-00004A100000}"/>
    <cellStyle name="Normal 2 4 5 2 2 2 6 2 2" xfId="16089" xr:uid="{D101CA51-AFE3-447B-AD1E-030819513D79}"/>
    <cellStyle name="Normal 2 4 5 2 2 2 6 3" xfId="11872" xr:uid="{A18A5A1F-5E47-4ECB-AF61-AF334A40061A}"/>
    <cellStyle name="Normal 2 4 5 2 2 2 7" xfId="4697" xr:uid="{00000000-0005-0000-0000-00004B100000}"/>
    <cellStyle name="Normal 2 4 5 2 2 2 7 2" xfId="14023" xr:uid="{96FF4B3C-C188-4A8D-AF60-E36D1D18D02D}"/>
    <cellStyle name="Normal 2 4 5 2 2 2 8" xfId="9125" xr:uid="{AE6B93A1-5C0B-49F1-AF15-6FC3FAFFE3B2}"/>
    <cellStyle name="Normal 2 4 5 2 2 2 8 2" xfId="18449" xr:uid="{C1E15D31-C884-4075-AE10-30927C89B866}"/>
    <cellStyle name="Normal 2 4 5 2 2 2 9" xfId="9806" xr:uid="{D2399E1D-9271-490D-A68F-F41B6403FBBD}"/>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3DA96019-D24D-4092-9F18-ADC5A9FD4589}"/>
    <cellStyle name="Normal 2 4 5 2 2 3 2 3" xfId="12364" xr:uid="{F2D460AA-3AD5-4A66-873B-FB06C352EC7E}"/>
    <cellStyle name="Normal 2 4 5 2 2 3 3" xfId="5110" xr:uid="{00000000-0005-0000-0000-00004F100000}"/>
    <cellStyle name="Normal 2 4 5 2 2 3 3 2" xfId="14436" xr:uid="{CFF9F8D5-02FB-499B-970E-3899A6CBBC88}"/>
    <cellStyle name="Normal 2 4 5 2 2 3 4" xfId="9343" xr:uid="{FC4CD386-4202-45E2-8021-2A85CACF4E8B}"/>
    <cellStyle name="Normal 2 4 5 2 2 3 4 2" xfId="18658" xr:uid="{45F23D32-B983-4548-947C-6FD8C0F87FEA}"/>
    <cellStyle name="Normal 2 4 5 2 2 3 5" xfId="10219" xr:uid="{F0178D5F-8CD9-49D0-B427-0B93C091B50F}"/>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AEBB210F-CC09-43A8-965D-C29ADA758E39}"/>
    <cellStyle name="Normal 2 4 5 2 2 4 2 3" xfId="12777" xr:uid="{C6BC18F2-A214-47F2-B369-B1CA4BFAB404}"/>
    <cellStyle name="Normal 2 4 5 2 2 4 3" xfId="5523" xr:uid="{00000000-0005-0000-0000-000053100000}"/>
    <cellStyle name="Normal 2 4 5 2 2 4 3 2" xfId="14849" xr:uid="{1FFAB01C-A11C-4AC3-A271-D28C1E3064C2}"/>
    <cellStyle name="Normal 2 4 5 2 2 4 4" xfId="10632" xr:uid="{BFA2E414-A2FD-47A8-BD5D-5961E5A77BAB}"/>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EB023563-D578-46C2-B2B2-8D26946D773A}"/>
    <cellStyle name="Normal 2 4 5 2 2 5 2 3" xfId="13190" xr:uid="{8B87FAB1-AF69-406D-AC68-B2119CFD70FD}"/>
    <cellStyle name="Normal 2 4 5 2 2 5 3" xfId="5936" xr:uid="{00000000-0005-0000-0000-000057100000}"/>
    <cellStyle name="Normal 2 4 5 2 2 5 3 2" xfId="15262" xr:uid="{54D272CF-03D2-4AC7-96BF-3845A66A8E53}"/>
    <cellStyle name="Normal 2 4 5 2 2 5 4" xfId="11045" xr:uid="{B60542BA-9DC5-40EF-990C-6319FDBA735F}"/>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0CC3116E-784E-4808-922D-D01D09C50D92}"/>
    <cellStyle name="Normal 2 4 5 2 2 6 2 3" xfId="13603" xr:uid="{B2D146A3-2D17-4D65-B0E7-BCE21EC864FC}"/>
    <cellStyle name="Normal 2 4 5 2 2 6 3" xfId="6349" xr:uid="{00000000-0005-0000-0000-00005B100000}"/>
    <cellStyle name="Normal 2 4 5 2 2 6 3 2" xfId="15675" xr:uid="{B6ED50D6-98CD-450E-91A6-10CCC538ADD8}"/>
    <cellStyle name="Normal 2 4 5 2 2 6 4" xfId="11458" xr:uid="{DA6154DB-D0A3-4437-8B92-B81BCBFFD175}"/>
    <cellStyle name="Normal 2 4 5 2 2 7" xfId="2479" xr:uid="{00000000-0005-0000-0000-00005C100000}"/>
    <cellStyle name="Normal 2 4 5 2 2 7 2" xfId="6762" xr:uid="{00000000-0005-0000-0000-00005D100000}"/>
    <cellStyle name="Normal 2 4 5 2 2 7 2 2" xfId="16088" xr:uid="{D466E926-8A9E-4D5E-8088-8A0CC1B55144}"/>
    <cellStyle name="Normal 2 4 5 2 2 7 3" xfId="11871" xr:uid="{CDAC40DB-B230-41BE-85C5-64F44717A173}"/>
    <cellStyle name="Normal 2 4 5 2 2 8" xfId="4696" xr:uid="{00000000-0005-0000-0000-00005E100000}"/>
    <cellStyle name="Normal 2 4 5 2 2 8 2" xfId="14022" xr:uid="{ABBC43D2-1637-4EE4-B8A2-8ADA0B77B007}"/>
    <cellStyle name="Normal 2 4 5 2 2 9" xfId="8918" xr:uid="{C191AFB9-5B9B-45BF-8589-0BB68E370D0F}"/>
    <cellStyle name="Normal 2 4 5 2 2 9 2" xfId="18242" xr:uid="{2D0E5875-674E-48B5-82BA-5D91457F54B8}"/>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409D5E83-C0E4-47C0-84E8-D8A06B2E28E6}"/>
    <cellStyle name="Normal 2 4 5 2 3 2 2 3" xfId="12366" xr:uid="{CFEF8618-62DB-4D27-9A8E-9B6AAE9A3260}"/>
    <cellStyle name="Normal 2 4 5 2 3 2 3" xfId="5112" xr:uid="{00000000-0005-0000-0000-000063100000}"/>
    <cellStyle name="Normal 2 4 5 2 3 2 3 2" xfId="14438" xr:uid="{EBED9C13-66C8-46E4-8D82-C6FACC4DEF23}"/>
    <cellStyle name="Normal 2 4 5 2 3 2 4" xfId="9447" xr:uid="{5DAE67B2-15F6-4C7F-9310-B9C816D42F72}"/>
    <cellStyle name="Normal 2 4 5 2 3 2 4 2" xfId="18762" xr:uid="{DEB70E15-1146-4136-B77D-03596B6A3E55}"/>
    <cellStyle name="Normal 2 4 5 2 3 2 5" xfId="10221" xr:uid="{D13E8696-6E3C-49C4-BBF3-ACBEADCCD0C9}"/>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F2CF2817-51DE-4F19-95A8-88E54348A773}"/>
    <cellStyle name="Normal 2 4 5 2 3 3 2 3" xfId="12779" xr:uid="{1D433252-BAFB-4C89-89A6-625F5359AFDC}"/>
    <cellStyle name="Normal 2 4 5 2 3 3 3" xfId="5525" xr:uid="{00000000-0005-0000-0000-000067100000}"/>
    <cellStyle name="Normal 2 4 5 2 3 3 3 2" xfId="14851" xr:uid="{9183984E-770E-4605-AC1E-FE89D2C6A07D}"/>
    <cellStyle name="Normal 2 4 5 2 3 3 4" xfId="10634" xr:uid="{C236C294-68A9-49BE-9443-1DB11490F616}"/>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C018DE11-0D4A-4C84-89B2-538E28C1E97B}"/>
    <cellStyle name="Normal 2 4 5 2 3 4 2 3" xfId="13192" xr:uid="{506B0EED-5F7F-41D0-B4D5-BC82F2DEC656}"/>
    <cellStyle name="Normal 2 4 5 2 3 4 3" xfId="5938" xr:uid="{00000000-0005-0000-0000-00006B100000}"/>
    <cellStyle name="Normal 2 4 5 2 3 4 3 2" xfId="15264" xr:uid="{F5504339-90FF-40F4-91E2-9E3CBCD16235}"/>
    <cellStyle name="Normal 2 4 5 2 3 4 4" xfId="11047" xr:uid="{AD14E5BB-7518-44E2-9B8F-C24375C0244E}"/>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E4D5F4AF-6E1B-480B-BFFF-F310380B28FF}"/>
    <cellStyle name="Normal 2 4 5 2 3 5 2 3" xfId="13605" xr:uid="{06811D3C-0650-4F2F-A895-5E57C6A78118}"/>
    <cellStyle name="Normal 2 4 5 2 3 5 3" xfId="6351" xr:uid="{00000000-0005-0000-0000-00006F100000}"/>
    <cellStyle name="Normal 2 4 5 2 3 5 3 2" xfId="15677" xr:uid="{158C48FF-36F7-49E4-A374-3A8EE441291D}"/>
    <cellStyle name="Normal 2 4 5 2 3 5 4" xfId="11460" xr:uid="{7BC45E8D-C53F-42CC-9265-B389B89D01B6}"/>
    <cellStyle name="Normal 2 4 5 2 3 6" xfId="2481" xr:uid="{00000000-0005-0000-0000-000070100000}"/>
    <cellStyle name="Normal 2 4 5 2 3 6 2" xfId="6764" xr:uid="{00000000-0005-0000-0000-000071100000}"/>
    <cellStyle name="Normal 2 4 5 2 3 6 2 2" xfId="16090" xr:uid="{8BBA5FA9-9610-451C-923E-DC1F9B2409B7}"/>
    <cellStyle name="Normal 2 4 5 2 3 6 3" xfId="11873" xr:uid="{C6B4F894-BDEC-49B1-AECC-A7BD74082C9C}"/>
    <cellStyle name="Normal 2 4 5 2 3 7" xfId="4698" xr:uid="{00000000-0005-0000-0000-000072100000}"/>
    <cellStyle name="Normal 2 4 5 2 3 7 2" xfId="14024" xr:uid="{C892585F-4620-4A63-B7E7-49D63DC16032}"/>
    <cellStyle name="Normal 2 4 5 2 3 8" xfId="9022" xr:uid="{B979F5DF-A88B-437D-B1B4-B92D08856DC7}"/>
    <cellStyle name="Normal 2 4 5 2 3 8 2" xfId="18346" xr:uid="{237F62AD-0845-425A-A486-B830857F8996}"/>
    <cellStyle name="Normal 2 4 5 2 3 9" xfId="9807" xr:uid="{AF93ABAA-3E6A-4CCF-90A0-20C837222574}"/>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FB1B52CA-F796-42FC-9A14-CA5683E92DE1}"/>
    <cellStyle name="Normal 2 4 5 2 4 2 3" xfId="12363" xr:uid="{2EF76B0D-23E0-4CA5-8C05-4B3255ED3CB3}"/>
    <cellStyle name="Normal 2 4 5 2 4 3" xfId="5109" xr:uid="{00000000-0005-0000-0000-000076100000}"/>
    <cellStyle name="Normal 2 4 5 2 4 3 2" xfId="14435" xr:uid="{E36276CC-1D2F-4113-BA05-F4371606B0AA}"/>
    <cellStyle name="Normal 2 4 5 2 4 4" xfId="9240" xr:uid="{16FBE981-4867-4157-8C0D-9C1339DB5B3F}"/>
    <cellStyle name="Normal 2 4 5 2 4 4 2" xfId="18555" xr:uid="{73D8F4CF-4AF8-4AD7-B294-DE934A43BE36}"/>
    <cellStyle name="Normal 2 4 5 2 4 5" xfId="10218" xr:uid="{84800A03-0997-4B1E-84C2-526E5F49CCBD}"/>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E211DA18-63C7-4A96-9C0A-050E5507BB3C}"/>
    <cellStyle name="Normal 2 4 5 2 5 2 3" xfId="12776" xr:uid="{38F2B2AF-5870-42FC-98FE-A1F7485B4460}"/>
    <cellStyle name="Normal 2 4 5 2 5 3" xfId="5522" xr:uid="{00000000-0005-0000-0000-00007A100000}"/>
    <cellStyle name="Normal 2 4 5 2 5 3 2" xfId="14848" xr:uid="{D6136ACC-5FFA-431E-8BE3-4666157E6FFC}"/>
    <cellStyle name="Normal 2 4 5 2 5 4" xfId="10631" xr:uid="{2D8E07EB-0B12-4EF4-A0F3-D163773A3845}"/>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112097F5-1C1C-442E-B22B-4349F4629304}"/>
    <cellStyle name="Normal 2 4 5 2 6 2 3" xfId="13189" xr:uid="{6D3F9662-D5B1-458F-9A1D-8E169C63F3A6}"/>
    <cellStyle name="Normal 2 4 5 2 6 3" xfId="5935" xr:uid="{00000000-0005-0000-0000-00007E100000}"/>
    <cellStyle name="Normal 2 4 5 2 6 3 2" xfId="15261" xr:uid="{5DDAD6BA-D376-4CE7-8B99-A3A261CA82F4}"/>
    <cellStyle name="Normal 2 4 5 2 6 4" xfId="11044" xr:uid="{9F5AB99B-2414-4DB9-96B2-173D56A53A02}"/>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0E7A3C17-DEEF-42D2-ABF7-00B080AF6A79}"/>
    <cellStyle name="Normal 2 4 5 2 7 2 3" xfId="13602" xr:uid="{6C55EE13-874D-47EA-A792-2BED38E32B2B}"/>
    <cellStyle name="Normal 2 4 5 2 7 3" xfId="6348" xr:uid="{00000000-0005-0000-0000-000082100000}"/>
    <cellStyle name="Normal 2 4 5 2 7 3 2" xfId="15674" xr:uid="{082A89DC-AA48-49EB-A03D-348F7EB9D09F}"/>
    <cellStyle name="Normal 2 4 5 2 7 4" xfId="11457" xr:uid="{4ECFA88F-93E5-4460-AA40-EA3D1AE46610}"/>
    <cellStyle name="Normal 2 4 5 2 8" xfId="2478" xr:uid="{00000000-0005-0000-0000-000083100000}"/>
    <cellStyle name="Normal 2 4 5 2 8 2" xfId="6761" xr:uid="{00000000-0005-0000-0000-000084100000}"/>
    <cellStyle name="Normal 2 4 5 2 8 2 2" xfId="16087" xr:uid="{2F45A5A8-E251-4A73-9930-4A7FC287CBEA}"/>
    <cellStyle name="Normal 2 4 5 2 8 3" xfId="11870" xr:uid="{05607BFF-106B-4354-827E-0BB27589937D}"/>
    <cellStyle name="Normal 2 4 5 2 9" xfId="4695" xr:uid="{00000000-0005-0000-0000-000085100000}"/>
    <cellStyle name="Normal 2 4 5 2 9 2" xfId="14021" xr:uid="{8ABB1162-A9F7-4C1B-BE1C-F5000F228B6D}"/>
    <cellStyle name="Normal 2 4 5 3" xfId="308" xr:uid="{00000000-0005-0000-0000-000086100000}"/>
    <cellStyle name="Normal 2 4 5 3 10" xfId="9808" xr:uid="{D0759F84-DFC9-40CB-B98E-CBC2EAA9F435}"/>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0BEAD9DB-E398-47E9-AC8B-BB1FC626EEE3}"/>
    <cellStyle name="Normal 2 4 5 3 2 2 2 3" xfId="12368" xr:uid="{5FE0CA27-B632-42E1-B591-4386187BE729}"/>
    <cellStyle name="Normal 2 4 5 3 2 2 3" xfId="5114" xr:uid="{00000000-0005-0000-0000-00008B100000}"/>
    <cellStyle name="Normal 2 4 5 3 2 2 3 2" xfId="14440" xr:uid="{B9405930-F33A-4B0F-BA70-56A707DDBD0A}"/>
    <cellStyle name="Normal 2 4 5 3 2 2 4" xfId="9515" xr:uid="{A1D6949C-773D-44DB-B26F-4DD01D24FF00}"/>
    <cellStyle name="Normal 2 4 5 3 2 2 4 2" xfId="18830" xr:uid="{848C6D06-2854-436F-95DD-FE26F44F9151}"/>
    <cellStyle name="Normal 2 4 5 3 2 2 5" xfId="10223" xr:uid="{3A0B61BE-B0D3-4896-B9A3-489505EA98B3}"/>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9C1CE0D9-3320-45A0-8EC2-76799F4D5B74}"/>
    <cellStyle name="Normal 2 4 5 3 2 3 2 3" xfId="12781" xr:uid="{C61EBFCB-376C-455A-A01B-9DA66F15EE17}"/>
    <cellStyle name="Normal 2 4 5 3 2 3 3" xfId="5527" xr:uid="{00000000-0005-0000-0000-00008F100000}"/>
    <cellStyle name="Normal 2 4 5 3 2 3 3 2" xfId="14853" xr:uid="{12CFF948-8221-44A9-89EF-3BFEE5492BDA}"/>
    <cellStyle name="Normal 2 4 5 3 2 3 4" xfId="10636" xr:uid="{A0F1B20B-00EA-40A0-B3A1-0EF939DA435F}"/>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89F72B08-137E-4FB2-93F8-6CCA54A6520D}"/>
    <cellStyle name="Normal 2 4 5 3 2 4 2 3" xfId="13194" xr:uid="{97AFC2C9-3535-4135-BA4A-0F7FDB7F80BD}"/>
    <cellStyle name="Normal 2 4 5 3 2 4 3" xfId="5940" xr:uid="{00000000-0005-0000-0000-000093100000}"/>
    <cellStyle name="Normal 2 4 5 3 2 4 3 2" xfId="15266" xr:uid="{3D58A22F-DDC6-4754-B874-941248BF3210}"/>
    <cellStyle name="Normal 2 4 5 3 2 4 4" xfId="11049" xr:uid="{7E892AAD-9042-44E3-9E9A-25545AAD17A9}"/>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1169C470-E1AB-49A3-ADA0-F5CEB8A4055C}"/>
    <cellStyle name="Normal 2 4 5 3 2 5 2 3" xfId="13607" xr:uid="{A94FA07A-DAE8-4CDF-A089-72FA38D385AA}"/>
    <cellStyle name="Normal 2 4 5 3 2 5 3" xfId="6353" xr:uid="{00000000-0005-0000-0000-000097100000}"/>
    <cellStyle name="Normal 2 4 5 3 2 5 3 2" xfId="15679" xr:uid="{8BE6F863-2273-430B-BFF0-A85472BE6F41}"/>
    <cellStyle name="Normal 2 4 5 3 2 5 4" xfId="11462" xr:uid="{4C6D5FD8-EE25-4A62-916E-105FA059A593}"/>
    <cellStyle name="Normal 2 4 5 3 2 6" xfId="2483" xr:uid="{00000000-0005-0000-0000-000098100000}"/>
    <cellStyle name="Normal 2 4 5 3 2 6 2" xfId="6766" xr:uid="{00000000-0005-0000-0000-000099100000}"/>
    <cellStyle name="Normal 2 4 5 3 2 6 2 2" xfId="16092" xr:uid="{B999C2A6-5AE2-4C51-9402-D823728308A5}"/>
    <cellStyle name="Normal 2 4 5 3 2 6 3" xfId="11875" xr:uid="{1787B3C4-D78E-4CB5-992F-0E3C564D9103}"/>
    <cellStyle name="Normal 2 4 5 3 2 7" xfId="4700" xr:uid="{00000000-0005-0000-0000-00009A100000}"/>
    <cellStyle name="Normal 2 4 5 3 2 7 2" xfId="14026" xr:uid="{19124F67-F62D-4645-821C-E7BE4658D393}"/>
    <cellStyle name="Normal 2 4 5 3 2 8" xfId="9090" xr:uid="{4B64C5F8-5AC3-43D3-B94A-46850BBF79A5}"/>
    <cellStyle name="Normal 2 4 5 3 2 8 2" xfId="18414" xr:uid="{C8301E71-1970-4F15-970D-94F8C5A441EA}"/>
    <cellStyle name="Normal 2 4 5 3 2 9" xfId="9809" xr:uid="{88E727D8-162D-4457-BB4B-43E36768A000}"/>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52DB52DE-6DBF-408D-8697-1C994E81A969}"/>
    <cellStyle name="Normal 2 4 5 3 3 2 3" xfId="12367" xr:uid="{DBB57A09-4F06-4091-BA26-C7659210F0BD}"/>
    <cellStyle name="Normal 2 4 5 3 3 3" xfId="5113" xr:uid="{00000000-0005-0000-0000-00009E100000}"/>
    <cellStyle name="Normal 2 4 5 3 3 3 2" xfId="14439" xr:uid="{F7F25253-68F7-4247-AF84-5271F3692912}"/>
    <cellStyle name="Normal 2 4 5 3 3 4" xfId="9308" xr:uid="{40198FFA-4C90-42BE-90C8-42459F1A2A1C}"/>
    <cellStyle name="Normal 2 4 5 3 3 4 2" xfId="18623" xr:uid="{4D70AB00-82D5-48D0-BE96-9C104A2376E3}"/>
    <cellStyle name="Normal 2 4 5 3 3 5" xfId="10222" xr:uid="{55F83BCC-D6BC-48CE-B81E-8180C89EF8A4}"/>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E68A3D6C-B0F2-4A73-8EA6-50474CC58D1F}"/>
    <cellStyle name="Normal 2 4 5 3 4 2 3" xfId="12780" xr:uid="{4BA73780-12EC-4C74-BBB4-53421D56D55F}"/>
    <cellStyle name="Normal 2 4 5 3 4 3" xfId="5526" xr:uid="{00000000-0005-0000-0000-0000A2100000}"/>
    <cellStyle name="Normal 2 4 5 3 4 3 2" xfId="14852" xr:uid="{CC705FCA-6968-4355-9312-102010AC03C6}"/>
    <cellStyle name="Normal 2 4 5 3 4 4" xfId="10635" xr:uid="{F758DAD4-E9EF-48A4-B1C6-AF34A9E8BAE9}"/>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A8431093-A036-4EC6-B903-20D5A50791B1}"/>
    <cellStyle name="Normal 2 4 5 3 5 2 3" xfId="13193" xr:uid="{3DBA1426-93E3-4CFE-A475-3E5919C74C44}"/>
    <cellStyle name="Normal 2 4 5 3 5 3" xfId="5939" xr:uid="{00000000-0005-0000-0000-0000A6100000}"/>
    <cellStyle name="Normal 2 4 5 3 5 3 2" xfId="15265" xr:uid="{ACD6115C-702C-4A48-8961-B39AD4BD9C20}"/>
    <cellStyle name="Normal 2 4 5 3 5 4" xfId="11048" xr:uid="{3DFB0A08-6CCB-4214-9217-847829CF6350}"/>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E87A7F57-1C37-4126-BF99-39BCB4403DC8}"/>
    <cellStyle name="Normal 2 4 5 3 6 2 3" xfId="13606" xr:uid="{0A41C84E-A006-46F5-AF6E-8A72BF6E99FC}"/>
    <cellStyle name="Normal 2 4 5 3 6 3" xfId="6352" xr:uid="{00000000-0005-0000-0000-0000AA100000}"/>
    <cellStyle name="Normal 2 4 5 3 6 3 2" xfId="15678" xr:uid="{56E189AF-6734-4932-BFDA-C63C3695AC33}"/>
    <cellStyle name="Normal 2 4 5 3 6 4" xfId="11461" xr:uid="{04EA0AA1-68E8-47FA-8C29-5B89F1E80876}"/>
    <cellStyle name="Normal 2 4 5 3 7" xfId="2482" xr:uid="{00000000-0005-0000-0000-0000AB100000}"/>
    <cellStyle name="Normal 2 4 5 3 7 2" xfId="6765" xr:uid="{00000000-0005-0000-0000-0000AC100000}"/>
    <cellStyle name="Normal 2 4 5 3 7 2 2" xfId="16091" xr:uid="{90BFCC96-5F03-4450-BAFF-F16F13BB675F}"/>
    <cellStyle name="Normal 2 4 5 3 7 3" xfId="11874" xr:uid="{9BF1C963-0214-4B53-B8F2-4F66971BBCA9}"/>
    <cellStyle name="Normal 2 4 5 3 8" xfId="4699" xr:uid="{00000000-0005-0000-0000-0000AD100000}"/>
    <cellStyle name="Normal 2 4 5 3 8 2" xfId="14025" xr:uid="{C3E07E70-9631-46E5-A459-50484E8529B2}"/>
    <cellStyle name="Normal 2 4 5 3 9" xfId="8883" xr:uid="{0A470B75-873E-4D74-A257-113E3E343E18}"/>
    <cellStyle name="Normal 2 4 5 3 9 2" xfId="18207" xr:uid="{F4E829C4-0F86-47CE-B8B7-759B7711EC66}"/>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0AE1F7BA-CE95-4B0B-A94C-97AC7F43CC94}"/>
    <cellStyle name="Normal 2 4 5 4 2 2 3" xfId="12369" xr:uid="{A990412D-0768-4AD0-987D-CC45663956EF}"/>
    <cellStyle name="Normal 2 4 5 4 2 3" xfId="5115" xr:uid="{00000000-0005-0000-0000-0000B2100000}"/>
    <cellStyle name="Normal 2 4 5 4 2 3 2" xfId="14441" xr:uid="{149C8BA6-3361-49A4-BFDB-8970A981A1F6}"/>
    <cellStyle name="Normal 2 4 5 4 2 4" xfId="9412" xr:uid="{0ECAC303-3EA0-4623-AA0F-854157CA32E5}"/>
    <cellStyle name="Normal 2 4 5 4 2 4 2" xfId="18727" xr:uid="{1C51AC66-5427-460C-8699-04DECEF783F8}"/>
    <cellStyle name="Normal 2 4 5 4 2 5" xfId="10224" xr:uid="{A1E23EEC-13AD-40DA-94F1-8EB1C029BE9D}"/>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CCA81EDB-019A-490C-B997-9579A516BE8B}"/>
    <cellStyle name="Normal 2 4 5 4 3 2 3" xfId="12782" xr:uid="{0778D9C0-A5BA-4FB1-9B70-812220D6C7E1}"/>
    <cellStyle name="Normal 2 4 5 4 3 3" xfId="5528" xr:uid="{00000000-0005-0000-0000-0000B6100000}"/>
    <cellStyle name="Normal 2 4 5 4 3 3 2" xfId="14854" xr:uid="{2C7A2B49-AFDB-4EF8-A996-9478F065A7CE}"/>
    <cellStyle name="Normal 2 4 5 4 3 4" xfId="10637" xr:uid="{ED1B9581-C3BA-40D6-A647-C06D4F74DEA0}"/>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84DB8DF4-B715-44E4-94A8-E7ED2BF5C246}"/>
    <cellStyle name="Normal 2 4 5 4 4 2 3" xfId="13195" xr:uid="{864DDE2F-0E43-4B01-AF22-70DF5979F05E}"/>
    <cellStyle name="Normal 2 4 5 4 4 3" xfId="5941" xr:uid="{00000000-0005-0000-0000-0000BA100000}"/>
    <cellStyle name="Normal 2 4 5 4 4 3 2" xfId="15267" xr:uid="{074D8147-F9E2-470A-8856-847BA6428FDD}"/>
    <cellStyle name="Normal 2 4 5 4 4 4" xfId="11050" xr:uid="{41C3ABFC-559D-4FB2-8BE8-58D571FBDB8D}"/>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C0ACD53B-EC69-481C-9495-FE4C82C8EE99}"/>
    <cellStyle name="Normal 2 4 5 4 5 2 3" xfId="13608" xr:uid="{545911B8-A995-4CCB-8E44-2871BC134B1B}"/>
    <cellStyle name="Normal 2 4 5 4 5 3" xfId="6354" xr:uid="{00000000-0005-0000-0000-0000BE100000}"/>
    <cellStyle name="Normal 2 4 5 4 5 3 2" xfId="15680" xr:uid="{2880AC57-EE5B-4207-B8A5-40F63DC22042}"/>
    <cellStyle name="Normal 2 4 5 4 5 4" xfId="11463" xr:uid="{426BFFAC-7E02-4F62-90BD-93AA9FC73D37}"/>
    <cellStyle name="Normal 2 4 5 4 6" xfId="2484" xr:uid="{00000000-0005-0000-0000-0000BF100000}"/>
    <cellStyle name="Normal 2 4 5 4 6 2" xfId="6767" xr:uid="{00000000-0005-0000-0000-0000C0100000}"/>
    <cellStyle name="Normal 2 4 5 4 6 2 2" xfId="16093" xr:uid="{1EA8686B-6D35-4E75-A55B-DB39FC9FACDF}"/>
    <cellStyle name="Normal 2 4 5 4 6 3" xfId="11876" xr:uid="{D3D67D96-00A7-48C3-ACAB-1B9E8964463A}"/>
    <cellStyle name="Normal 2 4 5 4 7" xfId="4701" xr:uid="{00000000-0005-0000-0000-0000C1100000}"/>
    <cellStyle name="Normal 2 4 5 4 7 2" xfId="14027" xr:uid="{E4611253-E481-4E6C-A91D-3248A06ABDA1}"/>
    <cellStyle name="Normal 2 4 5 4 8" xfId="8987" xr:uid="{8DC2C01A-3078-41AD-BCFB-AA1CA8EE9C0A}"/>
    <cellStyle name="Normal 2 4 5 4 8 2" xfId="18311" xr:uid="{503319F4-0174-4378-91E5-FD3DD79238DE}"/>
    <cellStyle name="Normal 2 4 5 4 9" xfId="9810" xr:uid="{6C118D93-AE86-462D-B526-CC42D6EFCCDC}"/>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E8944124-73B4-4AB2-9210-37281404139B}"/>
    <cellStyle name="Normal 2 4 5 5 2 3" xfId="12362" xr:uid="{3EAE4B4B-58D5-49FC-BD67-5C9093F5D3F6}"/>
    <cellStyle name="Normal 2 4 5 5 3" xfId="5108" xr:uid="{00000000-0005-0000-0000-0000C5100000}"/>
    <cellStyle name="Normal 2 4 5 5 3 2" xfId="14434" xr:uid="{92C517A9-0AFC-444F-AE26-270F1E599DBF}"/>
    <cellStyle name="Normal 2 4 5 5 4" xfId="9204" xr:uid="{BE34B337-03EE-47D8-9E35-2EE6FAB30236}"/>
    <cellStyle name="Normal 2 4 5 5 4 2" xfId="18520" xr:uid="{3C517810-3703-45C7-B184-05B2E3159BF1}"/>
    <cellStyle name="Normal 2 4 5 5 5" xfId="10217" xr:uid="{26B18661-34B6-48BA-9744-DA10E4C91DF5}"/>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05E4A54C-3418-40AF-8252-A62F3783A70C}"/>
    <cellStyle name="Normal 2 4 5 6 2 3" xfId="12775" xr:uid="{69679EFB-14BD-47A9-8DC5-CE69A02E27AD}"/>
    <cellStyle name="Normal 2 4 5 6 3" xfId="5521" xr:uid="{00000000-0005-0000-0000-0000C9100000}"/>
    <cellStyle name="Normal 2 4 5 6 3 2" xfId="14847" xr:uid="{9F2A6EE2-CE05-4F91-85D7-8A992B9958CB}"/>
    <cellStyle name="Normal 2 4 5 6 4" xfId="10630" xr:uid="{B59CD270-1F3A-4F0B-BF4E-9C3FE1DDA76D}"/>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AFD1D154-F686-4BE3-B01D-530B90A0904C}"/>
    <cellStyle name="Normal 2 4 5 7 2 3" xfId="13188" xr:uid="{589BE2B9-8FAD-4B0E-8D3C-1A5786E87731}"/>
    <cellStyle name="Normal 2 4 5 7 3" xfId="5934" xr:uid="{00000000-0005-0000-0000-0000CD100000}"/>
    <cellStyle name="Normal 2 4 5 7 3 2" xfId="15260" xr:uid="{AB5099C8-F4BA-4F81-B42E-70125EAC3EC9}"/>
    <cellStyle name="Normal 2 4 5 7 4" xfId="11043" xr:uid="{E9289CDB-CAA0-4AE5-BC5D-5A4665236DEB}"/>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82B0C3B8-FD69-4B08-B703-5653F7732E27}"/>
    <cellStyle name="Normal 2 4 5 8 2 3" xfId="13601" xr:uid="{175FE621-93CA-4A09-99EF-23BDD271676B}"/>
    <cellStyle name="Normal 2 4 5 8 3" xfId="6347" xr:uid="{00000000-0005-0000-0000-0000D1100000}"/>
    <cellStyle name="Normal 2 4 5 8 3 2" xfId="15673" xr:uid="{A025CA14-B834-4EA7-A245-6691C3365676}"/>
    <cellStyle name="Normal 2 4 5 8 4" xfId="11456" xr:uid="{EC7DDB2B-6C97-43C0-89AB-9D70CDE8C6AE}"/>
    <cellStyle name="Normal 2 4 5 9" xfId="2477" xr:uid="{00000000-0005-0000-0000-0000D2100000}"/>
    <cellStyle name="Normal 2 4 5 9 2" xfId="6760" xr:uid="{00000000-0005-0000-0000-0000D3100000}"/>
    <cellStyle name="Normal 2 4 5 9 2 2" xfId="16086" xr:uid="{78642D3B-D5C0-4EC4-B2BA-37C14C35B51A}"/>
    <cellStyle name="Normal 2 4 5 9 3" xfId="11869" xr:uid="{A93C488C-A1E2-487B-8DDA-50AE2C6AF9E5}"/>
    <cellStyle name="Normal 2 4 6" xfId="311" xr:uid="{00000000-0005-0000-0000-0000D4100000}"/>
    <cellStyle name="Normal 2 4 7" xfId="312" xr:uid="{00000000-0005-0000-0000-0000D5100000}"/>
    <cellStyle name="Normal 2 4 7 10" xfId="9811" xr:uid="{9D4ED24B-4486-4038-BAEE-9F931524DDB6}"/>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B8E3C787-7C14-4E98-9FFA-04A0DC8881E1}"/>
    <cellStyle name="Normal 2 4 7 2 2 2 3" xfId="12371" xr:uid="{9648D8EA-B7FC-41F4-B9DB-953F6A691852}"/>
    <cellStyle name="Normal 2 4 7 2 2 3" xfId="5117" xr:uid="{00000000-0005-0000-0000-0000DA100000}"/>
    <cellStyle name="Normal 2 4 7 2 2 3 2" xfId="14443" xr:uid="{952EC0E0-0CF8-44AD-8964-555583BB0186}"/>
    <cellStyle name="Normal 2 4 7 2 2 4" xfId="9483" xr:uid="{3D7EFF6F-050D-4214-91CB-DF2673F23584}"/>
    <cellStyle name="Normal 2 4 7 2 2 4 2" xfId="18798" xr:uid="{F7D6754C-B10A-41F2-89CF-D328303569B2}"/>
    <cellStyle name="Normal 2 4 7 2 2 5" xfId="10226" xr:uid="{65D3AE19-3D25-4E73-833B-DB32CECBC9AA}"/>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02C2F79E-B8F9-4073-9EB4-DE960A3C0627}"/>
    <cellStyle name="Normal 2 4 7 2 3 2 3" xfId="12784" xr:uid="{9CEBA0E2-57A3-4486-8A0A-FAC8A52C564B}"/>
    <cellStyle name="Normal 2 4 7 2 3 3" xfId="5530" xr:uid="{00000000-0005-0000-0000-0000DE100000}"/>
    <cellStyle name="Normal 2 4 7 2 3 3 2" xfId="14856" xr:uid="{673DD464-4D41-437E-9BB1-61FFCEA8959C}"/>
    <cellStyle name="Normal 2 4 7 2 3 4" xfId="10639" xr:uid="{E5BE82A8-04D6-4DA9-8249-B0856632A17F}"/>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D426A80D-D7A1-4809-9CB1-E19B7C76C58B}"/>
    <cellStyle name="Normal 2 4 7 2 4 2 3" xfId="13197" xr:uid="{42A81F49-2686-46A9-9116-DB7CBB54B107}"/>
    <cellStyle name="Normal 2 4 7 2 4 3" xfId="5943" xr:uid="{00000000-0005-0000-0000-0000E2100000}"/>
    <cellStyle name="Normal 2 4 7 2 4 3 2" xfId="15269" xr:uid="{9D9832BC-4DCB-45ED-B5CE-8A0539B2D540}"/>
    <cellStyle name="Normal 2 4 7 2 4 4" xfId="11052" xr:uid="{D5EDA56C-405E-4D71-81E5-814B752ED0E0}"/>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FAC7C82E-53EA-4E1B-875D-4950CEB72D0C}"/>
    <cellStyle name="Normal 2 4 7 2 5 2 3" xfId="13610" xr:uid="{A7957774-D00B-4B90-8172-DB367BF45A4C}"/>
    <cellStyle name="Normal 2 4 7 2 5 3" xfId="6356" xr:uid="{00000000-0005-0000-0000-0000E6100000}"/>
    <cellStyle name="Normal 2 4 7 2 5 3 2" xfId="15682" xr:uid="{F3C4EDD8-54CB-4192-9738-9CB1B5FD2947}"/>
    <cellStyle name="Normal 2 4 7 2 5 4" xfId="11465" xr:uid="{90942B35-1228-4C32-8E85-570D563042F8}"/>
    <cellStyle name="Normal 2 4 7 2 6" xfId="2486" xr:uid="{00000000-0005-0000-0000-0000E7100000}"/>
    <cellStyle name="Normal 2 4 7 2 6 2" xfId="6769" xr:uid="{00000000-0005-0000-0000-0000E8100000}"/>
    <cellStyle name="Normal 2 4 7 2 6 2 2" xfId="16095" xr:uid="{AE7DC39D-51E2-4E3C-BF1D-46C58C7A88F0}"/>
    <cellStyle name="Normal 2 4 7 2 6 3" xfId="11878" xr:uid="{20DA3131-93FF-46DD-9A7B-92FD7340550A}"/>
    <cellStyle name="Normal 2 4 7 2 7" xfId="4703" xr:uid="{00000000-0005-0000-0000-0000E9100000}"/>
    <cellStyle name="Normal 2 4 7 2 7 2" xfId="14029" xr:uid="{E2B89D80-E479-4600-AFEB-FB07337142BC}"/>
    <cellStyle name="Normal 2 4 7 2 8" xfId="9058" xr:uid="{FCEC438E-EF6A-4A00-BFE3-0DA309169A82}"/>
    <cellStyle name="Normal 2 4 7 2 8 2" xfId="18382" xr:uid="{CB9590BC-06E2-4631-B36F-57132FC8D6F8}"/>
    <cellStyle name="Normal 2 4 7 2 9" xfId="9812" xr:uid="{32002326-D531-4244-BC30-00979AFB426C}"/>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6F24C555-5016-49DA-B449-26BD905BB986}"/>
    <cellStyle name="Normal 2 4 7 3 2 3" xfId="12370" xr:uid="{BDE9943F-8183-482C-9828-2A54EEFE2FF9}"/>
    <cellStyle name="Normal 2 4 7 3 3" xfId="5116" xr:uid="{00000000-0005-0000-0000-0000ED100000}"/>
    <cellStyle name="Normal 2 4 7 3 3 2" xfId="14442" xr:uid="{3C7A4263-3455-40CE-8D91-20C97542C912}"/>
    <cellStyle name="Normal 2 4 7 3 4" xfId="9276" xr:uid="{90A81E61-1719-41E4-8673-7681E805C2E0}"/>
    <cellStyle name="Normal 2 4 7 3 4 2" xfId="18591" xr:uid="{53FC8630-A8A7-4CB5-A799-86D580AA06C9}"/>
    <cellStyle name="Normal 2 4 7 3 5" xfId="10225" xr:uid="{A0864493-EE24-471F-8830-E24E13FD1092}"/>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9245D970-08EE-4B8B-9340-45A778BA2049}"/>
    <cellStyle name="Normal 2 4 7 4 2 3" xfId="12783" xr:uid="{C9C6B9B2-5373-4782-9479-79B036C39E0D}"/>
    <cellStyle name="Normal 2 4 7 4 3" xfId="5529" xr:uid="{00000000-0005-0000-0000-0000F1100000}"/>
    <cellStyle name="Normal 2 4 7 4 3 2" xfId="14855" xr:uid="{949F24D4-D294-48B2-9531-FE1B18C932CC}"/>
    <cellStyle name="Normal 2 4 7 4 4" xfId="10638" xr:uid="{968FB01A-257F-4CCA-8C55-B85AC3F66B0D}"/>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DB543941-B513-404B-A109-3180A20BA279}"/>
    <cellStyle name="Normal 2 4 7 5 2 3" xfId="13196" xr:uid="{D5B8103B-E1D1-4C8E-B590-43B8D6354DF0}"/>
    <cellStyle name="Normal 2 4 7 5 3" xfId="5942" xr:uid="{00000000-0005-0000-0000-0000F5100000}"/>
    <cellStyle name="Normal 2 4 7 5 3 2" xfId="15268" xr:uid="{22473343-07D0-4E41-8AEC-B66272F8ED74}"/>
    <cellStyle name="Normal 2 4 7 5 4" xfId="11051" xr:uid="{4B1046B5-47C8-456D-98C6-F8D91DD479EF}"/>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74E3AA13-2C51-4E83-9ACD-537D2C8AA3AD}"/>
    <cellStyle name="Normal 2 4 7 6 2 3" xfId="13609" xr:uid="{A37F66FC-DD5E-48EB-9B24-301796F68E6E}"/>
    <cellStyle name="Normal 2 4 7 6 3" xfId="6355" xr:uid="{00000000-0005-0000-0000-0000F9100000}"/>
    <cellStyle name="Normal 2 4 7 6 3 2" xfId="15681" xr:uid="{47142055-BA74-4459-B3BD-16F443E18896}"/>
    <cellStyle name="Normal 2 4 7 6 4" xfId="11464" xr:uid="{C5564D1F-C475-47B6-93D6-43D5D79BA7B7}"/>
    <cellStyle name="Normal 2 4 7 7" xfId="2485" xr:uid="{00000000-0005-0000-0000-0000FA100000}"/>
    <cellStyle name="Normal 2 4 7 7 2" xfId="6768" xr:uid="{00000000-0005-0000-0000-0000FB100000}"/>
    <cellStyle name="Normal 2 4 7 7 2 2" xfId="16094" xr:uid="{E28CD90B-35C6-4CD4-A53E-C3CD45266B6C}"/>
    <cellStyle name="Normal 2 4 7 7 3" xfId="11877" xr:uid="{5C4E5599-79E5-45B5-88C5-A6F298969759}"/>
    <cellStyle name="Normal 2 4 7 8" xfId="4702" xr:uid="{00000000-0005-0000-0000-0000FC100000}"/>
    <cellStyle name="Normal 2 4 7 8 2" xfId="14028" xr:uid="{0C3200FF-BB43-4EED-853F-2FA7B06410FF}"/>
    <cellStyle name="Normal 2 4 7 9" xfId="8851" xr:uid="{6946A6C1-9296-4D8F-B36F-8F7964FD7AC6}"/>
    <cellStyle name="Normal 2 4 7 9 2" xfId="18175" xr:uid="{3B5A0259-92B5-46AA-A541-EFECE03474A2}"/>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7B3CDC7E-6139-4456-8F2A-AC90B25E2392}"/>
    <cellStyle name="Normal 2 4 8 2 2 3" xfId="12372" xr:uid="{C9C1BE2F-33E4-493E-80AD-99F7B9C10DDD}"/>
    <cellStyle name="Normal 2 4 8 2 3" xfId="5118" xr:uid="{00000000-0005-0000-0000-000001110000}"/>
    <cellStyle name="Normal 2 4 8 2 3 2" xfId="14444" xr:uid="{1806A4C0-48DF-4A2D-85F3-5C28ACC4529D}"/>
    <cellStyle name="Normal 2 4 8 2 4" xfId="9392" xr:uid="{812B973E-E5C9-43CD-85B0-C8CA30BD9BF3}"/>
    <cellStyle name="Normal 2 4 8 2 4 2" xfId="18707" xr:uid="{5546E4B2-677B-46D9-BAAA-2CDC41A47C71}"/>
    <cellStyle name="Normal 2 4 8 2 5" xfId="10227" xr:uid="{3116D944-C7A3-4328-815A-1DD067987F76}"/>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C9A8CCAB-81DA-4031-9593-5193B4D9E960}"/>
    <cellStyle name="Normal 2 4 8 3 2 3" xfId="12785" xr:uid="{39F491C3-739E-4818-A3E3-CD993A6A19FF}"/>
    <cellStyle name="Normal 2 4 8 3 3" xfId="5531" xr:uid="{00000000-0005-0000-0000-000005110000}"/>
    <cellStyle name="Normal 2 4 8 3 3 2" xfId="14857" xr:uid="{8901A451-CD56-43EE-9479-E30600A238F3}"/>
    <cellStyle name="Normal 2 4 8 3 4" xfId="10640" xr:uid="{510593B6-5750-461F-8DE7-9DDDE3FE48E0}"/>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969E2CD5-6C87-4242-A875-387A2E474676}"/>
    <cellStyle name="Normal 2 4 8 4 2 3" xfId="13198" xr:uid="{5FEBF030-3A6B-489A-AC37-2FDC446D08F2}"/>
    <cellStyle name="Normal 2 4 8 4 3" xfId="5944" xr:uid="{00000000-0005-0000-0000-000009110000}"/>
    <cellStyle name="Normal 2 4 8 4 3 2" xfId="15270" xr:uid="{F127DAB9-B66F-4433-BF5A-278864240699}"/>
    <cellStyle name="Normal 2 4 8 4 4" xfId="11053" xr:uid="{B9AB019F-B949-4A4B-9056-65A438C1E05A}"/>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A2B2F81E-258B-4894-B0F9-95FE5E3F3563}"/>
    <cellStyle name="Normal 2 4 8 5 2 3" xfId="13611" xr:uid="{F486E786-2792-4F20-B93E-919B1321C926}"/>
    <cellStyle name="Normal 2 4 8 5 3" xfId="6357" xr:uid="{00000000-0005-0000-0000-00000D110000}"/>
    <cellStyle name="Normal 2 4 8 5 3 2" xfId="15683" xr:uid="{37EFDD9C-C5A2-478D-BC48-C650E3E59C52}"/>
    <cellStyle name="Normal 2 4 8 5 4" xfId="11466" xr:uid="{E6A9C610-88E8-4874-AF26-3D5744F02D20}"/>
    <cellStyle name="Normal 2 4 8 6" xfId="2487" xr:uid="{00000000-0005-0000-0000-00000E110000}"/>
    <cellStyle name="Normal 2 4 8 6 2" xfId="6770" xr:uid="{00000000-0005-0000-0000-00000F110000}"/>
    <cellStyle name="Normal 2 4 8 6 2 2" xfId="16096" xr:uid="{A5A7754A-3F92-4039-91C0-3F90DDDE67E5}"/>
    <cellStyle name="Normal 2 4 8 6 3" xfId="11879" xr:uid="{DFBDF2FE-3030-40A0-8FE0-3C9DFDC2BDAB}"/>
    <cellStyle name="Normal 2 4 8 7" xfId="4704" xr:uid="{00000000-0005-0000-0000-000010110000}"/>
    <cellStyle name="Normal 2 4 8 7 2" xfId="14030" xr:uid="{FC45BA5E-A37F-476D-AFDA-5A41064CAF51}"/>
    <cellStyle name="Normal 2 4 8 8" xfId="8967" xr:uid="{32AC97CD-D3FD-4AE1-A8B2-07BEA9D5DE52}"/>
    <cellStyle name="Normal 2 4 8 8 2" xfId="18291" xr:uid="{BC26E2A9-85FB-4A45-A64C-5B3E3C22C8BB}"/>
    <cellStyle name="Normal 2 4 8 9" xfId="9813" xr:uid="{F767C85A-C027-4837-9E71-6C8C6F2B7E6D}"/>
    <cellStyle name="Normal 2 4 9" xfId="9170" xr:uid="{5569C060-E090-4551-A44D-517EC3FD1834}"/>
    <cellStyle name="Normal 2 4 9 2" xfId="18488" xr:uid="{0E552025-9464-43AF-9FCC-A61FC4F54E60}"/>
    <cellStyle name="Normal 2 5" xfId="315" xr:uid="{00000000-0005-0000-0000-000011110000}"/>
    <cellStyle name="Normal 2 5 10" xfId="4705" xr:uid="{00000000-0005-0000-0000-000012110000}"/>
    <cellStyle name="Normal 2 5 10 2" xfId="14031" xr:uid="{8C41FAAB-02D4-4273-98BC-F627EC3BCDFC}"/>
    <cellStyle name="Normal 2 5 11" xfId="9814" xr:uid="{D58AD04C-CDB9-4BE6-9CD5-7F5B64918445}"/>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140" xr:uid="{84C8BC48-E384-43EB-9D23-23B442C052F1}"/>
    <cellStyle name="Normal 2 5 4 11" xfId="9815" xr:uid="{98E2B77E-EDCA-4504-B987-7ED304E286E3}"/>
    <cellStyle name="Normal 2 5 4 2" xfId="319" xr:uid="{00000000-0005-0000-0000-000016110000}"/>
    <cellStyle name="Normal 2 5 4 2 10" xfId="9816" xr:uid="{0C2F9399-9EFD-450B-8258-0606ADE30B3E}"/>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576D99FD-3F61-4750-9753-63ED382C22FF}"/>
    <cellStyle name="Normal 2 5 4 2 2 2 2 3" xfId="12376" xr:uid="{2729A2F2-F2A1-4196-A5EE-62B3152E07DC}"/>
    <cellStyle name="Normal 2 5 4 2 2 2 3" xfId="5122" xr:uid="{00000000-0005-0000-0000-00001B110000}"/>
    <cellStyle name="Normal 2 5 4 2 2 2 3 2" xfId="14448" xr:uid="{824BDCE2-A017-4123-90CA-155320DB1B71}"/>
    <cellStyle name="Normal 2 5 4 2 2 2 4" xfId="9551" xr:uid="{392D7741-6781-4EA5-9C28-040053C1B05B}"/>
    <cellStyle name="Normal 2 5 4 2 2 2 4 2" xfId="18866" xr:uid="{B5064313-61EB-4C2A-AAA6-BEDFC023024A}"/>
    <cellStyle name="Normal 2 5 4 2 2 2 5" xfId="10231" xr:uid="{729F7E53-5049-440B-9ECE-5EC25EFD2157}"/>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4AF7576A-10AA-490B-ACFF-90423FE56998}"/>
    <cellStyle name="Normal 2 5 4 2 2 3 2 3" xfId="12789" xr:uid="{2E2A69CE-659E-405D-9BAA-419224EE6353}"/>
    <cellStyle name="Normal 2 5 4 2 2 3 3" xfId="5535" xr:uid="{00000000-0005-0000-0000-00001F110000}"/>
    <cellStyle name="Normal 2 5 4 2 2 3 3 2" xfId="14861" xr:uid="{6D5331A7-3C1E-46F8-941A-3B56561FC0A3}"/>
    <cellStyle name="Normal 2 5 4 2 2 3 4" xfId="10644" xr:uid="{16156DD9-222E-48BC-A11A-4618E066979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1AF28BA3-1678-4D5F-97DB-BAAE2A8C8BB5}"/>
    <cellStyle name="Normal 2 5 4 2 2 4 2 3" xfId="13202" xr:uid="{993CFFF8-F673-4E1F-9C69-828B65C57E86}"/>
    <cellStyle name="Normal 2 5 4 2 2 4 3" xfId="5948" xr:uid="{00000000-0005-0000-0000-000023110000}"/>
    <cellStyle name="Normal 2 5 4 2 2 4 3 2" xfId="15274" xr:uid="{E0FFCAF6-534D-4756-906B-82CB58BA3C0C}"/>
    <cellStyle name="Normal 2 5 4 2 2 4 4" xfId="11057" xr:uid="{B2F44FEF-A600-4A8B-AC40-E526AE6DFAD9}"/>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2B6A0823-1016-4C62-A621-F6ADE9E02D58}"/>
    <cellStyle name="Normal 2 5 4 2 2 5 2 3" xfId="13615" xr:uid="{E8C96832-9E5D-4D78-A389-9223BCE5C1F8}"/>
    <cellStyle name="Normal 2 5 4 2 2 5 3" xfId="6361" xr:uid="{00000000-0005-0000-0000-000027110000}"/>
    <cellStyle name="Normal 2 5 4 2 2 5 3 2" xfId="15687" xr:uid="{BDF96019-B34D-4D14-89B3-2C2C9D3F7395}"/>
    <cellStyle name="Normal 2 5 4 2 2 5 4" xfId="11470" xr:uid="{3416A331-8A67-4FC8-BC46-EBA1F4E5C154}"/>
    <cellStyle name="Normal 2 5 4 2 2 6" xfId="2491" xr:uid="{00000000-0005-0000-0000-000028110000}"/>
    <cellStyle name="Normal 2 5 4 2 2 6 2" xfId="6774" xr:uid="{00000000-0005-0000-0000-000029110000}"/>
    <cellStyle name="Normal 2 5 4 2 2 6 2 2" xfId="16100" xr:uid="{9BDBD45E-997E-4C7A-AEE8-5E212C4D3739}"/>
    <cellStyle name="Normal 2 5 4 2 2 6 3" xfId="11883" xr:uid="{DF48FB12-208E-4058-8035-0997BCFD504D}"/>
    <cellStyle name="Normal 2 5 4 2 2 7" xfId="4708" xr:uid="{00000000-0005-0000-0000-00002A110000}"/>
    <cellStyle name="Normal 2 5 4 2 2 7 2" xfId="14034" xr:uid="{98B192CD-415A-4079-AEB5-2C997BFB033F}"/>
    <cellStyle name="Normal 2 5 4 2 2 8" xfId="9126" xr:uid="{C2CF4AFD-4082-4555-941B-6E9759C32D63}"/>
    <cellStyle name="Normal 2 5 4 2 2 8 2" xfId="18450" xr:uid="{2826A4C3-9336-4E3B-AB65-6323E013B858}"/>
    <cellStyle name="Normal 2 5 4 2 2 9" xfId="9817" xr:uid="{B615EF61-BF0B-4564-B7EE-74657B87B1C5}"/>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6F9E7DA6-4169-444D-90DA-84F2A3EFB609}"/>
    <cellStyle name="Normal 2 5 4 2 3 2 3" xfId="12375" xr:uid="{3328983C-9DD0-4F9C-BCFD-6404126F88C4}"/>
    <cellStyle name="Normal 2 5 4 2 3 3" xfId="5121" xr:uid="{00000000-0005-0000-0000-00002E110000}"/>
    <cellStyle name="Normal 2 5 4 2 3 3 2" xfId="14447" xr:uid="{8E5B6885-18B2-425D-AA64-E4BF96E16135}"/>
    <cellStyle name="Normal 2 5 4 2 3 4" xfId="9344" xr:uid="{207B8A34-09D9-4349-A9C7-5A5A998C6B6F}"/>
    <cellStyle name="Normal 2 5 4 2 3 4 2" xfId="18659" xr:uid="{CD88EACE-C8C0-4895-890E-3A5EA5DA4475}"/>
    <cellStyle name="Normal 2 5 4 2 3 5" xfId="10230" xr:uid="{34AE0E0A-A106-42FF-AB34-40987BC2F7EA}"/>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CFDD92F0-2EB3-4487-876C-EFC77567EDE5}"/>
    <cellStyle name="Normal 2 5 4 2 4 2 3" xfId="12788" xr:uid="{A2DACBFE-E1B2-4ABB-B38D-7CFC76030126}"/>
    <cellStyle name="Normal 2 5 4 2 4 3" xfId="5534" xr:uid="{00000000-0005-0000-0000-000032110000}"/>
    <cellStyle name="Normal 2 5 4 2 4 3 2" xfId="14860" xr:uid="{69213E62-0EE2-439E-A6D1-D657BA9AC4B7}"/>
    <cellStyle name="Normal 2 5 4 2 4 4" xfId="10643" xr:uid="{B23205FE-A5A7-4DCE-A1F1-E7459FA05A23}"/>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155B8344-6D9E-40FB-911B-8AF85EF86A84}"/>
    <cellStyle name="Normal 2 5 4 2 5 2 3" xfId="13201" xr:uid="{CBCA1F8A-416F-4859-9B6B-9F2A33A29D59}"/>
    <cellStyle name="Normal 2 5 4 2 5 3" xfId="5947" xr:uid="{00000000-0005-0000-0000-000036110000}"/>
    <cellStyle name="Normal 2 5 4 2 5 3 2" xfId="15273" xr:uid="{F2DA7456-EC1F-47AA-A742-DE492ABF4F50}"/>
    <cellStyle name="Normal 2 5 4 2 5 4" xfId="11056" xr:uid="{690AB175-57A4-4F88-9633-7DB589174994}"/>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82A35B02-112B-4473-9105-C1893C122174}"/>
    <cellStyle name="Normal 2 5 4 2 6 2 3" xfId="13614" xr:uid="{6C9DC855-FF6C-42EB-A3E6-7D1BBA2D3504}"/>
    <cellStyle name="Normal 2 5 4 2 6 3" xfId="6360" xr:uid="{00000000-0005-0000-0000-00003A110000}"/>
    <cellStyle name="Normal 2 5 4 2 6 3 2" xfId="15686" xr:uid="{73F23750-91EC-4F42-9E48-044A3F9A48EB}"/>
    <cellStyle name="Normal 2 5 4 2 6 4" xfId="11469" xr:uid="{E25D8F81-04CA-47F5-A97F-DCFA197076AD}"/>
    <cellStyle name="Normal 2 5 4 2 7" xfId="2490" xr:uid="{00000000-0005-0000-0000-00003B110000}"/>
    <cellStyle name="Normal 2 5 4 2 7 2" xfId="6773" xr:uid="{00000000-0005-0000-0000-00003C110000}"/>
    <cellStyle name="Normal 2 5 4 2 7 2 2" xfId="16099" xr:uid="{727F91C8-E266-4B4B-9AFE-44A07F652401}"/>
    <cellStyle name="Normal 2 5 4 2 7 3" xfId="11882" xr:uid="{B80342C5-4E0B-43BC-B8F7-6AA50BCD3565}"/>
    <cellStyle name="Normal 2 5 4 2 8" xfId="4707" xr:uid="{00000000-0005-0000-0000-00003D110000}"/>
    <cellStyle name="Normal 2 5 4 2 8 2" xfId="14033" xr:uid="{5D9CF769-0AA7-4BD3-9982-FC55C98872CE}"/>
    <cellStyle name="Normal 2 5 4 2 9" xfId="8919" xr:uid="{2A8C96F6-0F22-4271-BCA3-7E5B2E35A54F}"/>
    <cellStyle name="Normal 2 5 4 2 9 2" xfId="18243" xr:uid="{EC85681F-9323-4E13-AB24-3A2D6D1678E9}"/>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DD4E17C8-2AA1-4A54-B1A7-ECDDFBB6FAC8}"/>
    <cellStyle name="Normal 2 5 4 3 2 2 3" xfId="12377" xr:uid="{08DAC608-1321-4C97-BF97-E26607E2EE4A}"/>
    <cellStyle name="Normal 2 5 4 3 2 3" xfId="5123" xr:uid="{00000000-0005-0000-0000-000042110000}"/>
    <cellStyle name="Normal 2 5 4 3 2 3 2" xfId="14449" xr:uid="{8DB81E1D-57A3-480C-8FEE-596B5B11F895}"/>
    <cellStyle name="Normal 2 5 4 3 2 4" xfId="9448" xr:uid="{0C1738F2-697E-4430-8A3F-E67747B3EDB0}"/>
    <cellStyle name="Normal 2 5 4 3 2 4 2" xfId="18763" xr:uid="{F529D55E-FB02-4BD6-BAE0-64209325D455}"/>
    <cellStyle name="Normal 2 5 4 3 2 5" xfId="10232" xr:uid="{3FC2A458-7586-4717-B6D0-D759A3E6BA4D}"/>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6D47E424-9F7B-403A-AF04-580353949D67}"/>
    <cellStyle name="Normal 2 5 4 3 3 2 3" xfId="12790" xr:uid="{DCB0F5A0-C317-4334-86E5-242F9F994F61}"/>
    <cellStyle name="Normal 2 5 4 3 3 3" xfId="5536" xr:uid="{00000000-0005-0000-0000-000046110000}"/>
    <cellStyle name="Normal 2 5 4 3 3 3 2" xfId="14862" xr:uid="{D9E04A11-056D-41C1-AA44-F770DA609FB7}"/>
    <cellStyle name="Normal 2 5 4 3 3 4" xfId="10645" xr:uid="{209E5A40-0DA6-46AF-8EF8-877B1A927558}"/>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F468D95C-7AC4-4DFA-8B84-388AD63C1451}"/>
    <cellStyle name="Normal 2 5 4 3 4 2 3" xfId="13203" xr:uid="{2F845961-79C4-4CF6-B801-156EC45D7C37}"/>
    <cellStyle name="Normal 2 5 4 3 4 3" xfId="5949" xr:uid="{00000000-0005-0000-0000-00004A110000}"/>
    <cellStyle name="Normal 2 5 4 3 4 3 2" xfId="15275" xr:uid="{E8EBAA97-3F24-4929-9D36-119C5065D4AA}"/>
    <cellStyle name="Normal 2 5 4 3 4 4" xfId="11058" xr:uid="{658B878B-A3FA-47AB-9267-B5FA989C3D25}"/>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A26ADA2C-6EB8-4D8A-B9F6-FCBF116A965C}"/>
    <cellStyle name="Normal 2 5 4 3 5 2 3" xfId="13616" xr:uid="{B296BB30-6BD9-496D-B6C9-36A5D9C92C2B}"/>
    <cellStyle name="Normal 2 5 4 3 5 3" xfId="6362" xr:uid="{00000000-0005-0000-0000-00004E110000}"/>
    <cellStyle name="Normal 2 5 4 3 5 3 2" xfId="15688" xr:uid="{7E23BACD-355C-4094-BAD2-86E268DB5969}"/>
    <cellStyle name="Normal 2 5 4 3 5 4" xfId="11471" xr:uid="{5306A3A9-F45D-4033-82C7-249F589F699B}"/>
    <cellStyle name="Normal 2 5 4 3 6" xfId="2492" xr:uid="{00000000-0005-0000-0000-00004F110000}"/>
    <cellStyle name="Normal 2 5 4 3 6 2" xfId="6775" xr:uid="{00000000-0005-0000-0000-000050110000}"/>
    <cellStyle name="Normal 2 5 4 3 6 2 2" xfId="16101" xr:uid="{056CDB8B-F53F-4ADE-B1C3-893828F66CDF}"/>
    <cellStyle name="Normal 2 5 4 3 6 3" xfId="11884" xr:uid="{223B5BEB-C619-4E96-AB38-E4EF94C7CD7C}"/>
    <cellStyle name="Normal 2 5 4 3 7" xfId="4709" xr:uid="{00000000-0005-0000-0000-000051110000}"/>
    <cellStyle name="Normal 2 5 4 3 7 2" xfId="14035" xr:uid="{1C7921D1-C6D1-4441-B2CA-302AA586069E}"/>
    <cellStyle name="Normal 2 5 4 3 8" xfId="9023" xr:uid="{9B869639-3DD4-4511-AD70-D5125D34938F}"/>
    <cellStyle name="Normal 2 5 4 3 8 2" xfId="18347" xr:uid="{C425B154-A73D-47B1-AE2F-C44B2EF4CCA0}"/>
    <cellStyle name="Normal 2 5 4 3 9" xfId="9818" xr:uid="{5388C1E1-8077-41FD-8624-3E8F0FD894AA}"/>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017B4414-DAC0-4F28-8BB1-A96FDAAB1440}"/>
    <cellStyle name="Normal 2 5 4 4 2 3" xfId="12374" xr:uid="{6A80C4FA-ED1C-439E-8861-5CE4508E9EE0}"/>
    <cellStyle name="Normal 2 5 4 4 3" xfId="5120" xr:uid="{00000000-0005-0000-0000-000055110000}"/>
    <cellStyle name="Normal 2 5 4 4 3 2" xfId="14446" xr:uid="{E688256F-0291-4FE8-9DAE-98991CBB3358}"/>
    <cellStyle name="Normal 2 5 4 4 4" xfId="9241" xr:uid="{2BD2F05F-E4C9-46B4-B3C9-F0D081C1F38F}"/>
    <cellStyle name="Normal 2 5 4 4 4 2" xfId="18556" xr:uid="{4EE27175-9978-48D2-AE69-C9D0E8630C05}"/>
    <cellStyle name="Normal 2 5 4 4 5" xfId="10229" xr:uid="{C075881C-AC45-4D08-AADF-0020989ED03D}"/>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847AF2C7-043F-4E4C-BCFB-5AFB16F3F91E}"/>
    <cellStyle name="Normal 2 5 4 5 2 3" xfId="12787" xr:uid="{715D6010-113C-4F0C-97E1-FAF3854BC198}"/>
    <cellStyle name="Normal 2 5 4 5 3" xfId="5533" xr:uid="{00000000-0005-0000-0000-000059110000}"/>
    <cellStyle name="Normal 2 5 4 5 3 2" xfId="14859" xr:uid="{1B6486F4-A0CA-4DB1-A439-DA4FEE0FC28B}"/>
    <cellStyle name="Normal 2 5 4 5 4" xfId="10642" xr:uid="{CA14A667-3FC1-4FFB-B8EA-266DBE59AF02}"/>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5BF7314A-3C81-44A8-AAC0-81B33860D8F4}"/>
    <cellStyle name="Normal 2 5 4 6 2 3" xfId="13200" xr:uid="{2C560F43-8AA7-4866-AD4C-A2587705AB89}"/>
    <cellStyle name="Normal 2 5 4 6 3" xfId="5946" xr:uid="{00000000-0005-0000-0000-00005D110000}"/>
    <cellStyle name="Normal 2 5 4 6 3 2" xfId="15272" xr:uid="{2D422B44-2108-4DAB-9765-4C6455D21A15}"/>
    <cellStyle name="Normal 2 5 4 6 4" xfId="11055" xr:uid="{C2AB09FD-0EF4-4745-AD68-AF4B3ABF2062}"/>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3D4DE6CC-97CA-49CB-BC49-818AD1E34272}"/>
    <cellStyle name="Normal 2 5 4 7 2 3" xfId="13613" xr:uid="{013E67F8-52B3-440C-BB92-2F32E3685A96}"/>
    <cellStyle name="Normal 2 5 4 7 3" xfId="6359" xr:uid="{00000000-0005-0000-0000-000061110000}"/>
    <cellStyle name="Normal 2 5 4 7 3 2" xfId="15685" xr:uid="{A976940F-C30F-4E44-BFFA-B4AA749ECD23}"/>
    <cellStyle name="Normal 2 5 4 7 4" xfId="11468" xr:uid="{50D1681B-71CA-4834-A6A2-843A9A41C126}"/>
    <cellStyle name="Normal 2 5 4 8" xfId="2489" xr:uid="{00000000-0005-0000-0000-000062110000}"/>
    <cellStyle name="Normal 2 5 4 8 2" xfId="6772" xr:uid="{00000000-0005-0000-0000-000063110000}"/>
    <cellStyle name="Normal 2 5 4 8 2 2" xfId="16098" xr:uid="{7DDB199D-5423-44A4-8C59-B70CF1B8681D}"/>
    <cellStyle name="Normal 2 5 4 8 3" xfId="11881" xr:uid="{3158F4EE-A259-4265-9527-62652BD7D3D1}"/>
    <cellStyle name="Normal 2 5 4 9" xfId="4706" xr:uid="{00000000-0005-0000-0000-000064110000}"/>
    <cellStyle name="Normal 2 5 4 9 2" xfId="14032" xr:uid="{D6DA0C89-37F4-459A-8B89-DD7D8B0EC2C2}"/>
    <cellStyle name="Normal 2 5 5" xfId="803" xr:uid="{00000000-0005-0000-0000-000065110000}"/>
    <cellStyle name="Normal 2 5 5 2" xfId="3042" xr:uid="{00000000-0005-0000-0000-000066110000}"/>
    <cellStyle name="Normal 2 5 5 2 2" xfId="7264" xr:uid="{00000000-0005-0000-0000-000067110000}"/>
    <cellStyle name="Normal 2 5 5 2 2 2" xfId="16590" xr:uid="{D3DD830B-0DA3-498E-A877-14C31C670365}"/>
    <cellStyle name="Normal 2 5 5 2 3" xfId="12373" xr:uid="{708C187F-DD47-4C39-9838-84CDD88A4C38}"/>
    <cellStyle name="Normal 2 5 5 3" xfId="5119" xr:uid="{00000000-0005-0000-0000-000068110000}"/>
    <cellStyle name="Normal 2 5 5 3 2" xfId="14445" xr:uid="{5001E7BE-27DF-4EC5-BBC7-ABD34D15F65E}"/>
    <cellStyle name="Normal 2 5 5 4" xfId="9606" xr:uid="{3AE4D77A-44EE-40C2-9F71-05FBDE2746B2}"/>
    <cellStyle name="Normal 2 5 5 4 2" xfId="18907" xr:uid="{7221FCC0-1316-4862-A3F4-C1F12B995129}"/>
    <cellStyle name="Normal 2 5 5 5" xfId="10228" xr:uid="{1017A260-F670-4FE1-9D3D-DB250C07BD2E}"/>
    <cellStyle name="Normal 2 5 6" xfId="1225" xr:uid="{00000000-0005-0000-0000-000069110000}"/>
    <cellStyle name="Normal 2 5 6 2" xfId="3455" xr:uid="{00000000-0005-0000-0000-00006A110000}"/>
    <cellStyle name="Normal 2 5 6 2 2" xfId="7677" xr:uid="{00000000-0005-0000-0000-00006B110000}"/>
    <cellStyle name="Normal 2 5 6 2 2 2" xfId="17003" xr:uid="{7FE79793-9787-47CB-A6CC-19489C11F568}"/>
    <cellStyle name="Normal 2 5 6 2 3" xfId="12786" xr:uid="{C61A2766-3543-4F3F-A892-494EF57EFA86}"/>
    <cellStyle name="Normal 2 5 6 3" xfId="5532" xr:uid="{00000000-0005-0000-0000-00006C110000}"/>
    <cellStyle name="Normal 2 5 6 3 2" xfId="14858" xr:uid="{088761AB-1FD7-4B4D-94B9-18A1619443AE}"/>
    <cellStyle name="Normal 2 5 6 4" xfId="10641" xr:uid="{09EB4A57-3656-4F80-8EEA-9AB8CFC1749F}"/>
    <cellStyle name="Normal 2 5 7" xfId="1638" xr:uid="{00000000-0005-0000-0000-00006D110000}"/>
    <cellStyle name="Normal 2 5 7 2" xfId="3868" xr:uid="{00000000-0005-0000-0000-00006E110000}"/>
    <cellStyle name="Normal 2 5 7 2 2" xfId="8090" xr:uid="{00000000-0005-0000-0000-00006F110000}"/>
    <cellStyle name="Normal 2 5 7 2 2 2" xfId="17416" xr:uid="{A935963F-6B1A-4485-9E7E-0D2818B94165}"/>
    <cellStyle name="Normal 2 5 7 2 3" xfId="13199" xr:uid="{63B254F9-BDB3-4B0B-8358-FA5D440D4A07}"/>
    <cellStyle name="Normal 2 5 7 3" xfId="5945" xr:uid="{00000000-0005-0000-0000-000070110000}"/>
    <cellStyle name="Normal 2 5 7 3 2" xfId="15271" xr:uid="{E166403F-8960-4713-9299-3EBEF7AE2B40}"/>
    <cellStyle name="Normal 2 5 7 4" xfId="11054" xr:uid="{D75A17A0-12D2-45DB-ACDD-036DD854B2B7}"/>
    <cellStyle name="Normal 2 5 8" xfId="2052" xr:uid="{00000000-0005-0000-0000-000071110000}"/>
    <cellStyle name="Normal 2 5 8 2" xfId="4281" xr:uid="{00000000-0005-0000-0000-000072110000}"/>
    <cellStyle name="Normal 2 5 8 2 2" xfId="8503" xr:uid="{00000000-0005-0000-0000-000073110000}"/>
    <cellStyle name="Normal 2 5 8 2 2 2" xfId="17829" xr:uid="{D515BB12-4F47-4B0E-B7A9-D26AEC3D1A83}"/>
    <cellStyle name="Normal 2 5 8 2 3" xfId="13612" xr:uid="{BB75ED77-7300-4851-917C-12435D742540}"/>
    <cellStyle name="Normal 2 5 8 3" xfId="6358" xr:uid="{00000000-0005-0000-0000-000074110000}"/>
    <cellStyle name="Normal 2 5 8 3 2" xfId="15684" xr:uid="{94BA1C4A-07A9-44D5-A93E-2A0DE2AE92CF}"/>
    <cellStyle name="Normal 2 5 8 4" xfId="11467" xr:uid="{BBD4DB97-C2BB-42D2-A4AC-3F75DACE7E40}"/>
    <cellStyle name="Normal 2 5 9" xfId="2488" xr:uid="{00000000-0005-0000-0000-000075110000}"/>
    <cellStyle name="Normal 2 5 9 2" xfId="6771" xr:uid="{00000000-0005-0000-0000-000076110000}"/>
    <cellStyle name="Normal 2 5 9 2 2" xfId="16097" xr:uid="{D0B1343E-0560-493C-A5ED-826A0B933214}"/>
    <cellStyle name="Normal 2 5 9 3" xfId="11880" xr:uid="{1C75F50B-4C18-4DA3-9A21-16FAF34BEB87}"/>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18479" xr:uid="{C4C552CE-E9EC-40B6-BF31-42D6652B3B21}"/>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6027ADEC-4A2E-466D-B952-6C0A000956BC}"/>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141" xr:uid="{940B6540-CD55-4DF3-8BBE-FA91EF408556}"/>
    <cellStyle name="Normal 3 2 3 11" xfId="9820" xr:uid="{E55F2E27-7429-44E4-A0AC-C3FEBD1AE4D2}"/>
    <cellStyle name="Normal 3 2 3 2" xfId="327" xr:uid="{00000000-0005-0000-0000-00007F110000}"/>
    <cellStyle name="Normal 3 2 3 2 10" xfId="9821" xr:uid="{69B89B41-89FA-41E3-A628-10CF95415B76}"/>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42B6ED86-36BD-4A62-AF36-65E9AFA07B66}"/>
    <cellStyle name="Normal 3 2 3 2 2 2 2 3" xfId="12381" xr:uid="{5663E54A-EF5E-427C-A22A-CF218187DE74}"/>
    <cellStyle name="Normal 3 2 3 2 2 2 3" xfId="5127" xr:uid="{00000000-0005-0000-0000-000084110000}"/>
    <cellStyle name="Normal 3 2 3 2 2 2 3 2" xfId="14453" xr:uid="{4E871CB2-5CE1-4145-BC3E-F2BF69048BE0}"/>
    <cellStyle name="Normal 3 2 3 2 2 2 4" xfId="9552" xr:uid="{54198C1B-8B77-4C07-BFED-28C4D4E00A0C}"/>
    <cellStyle name="Normal 3 2 3 2 2 2 4 2" xfId="18867" xr:uid="{61CF2F4B-2AB7-4C24-98BE-7ECC27D70EEF}"/>
    <cellStyle name="Normal 3 2 3 2 2 2 5" xfId="10236" xr:uid="{9C5A182A-C320-4171-8FA3-6F247971091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E0ABE465-DA96-4C5E-BE56-C0A734EAC68A}"/>
    <cellStyle name="Normal 3 2 3 2 2 3 2 3" xfId="12794" xr:uid="{35B03B7C-0C5E-49BF-8725-780C76C31D76}"/>
    <cellStyle name="Normal 3 2 3 2 2 3 3" xfId="5540" xr:uid="{00000000-0005-0000-0000-000088110000}"/>
    <cellStyle name="Normal 3 2 3 2 2 3 3 2" xfId="14866" xr:uid="{51E520A2-E932-4418-980B-FCEDB13F6FEE}"/>
    <cellStyle name="Normal 3 2 3 2 2 3 4" xfId="10649" xr:uid="{602CA9BF-736A-403F-8E8C-ED0B0242A6C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91C43E4D-847F-4924-98DE-DA68ACAF5C78}"/>
    <cellStyle name="Normal 3 2 3 2 2 4 2 3" xfId="13207" xr:uid="{702A0A3C-59CF-471C-A789-BB53726DE7A1}"/>
    <cellStyle name="Normal 3 2 3 2 2 4 3" xfId="5953" xr:uid="{00000000-0005-0000-0000-00008C110000}"/>
    <cellStyle name="Normal 3 2 3 2 2 4 3 2" xfId="15279" xr:uid="{9643774F-6F18-4582-9855-221B32698077}"/>
    <cellStyle name="Normal 3 2 3 2 2 4 4" xfId="11062" xr:uid="{D66B1320-0988-4C92-8282-E62E54E95AE8}"/>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2BD32939-ECD0-4BFB-976E-0E105B3886CB}"/>
    <cellStyle name="Normal 3 2 3 2 2 5 2 3" xfId="13620" xr:uid="{955B8D80-2452-40FF-A598-0A783F3EA01D}"/>
    <cellStyle name="Normal 3 2 3 2 2 5 3" xfId="6366" xr:uid="{00000000-0005-0000-0000-000090110000}"/>
    <cellStyle name="Normal 3 2 3 2 2 5 3 2" xfId="15692" xr:uid="{0B915261-2EB3-4713-9E33-1FDED9FD6FA1}"/>
    <cellStyle name="Normal 3 2 3 2 2 5 4" xfId="11475" xr:uid="{A50CF86F-EE83-4D1B-AEF1-D3CE1B6749D5}"/>
    <cellStyle name="Normal 3 2 3 2 2 6" xfId="2496" xr:uid="{00000000-0005-0000-0000-000091110000}"/>
    <cellStyle name="Normal 3 2 3 2 2 6 2" xfId="6779" xr:uid="{00000000-0005-0000-0000-000092110000}"/>
    <cellStyle name="Normal 3 2 3 2 2 6 2 2" xfId="16105" xr:uid="{98BF5048-007C-4FED-B298-98B50963A228}"/>
    <cellStyle name="Normal 3 2 3 2 2 6 3" xfId="11888" xr:uid="{BDFAF541-9C28-4DBE-9D61-7FC77489DD32}"/>
    <cellStyle name="Normal 3 2 3 2 2 7" xfId="4713" xr:uid="{00000000-0005-0000-0000-000093110000}"/>
    <cellStyle name="Normal 3 2 3 2 2 7 2" xfId="14039" xr:uid="{DDF3B9DC-0532-458D-995E-FBAAD2E541D1}"/>
    <cellStyle name="Normal 3 2 3 2 2 8" xfId="9127" xr:uid="{0583B12A-AAD6-4358-9C0C-42D6EBC3DFD8}"/>
    <cellStyle name="Normal 3 2 3 2 2 8 2" xfId="18451" xr:uid="{B042F89E-7D79-4806-9FE3-059D80BE78BE}"/>
    <cellStyle name="Normal 3 2 3 2 2 9" xfId="9822" xr:uid="{87F1B34C-B4CE-4AE8-80A7-E943554D3D0F}"/>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048871A5-3BB1-4551-BCF2-EC5F0A06DB25}"/>
    <cellStyle name="Normal 3 2 3 2 3 2 3" xfId="12380" xr:uid="{DA14DB02-0831-4623-AEEB-4E7E85ACA115}"/>
    <cellStyle name="Normal 3 2 3 2 3 3" xfId="5126" xr:uid="{00000000-0005-0000-0000-000097110000}"/>
    <cellStyle name="Normal 3 2 3 2 3 3 2" xfId="14452" xr:uid="{D9B1CBAA-E797-4E23-B4D8-586E6A2FFA02}"/>
    <cellStyle name="Normal 3 2 3 2 3 4" xfId="9345" xr:uid="{C34A3811-3C7F-4E99-A17A-CCF74A426C86}"/>
    <cellStyle name="Normal 3 2 3 2 3 4 2" xfId="18660" xr:uid="{36089F17-E726-4C2A-8985-E99E9F92D1F7}"/>
    <cellStyle name="Normal 3 2 3 2 3 5" xfId="10235" xr:uid="{ED037467-6C0A-40D0-834B-BC47CD009B3B}"/>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29AE7605-A5D3-4738-810D-DB544CA81889}"/>
    <cellStyle name="Normal 3 2 3 2 4 2 3" xfId="12793" xr:uid="{8BF5B4DA-E46D-44DC-8C55-F49CB78FA64E}"/>
    <cellStyle name="Normal 3 2 3 2 4 3" xfId="5539" xr:uid="{00000000-0005-0000-0000-00009B110000}"/>
    <cellStyle name="Normal 3 2 3 2 4 3 2" xfId="14865" xr:uid="{B58664AA-350D-4881-B28C-DD6F2FEDCD77}"/>
    <cellStyle name="Normal 3 2 3 2 4 4" xfId="10648" xr:uid="{21D791A9-4F1A-4CA2-A296-C1380B862122}"/>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C985BF52-68D4-4777-8169-C1D0F5E159A6}"/>
    <cellStyle name="Normal 3 2 3 2 5 2 3" xfId="13206" xr:uid="{C47E261A-1376-4AD2-9F77-30E760AF2681}"/>
    <cellStyle name="Normal 3 2 3 2 5 3" xfId="5952" xr:uid="{00000000-0005-0000-0000-00009F110000}"/>
    <cellStyle name="Normal 3 2 3 2 5 3 2" xfId="15278" xr:uid="{31BCD090-5EAC-4C8B-AC54-2DB91B9A0694}"/>
    <cellStyle name="Normal 3 2 3 2 5 4" xfId="11061" xr:uid="{72DA04F1-88F3-456B-88DB-0C9D68554848}"/>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75085DCD-F714-4EE2-981F-C36C97FCC292}"/>
    <cellStyle name="Normal 3 2 3 2 6 2 3" xfId="13619" xr:uid="{049DB384-75A7-4EAC-B562-F340849D3B4D}"/>
    <cellStyle name="Normal 3 2 3 2 6 3" xfId="6365" xr:uid="{00000000-0005-0000-0000-0000A3110000}"/>
    <cellStyle name="Normal 3 2 3 2 6 3 2" xfId="15691" xr:uid="{420C68B7-BA69-4540-8658-10812376BD1B}"/>
    <cellStyle name="Normal 3 2 3 2 6 4" xfId="11474" xr:uid="{36EC2702-FF83-4B76-8682-9E5CA7F08544}"/>
    <cellStyle name="Normal 3 2 3 2 7" xfId="2495" xr:uid="{00000000-0005-0000-0000-0000A4110000}"/>
    <cellStyle name="Normal 3 2 3 2 7 2" xfId="6778" xr:uid="{00000000-0005-0000-0000-0000A5110000}"/>
    <cellStyle name="Normal 3 2 3 2 7 2 2" xfId="16104" xr:uid="{EF5FB217-CDCA-4553-BAA7-C5A8C5293B26}"/>
    <cellStyle name="Normal 3 2 3 2 7 3" xfId="11887" xr:uid="{CFE72BF1-53A1-498F-9348-13C2628C72A3}"/>
    <cellStyle name="Normal 3 2 3 2 8" xfId="4712" xr:uid="{00000000-0005-0000-0000-0000A6110000}"/>
    <cellStyle name="Normal 3 2 3 2 8 2" xfId="14038" xr:uid="{AD470629-8248-498D-8C33-D92B2AAAE14E}"/>
    <cellStyle name="Normal 3 2 3 2 9" xfId="8920" xr:uid="{D9E0825A-068A-435C-BDBE-2C0571A11FAF}"/>
    <cellStyle name="Normal 3 2 3 2 9 2" xfId="18244" xr:uid="{2EF741B8-DE65-4F03-827A-55098FDC3E71}"/>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FFFD3A32-ADA2-4BD0-811D-8C78F81199E4}"/>
    <cellStyle name="Normal 3 2 3 3 2 2 3" xfId="12382" xr:uid="{EACCB092-5B3D-4077-BCBA-6E5D166F39E9}"/>
    <cellStyle name="Normal 3 2 3 3 2 3" xfId="5128" xr:uid="{00000000-0005-0000-0000-0000AB110000}"/>
    <cellStyle name="Normal 3 2 3 3 2 3 2" xfId="14454" xr:uid="{2F755942-1F97-43E2-B3B4-7BFB7D886C15}"/>
    <cellStyle name="Normal 3 2 3 3 2 4" xfId="9449" xr:uid="{7F58A2DC-DF16-44D1-8D09-04DD41EF4468}"/>
    <cellStyle name="Normal 3 2 3 3 2 4 2" xfId="18764" xr:uid="{2621C0F9-5A68-47AD-A476-E22A8315CDF5}"/>
    <cellStyle name="Normal 3 2 3 3 2 5" xfId="10237" xr:uid="{7D4F2D12-7507-4C42-84AA-EB14BB20BEC1}"/>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970CD7A7-38D8-4752-AA40-C932EFF59DF9}"/>
    <cellStyle name="Normal 3 2 3 3 3 2 3" xfId="12795" xr:uid="{08D73ADC-A2C3-460B-8B18-23198EBA60D8}"/>
    <cellStyle name="Normal 3 2 3 3 3 3" xfId="5541" xr:uid="{00000000-0005-0000-0000-0000AF110000}"/>
    <cellStyle name="Normal 3 2 3 3 3 3 2" xfId="14867" xr:uid="{6B1E5654-631D-4E71-BDBD-A94164B25D86}"/>
    <cellStyle name="Normal 3 2 3 3 3 4" xfId="10650" xr:uid="{BBD837D9-FB54-4508-8F19-4A147A6E4E2E}"/>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F61F8FAA-C730-4C72-A003-860F049DF2A6}"/>
    <cellStyle name="Normal 3 2 3 3 4 2 3" xfId="13208" xr:uid="{DE52D703-A5E3-40D5-91F6-BB2ED319BE4E}"/>
    <cellStyle name="Normal 3 2 3 3 4 3" xfId="5954" xr:uid="{00000000-0005-0000-0000-0000B3110000}"/>
    <cellStyle name="Normal 3 2 3 3 4 3 2" xfId="15280" xr:uid="{F4D39F0C-0599-4DC8-95A6-6A8E9E1AF5B4}"/>
    <cellStyle name="Normal 3 2 3 3 4 4" xfId="11063" xr:uid="{EA158523-B87D-4C1E-82D0-5CF3EF0D3417}"/>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5F8081FD-8728-41F2-9EDA-20808F151147}"/>
    <cellStyle name="Normal 3 2 3 3 5 2 3" xfId="13621" xr:uid="{271F9EA8-E82D-4D31-88CA-D73FFB78B0C2}"/>
    <cellStyle name="Normal 3 2 3 3 5 3" xfId="6367" xr:uid="{00000000-0005-0000-0000-0000B7110000}"/>
    <cellStyle name="Normal 3 2 3 3 5 3 2" xfId="15693" xr:uid="{2C425DE5-F09C-4A26-933C-0E2FB770FDDC}"/>
    <cellStyle name="Normal 3 2 3 3 5 4" xfId="11476" xr:uid="{E0A5E4CC-5870-4AC0-9C8D-AEDA6826A72B}"/>
    <cellStyle name="Normal 3 2 3 3 6" xfId="2497" xr:uid="{00000000-0005-0000-0000-0000B8110000}"/>
    <cellStyle name="Normal 3 2 3 3 6 2" xfId="6780" xr:uid="{00000000-0005-0000-0000-0000B9110000}"/>
    <cellStyle name="Normal 3 2 3 3 6 2 2" xfId="16106" xr:uid="{733FC56A-9E0E-474B-AA71-DCC26384FDAC}"/>
    <cellStyle name="Normal 3 2 3 3 6 3" xfId="11889" xr:uid="{8004848E-A2EE-4539-A23D-EAE4DB07E54C}"/>
    <cellStyle name="Normal 3 2 3 3 7" xfId="4714" xr:uid="{00000000-0005-0000-0000-0000BA110000}"/>
    <cellStyle name="Normal 3 2 3 3 7 2" xfId="14040" xr:uid="{FC7B1042-F6A4-481A-86D2-5F12905F9542}"/>
    <cellStyle name="Normal 3 2 3 3 8" xfId="9024" xr:uid="{AE2F680F-18A3-47B5-ADCF-6BEAD71D50CE}"/>
    <cellStyle name="Normal 3 2 3 3 8 2" xfId="18348" xr:uid="{AF935020-D3C1-4D62-9AAB-C46BC67399CA}"/>
    <cellStyle name="Normal 3 2 3 3 9" xfId="9823" xr:uid="{E82A8012-9562-4939-8E86-2AAC5EA55027}"/>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A8D5DF3F-EE5B-40AC-9C0B-4DD548F60C29}"/>
    <cellStyle name="Normal 3 2 3 4 2 3" xfId="12379" xr:uid="{D5C8426C-5D90-4100-87C5-BC861FC58454}"/>
    <cellStyle name="Normal 3 2 3 4 3" xfId="5125" xr:uid="{00000000-0005-0000-0000-0000BE110000}"/>
    <cellStyle name="Normal 3 2 3 4 3 2" xfId="14451" xr:uid="{2C5D97B4-834E-4976-BDC3-84842871A679}"/>
    <cellStyle name="Normal 3 2 3 4 4" xfId="9242" xr:uid="{05AEEDFF-7EEB-40DB-B13D-145C971A771B}"/>
    <cellStyle name="Normal 3 2 3 4 4 2" xfId="18557" xr:uid="{4D012D1F-5D7D-4ACD-B22E-7FFA9AD596FD}"/>
    <cellStyle name="Normal 3 2 3 4 5" xfId="10234" xr:uid="{D4761C78-8F2E-4CCD-B239-9A63DD543A4A}"/>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DB222CC8-4065-40CC-AE0E-F652EEF44B61}"/>
    <cellStyle name="Normal 3 2 3 5 2 3" xfId="12792" xr:uid="{6C4791AA-37B2-44CB-A0A6-EEE15F23DD99}"/>
    <cellStyle name="Normal 3 2 3 5 3" xfId="5538" xr:uid="{00000000-0005-0000-0000-0000C2110000}"/>
    <cellStyle name="Normal 3 2 3 5 3 2" xfId="14864" xr:uid="{23143064-6CC4-45B8-8E03-05BAA4EC92F9}"/>
    <cellStyle name="Normal 3 2 3 5 4" xfId="10647" xr:uid="{7255815F-79C0-4799-A422-038A2B0DAA44}"/>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5FF3E6CB-EBC6-4184-9CE1-FC7B93C04173}"/>
    <cellStyle name="Normal 3 2 3 6 2 3" xfId="13205" xr:uid="{3D8D8969-0A44-49CF-84BE-878F089DBEED}"/>
    <cellStyle name="Normal 3 2 3 6 3" xfId="5951" xr:uid="{00000000-0005-0000-0000-0000C6110000}"/>
    <cellStyle name="Normal 3 2 3 6 3 2" xfId="15277" xr:uid="{BAA9B086-0A9B-489E-B5C9-DF3FC15DFD59}"/>
    <cellStyle name="Normal 3 2 3 6 4" xfId="11060" xr:uid="{4AF4DE4B-FDE1-4B14-A416-CD569987C36D}"/>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8C6DC5A6-70BC-43CF-82A9-102B8E9CC8E7}"/>
    <cellStyle name="Normal 3 2 3 7 2 3" xfId="13618" xr:uid="{857F2AB5-9086-439A-94F9-2D7F6962C0DE}"/>
    <cellStyle name="Normal 3 2 3 7 3" xfId="6364" xr:uid="{00000000-0005-0000-0000-0000CA110000}"/>
    <cellStyle name="Normal 3 2 3 7 3 2" xfId="15690" xr:uid="{67DE21A0-C65A-40D4-AB56-CAD7C8CE8B16}"/>
    <cellStyle name="Normal 3 2 3 7 4" xfId="11473" xr:uid="{77FFA5C3-FA3F-430A-8C8E-3F0E4DEC9269}"/>
    <cellStyle name="Normal 3 2 3 8" xfId="2494" xr:uid="{00000000-0005-0000-0000-0000CB110000}"/>
    <cellStyle name="Normal 3 2 3 8 2" xfId="6777" xr:uid="{00000000-0005-0000-0000-0000CC110000}"/>
    <cellStyle name="Normal 3 2 3 8 2 2" xfId="16103" xr:uid="{F4FB5D8E-8535-418E-8080-40E315593365}"/>
    <cellStyle name="Normal 3 2 3 8 3" xfId="11886" xr:uid="{895358C9-FE6A-416F-AD35-BFDCFCD5BFD1}"/>
    <cellStyle name="Normal 3 2 3 9" xfId="4711" xr:uid="{00000000-0005-0000-0000-0000CD110000}"/>
    <cellStyle name="Normal 3 2 3 9 2" xfId="14037" xr:uid="{67FE62E0-5BDC-4DAF-96B2-72A3922862C5}"/>
    <cellStyle name="Normal 3 2 4" xfId="809" xr:uid="{00000000-0005-0000-0000-0000CE110000}"/>
    <cellStyle name="Normal 3 2 4 2" xfId="3047" xr:uid="{00000000-0005-0000-0000-0000CF110000}"/>
    <cellStyle name="Normal 3 2 4 2 2" xfId="7269" xr:uid="{00000000-0005-0000-0000-0000D0110000}"/>
    <cellStyle name="Normal 3 2 4 2 2 2" xfId="16595" xr:uid="{160C1973-E703-46E3-B90C-DFACB958DA3D}"/>
    <cellStyle name="Normal 3 2 4 2 3" xfId="12378" xr:uid="{65173272-762A-4343-ABFB-E34DC9341139}"/>
    <cellStyle name="Normal 3 2 4 3" xfId="5124" xr:uid="{00000000-0005-0000-0000-0000D1110000}"/>
    <cellStyle name="Normal 3 2 4 3 2" xfId="14450" xr:uid="{B7997C42-40FC-4C16-8085-B9ED44FD45C5}"/>
    <cellStyle name="Normal 3 2 4 4" xfId="9607" xr:uid="{7D769806-7069-4B8D-8CAC-B3B91BBA8D64}"/>
    <cellStyle name="Normal 3 2 4 4 2" xfId="18908" xr:uid="{7856E114-FEB3-497A-8966-61275B34D38E}"/>
    <cellStyle name="Normal 3 2 4 5" xfId="10233" xr:uid="{D0FC9730-8985-4528-8BE5-B55CB61176EE}"/>
    <cellStyle name="Normal 3 2 5" xfId="1230" xr:uid="{00000000-0005-0000-0000-0000D2110000}"/>
    <cellStyle name="Normal 3 2 5 2" xfId="3460" xr:uid="{00000000-0005-0000-0000-0000D3110000}"/>
    <cellStyle name="Normal 3 2 5 2 2" xfId="7682" xr:uid="{00000000-0005-0000-0000-0000D4110000}"/>
    <cellStyle name="Normal 3 2 5 2 2 2" xfId="17008" xr:uid="{1BE0D9FD-42DF-4F7E-A126-4A21F3133746}"/>
    <cellStyle name="Normal 3 2 5 2 3" xfId="12791" xr:uid="{3ED3EA36-5234-45D1-AC40-E1CCE41D9D6A}"/>
    <cellStyle name="Normal 3 2 5 3" xfId="5537" xr:uid="{00000000-0005-0000-0000-0000D5110000}"/>
    <cellStyle name="Normal 3 2 5 3 2" xfId="14863" xr:uid="{4E76B165-74B4-44A0-AA33-881D826FD084}"/>
    <cellStyle name="Normal 3 2 5 4" xfId="10646" xr:uid="{AE93F49A-4925-4F46-908B-3ACA25434B36}"/>
    <cellStyle name="Normal 3 2 6" xfId="1643" xr:uid="{00000000-0005-0000-0000-0000D6110000}"/>
    <cellStyle name="Normal 3 2 6 2" xfId="3873" xr:uid="{00000000-0005-0000-0000-0000D7110000}"/>
    <cellStyle name="Normal 3 2 6 2 2" xfId="8095" xr:uid="{00000000-0005-0000-0000-0000D8110000}"/>
    <cellStyle name="Normal 3 2 6 2 2 2" xfId="17421" xr:uid="{D547C545-A720-4F22-9E12-09A86B69D62E}"/>
    <cellStyle name="Normal 3 2 6 2 3" xfId="13204" xr:uid="{B31A9916-41DC-4A8D-A598-8F238572B400}"/>
    <cellStyle name="Normal 3 2 6 3" xfId="5950" xr:uid="{00000000-0005-0000-0000-0000D9110000}"/>
    <cellStyle name="Normal 3 2 6 3 2" xfId="15276" xr:uid="{86B20640-6A08-4B98-8B47-ECE9B4FB64BD}"/>
    <cellStyle name="Normal 3 2 6 4" xfId="11059" xr:uid="{5BD4FA05-9FB6-4249-8264-05071D5F794B}"/>
    <cellStyle name="Normal 3 2 7" xfId="2057" xr:uid="{00000000-0005-0000-0000-0000DA110000}"/>
    <cellStyle name="Normal 3 2 7 2" xfId="4286" xr:uid="{00000000-0005-0000-0000-0000DB110000}"/>
    <cellStyle name="Normal 3 2 7 2 2" xfId="8508" xr:uid="{00000000-0005-0000-0000-0000DC110000}"/>
    <cellStyle name="Normal 3 2 7 2 2 2" xfId="17834" xr:uid="{3A75CFEF-D021-4C79-AB01-0FA0796F7851}"/>
    <cellStyle name="Normal 3 2 7 2 3" xfId="13617" xr:uid="{A6E226DB-C892-44BC-88F6-DA4526973617}"/>
    <cellStyle name="Normal 3 2 7 3" xfId="6363" xr:uid="{00000000-0005-0000-0000-0000DD110000}"/>
    <cellStyle name="Normal 3 2 7 3 2" xfId="15689" xr:uid="{1C7D359D-7278-4B45-8054-0EF48D36BFC9}"/>
    <cellStyle name="Normal 3 2 7 4" xfId="11472" xr:uid="{C823B23C-D25C-4CA2-8806-8AA28C117256}"/>
    <cellStyle name="Normal 3 2 8" xfId="2493" xr:uid="{00000000-0005-0000-0000-0000DE110000}"/>
    <cellStyle name="Normal 3 2 8 2" xfId="6776" xr:uid="{00000000-0005-0000-0000-0000DF110000}"/>
    <cellStyle name="Normal 3 2 8 2 2" xfId="16102" xr:uid="{0498B26F-10B1-411D-9104-AE4A24365B84}"/>
    <cellStyle name="Normal 3 2 8 3" xfId="11885" xr:uid="{58C7D8F7-D834-4E32-B99B-1D212A1BB08B}"/>
    <cellStyle name="Normal 3 2 9" xfId="4710" xr:uid="{00000000-0005-0000-0000-0000E0110000}"/>
    <cellStyle name="Normal 3 2 9 2" xfId="14036" xr:uid="{E7DDC2B9-6348-453F-99FF-29E1A52159BF}"/>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064" xr:uid="{7DA9B62D-18B2-4F78-9C30-EABBCF0FAC36}"/>
    <cellStyle name="Normal 4 11" xfId="9824" xr:uid="{15ACAB8C-2C59-40AE-A13D-B57B6BDBE12B}"/>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FF95F75D-3838-46B9-8840-FBDEE7BA8F8C}"/>
    <cellStyle name="Normal 4 2 2 10 2 3" xfId="13622" xr:uid="{8E15CD61-1C68-4D02-99FE-2B81BD8A0004}"/>
    <cellStyle name="Normal 4 2 2 10 3" xfId="6368" xr:uid="{00000000-0005-0000-0000-0000ED110000}"/>
    <cellStyle name="Normal 4 2 2 10 3 2" xfId="15694" xr:uid="{1992DCD9-7A0D-4001-9E64-8B6C460A7415}"/>
    <cellStyle name="Normal 4 2 2 10 4" xfId="11477" xr:uid="{30613A46-8762-4842-B6E5-C1B7E9402C95}"/>
    <cellStyle name="Normal 4 2 2 11" xfId="2498" xr:uid="{00000000-0005-0000-0000-0000EE110000}"/>
    <cellStyle name="Normal 4 2 2 11 2" xfId="6781" xr:uid="{00000000-0005-0000-0000-0000EF110000}"/>
    <cellStyle name="Normal 4 2 2 11 2 2" xfId="16107" xr:uid="{8F9818BD-30EB-48D1-9A69-5C7B67FE0023}"/>
    <cellStyle name="Normal 4 2 2 11 3" xfId="11890" xr:uid="{3B2BA13B-CDA5-4ED9-9B42-F83441A3F14D}"/>
    <cellStyle name="Normal 4 2 2 12" xfId="4716" xr:uid="{00000000-0005-0000-0000-0000F0110000}"/>
    <cellStyle name="Normal 4 2 2 12 2" xfId="14042" xr:uid="{0982DD0F-85E4-409D-B76C-26342BF562B7}"/>
    <cellStyle name="Normal 4 2 2 13" xfId="8752" xr:uid="{7B61EFAC-4165-4615-9A47-7AF5DAE027C9}"/>
    <cellStyle name="Normal 4 2 2 13 2" xfId="18076" xr:uid="{811201D2-2E4F-4B23-B875-381BEC9BF281}"/>
    <cellStyle name="Normal 4 2 2 14" xfId="9825" xr:uid="{E7A85906-851B-4521-BBE1-67C33582AF17}"/>
    <cellStyle name="Normal 4 2 2 2" xfId="338" xr:uid="{00000000-0005-0000-0000-0000F1110000}"/>
    <cellStyle name="Normal 4 2 2 3" xfId="339" xr:uid="{00000000-0005-0000-0000-0000F2110000}"/>
    <cellStyle name="Normal 4 2 2 3 10" xfId="4717" xr:uid="{00000000-0005-0000-0000-0000F3110000}"/>
    <cellStyle name="Normal 4 2 2 3 10 2" xfId="14043" xr:uid="{854D4FB2-4595-4569-A38A-CD4232846B66}"/>
    <cellStyle name="Normal 4 2 2 3 11" xfId="8784" xr:uid="{8AA3A883-811C-4C4A-AFFF-9AAED56BF228}"/>
    <cellStyle name="Normal 4 2 2 3 11 2" xfId="18108" xr:uid="{B3613514-8B04-4CD3-9101-CA567D8CEDCA}"/>
    <cellStyle name="Normal 4 2 2 3 12" xfId="9826" xr:uid="{1F15A2B5-769B-43EA-A97D-A649C6E148F3}"/>
    <cellStyle name="Normal 4 2 2 3 2" xfId="340" xr:uid="{00000000-0005-0000-0000-0000F4110000}"/>
    <cellStyle name="Normal 4 2 2 3 2 10" xfId="8819" xr:uid="{16629302-3759-4242-B07E-BB5D034B10E8}"/>
    <cellStyle name="Normal 4 2 2 3 2 10 2" xfId="18143" xr:uid="{29B731D1-A164-4A8C-AE56-4002392123A5}"/>
    <cellStyle name="Normal 4 2 2 3 2 11" xfId="9827" xr:uid="{C1BD1BC0-648E-4457-B49A-F305984F1A00}"/>
    <cellStyle name="Normal 4 2 2 3 2 2" xfId="341" xr:uid="{00000000-0005-0000-0000-0000F5110000}"/>
    <cellStyle name="Normal 4 2 2 3 2 2 10" xfId="9828" xr:uid="{D09251F2-7A86-4CAA-AFAA-65C08ED91E3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AD3DC321-6D05-4301-AB0F-BD5F565506DA}"/>
    <cellStyle name="Normal 4 2 2 3 2 2 2 2 2 3" xfId="12387" xr:uid="{2282A976-C83B-468A-B5E7-E769D6DFDB85}"/>
    <cellStyle name="Normal 4 2 2 3 2 2 2 2 3" xfId="5133" xr:uid="{00000000-0005-0000-0000-0000FA110000}"/>
    <cellStyle name="Normal 4 2 2 3 2 2 2 2 3 2" xfId="14459" xr:uid="{DC3C148B-8690-4BA1-9E9F-3C51E2D0C8F6}"/>
    <cellStyle name="Normal 4 2 2 3 2 2 2 2 4" xfId="9554" xr:uid="{BAC669EC-8948-4716-90C3-0688F03300CE}"/>
    <cellStyle name="Normal 4 2 2 3 2 2 2 2 4 2" xfId="18869" xr:uid="{02B62F36-B9FC-438F-B5C6-2A1546D02C3C}"/>
    <cellStyle name="Normal 4 2 2 3 2 2 2 2 5" xfId="10242" xr:uid="{C6C9EDFB-5E29-4173-96CC-930721A92BB7}"/>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930B4842-1988-4552-9811-16DE639F215C}"/>
    <cellStyle name="Normal 4 2 2 3 2 2 2 3 2 3" xfId="12800" xr:uid="{29B552FC-0DFB-4C6E-9789-DD62ED759FC6}"/>
    <cellStyle name="Normal 4 2 2 3 2 2 2 3 3" xfId="5546" xr:uid="{00000000-0005-0000-0000-0000FE110000}"/>
    <cellStyle name="Normal 4 2 2 3 2 2 2 3 3 2" xfId="14872" xr:uid="{C759C119-D20B-4EBA-968A-8401E9753F43}"/>
    <cellStyle name="Normal 4 2 2 3 2 2 2 3 4" xfId="10655" xr:uid="{4DA374D6-79FC-4AB1-B506-E121938FADEA}"/>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CA19B433-B530-4D7A-9C34-FE493E6B6C07}"/>
    <cellStyle name="Normal 4 2 2 3 2 2 2 4 2 3" xfId="13213" xr:uid="{4E736AA5-5171-4635-9592-F57ED5FDEEDC}"/>
    <cellStyle name="Normal 4 2 2 3 2 2 2 4 3" xfId="5959" xr:uid="{00000000-0005-0000-0000-000002120000}"/>
    <cellStyle name="Normal 4 2 2 3 2 2 2 4 3 2" xfId="15285" xr:uid="{2F3005B8-0326-4A3C-B440-547F033C2BE3}"/>
    <cellStyle name="Normal 4 2 2 3 2 2 2 4 4" xfId="11068" xr:uid="{AC76EF6B-E079-4BB3-BE24-70525F7D3463}"/>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925B3692-2281-47C0-8128-B5E7ABD1227E}"/>
    <cellStyle name="Normal 4 2 2 3 2 2 2 5 2 3" xfId="13626" xr:uid="{4A3C828F-807B-45A1-B443-16E6271C4573}"/>
    <cellStyle name="Normal 4 2 2 3 2 2 2 5 3" xfId="6372" xr:uid="{00000000-0005-0000-0000-000006120000}"/>
    <cellStyle name="Normal 4 2 2 3 2 2 2 5 3 2" xfId="15698" xr:uid="{F93F91E8-3201-40D8-8F73-4BC584AD3FE5}"/>
    <cellStyle name="Normal 4 2 2 3 2 2 2 5 4" xfId="11481" xr:uid="{05212859-32B5-49D1-A501-8E16AA18A351}"/>
    <cellStyle name="Normal 4 2 2 3 2 2 2 6" xfId="2502" xr:uid="{00000000-0005-0000-0000-000007120000}"/>
    <cellStyle name="Normal 4 2 2 3 2 2 2 6 2" xfId="6785" xr:uid="{00000000-0005-0000-0000-000008120000}"/>
    <cellStyle name="Normal 4 2 2 3 2 2 2 6 2 2" xfId="16111" xr:uid="{2BE6D66A-51D9-4EB8-9854-DE27461EE36E}"/>
    <cellStyle name="Normal 4 2 2 3 2 2 2 6 3" xfId="11894" xr:uid="{B4788DA9-2CA5-479E-8AB3-D51C19928DB7}"/>
    <cellStyle name="Normal 4 2 2 3 2 2 2 7" xfId="4720" xr:uid="{00000000-0005-0000-0000-000009120000}"/>
    <cellStyle name="Normal 4 2 2 3 2 2 2 7 2" xfId="14046" xr:uid="{32E2C3E5-7A48-412E-8BA0-B13D6E22031D}"/>
    <cellStyle name="Normal 4 2 2 3 2 2 2 8" xfId="9129" xr:uid="{970F8072-C8D6-4D17-95D6-EBF431EAD262}"/>
    <cellStyle name="Normal 4 2 2 3 2 2 2 8 2" xfId="18453" xr:uid="{FFA7F6D4-B1D6-4918-B1A8-CF62AE589A2A}"/>
    <cellStyle name="Normal 4 2 2 3 2 2 2 9" xfId="9829" xr:uid="{D7ACB283-BA24-4942-8FB8-E5C8E9ADBE68}"/>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4F35C179-D1AE-4BAF-A0AB-06400A57509A}"/>
    <cellStyle name="Normal 4 2 2 3 2 2 3 2 3" xfId="12386" xr:uid="{345ACE0E-8F08-463B-BBFF-A2CFC3EC6EC5}"/>
    <cellStyle name="Normal 4 2 2 3 2 2 3 3" xfId="5132" xr:uid="{00000000-0005-0000-0000-00000D120000}"/>
    <cellStyle name="Normal 4 2 2 3 2 2 3 3 2" xfId="14458" xr:uid="{F05BF4FB-FF67-47E5-BF17-E16F5110B86C}"/>
    <cellStyle name="Normal 4 2 2 3 2 2 3 4" xfId="9347" xr:uid="{8C9012CB-19BB-4242-9F43-373358B13B52}"/>
    <cellStyle name="Normal 4 2 2 3 2 2 3 4 2" xfId="18662" xr:uid="{24AA75A6-7243-4175-8B9D-6800167F9600}"/>
    <cellStyle name="Normal 4 2 2 3 2 2 3 5" xfId="10241" xr:uid="{33346C63-48CC-4A6C-BE25-5A1095F6951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3996C762-C3D5-4CB2-82BA-22EEA0C5B7CA}"/>
    <cellStyle name="Normal 4 2 2 3 2 2 4 2 3" xfId="12799" xr:uid="{9D1177F1-2849-4252-9F5B-05F61FA54887}"/>
    <cellStyle name="Normal 4 2 2 3 2 2 4 3" xfId="5545" xr:uid="{00000000-0005-0000-0000-000011120000}"/>
    <cellStyle name="Normal 4 2 2 3 2 2 4 3 2" xfId="14871" xr:uid="{87642457-E16B-466C-8255-A87279335373}"/>
    <cellStyle name="Normal 4 2 2 3 2 2 4 4" xfId="10654" xr:uid="{EE3215CC-03CE-4B8D-8687-5D065F418B2E}"/>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275F8F93-DC8B-49C2-A37F-3F8102ACDAB1}"/>
    <cellStyle name="Normal 4 2 2 3 2 2 5 2 3" xfId="13212" xr:uid="{7B329531-A09F-4706-94AE-0F2656B3FE75}"/>
    <cellStyle name="Normal 4 2 2 3 2 2 5 3" xfId="5958" xr:uid="{00000000-0005-0000-0000-000015120000}"/>
    <cellStyle name="Normal 4 2 2 3 2 2 5 3 2" xfId="15284" xr:uid="{B0775847-0088-4E93-B753-96E1BEF0E623}"/>
    <cellStyle name="Normal 4 2 2 3 2 2 5 4" xfId="11067" xr:uid="{F1CBF153-9ACD-41C7-A684-EBF7DCB308DE}"/>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0450B12B-7192-4CC7-8688-F6EC3D78ADB2}"/>
    <cellStyle name="Normal 4 2 2 3 2 2 6 2 3" xfId="13625" xr:uid="{E0448369-487B-4993-B049-712C073F7FC0}"/>
    <cellStyle name="Normal 4 2 2 3 2 2 6 3" xfId="6371" xr:uid="{00000000-0005-0000-0000-000019120000}"/>
    <cellStyle name="Normal 4 2 2 3 2 2 6 3 2" xfId="15697" xr:uid="{7A615434-D0D9-4A9A-B955-8058B16134C1}"/>
    <cellStyle name="Normal 4 2 2 3 2 2 6 4" xfId="11480" xr:uid="{DF45E683-DADB-4A52-B4A1-8BE5B30934A5}"/>
    <cellStyle name="Normal 4 2 2 3 2 2 7" xfId="2501" xr:uid="{00000000-0005-0000-0000-00001A120000}"/>
    <cellStyle name="Normal 4 2 2 3 2 2 7 2" xfId="6784" xr:uid="{00000000-0005-0000-0000-00001B120000}"/>
    <cellStyle name="Normal 4 2 2 3 2 2 7 2 2" xfId="16110" xr:uid="{F3606D28-74E7-4518-A374-4514F32D5017}"/>
    <cellStyle name="Normal 4 2 2 3 2 2 7 3" xfId="11893" xr:uid="{A9252296-107F-43FF-A503-CE090C8D92E6}"/>
    <cellStyle name="Normal 4 2 2 3 2 2 8" xfId="4719" xr:uid="{00000000-0005-0000-0000-00001C120000}"/>
    <cellStyle name="Normal 4 2 2 3 2 2 8 2" xfId="14045" xr:uid="{5800E067-700E-4E06-A227-4D8D314EE1E4}"/>
    <cellStyle name="Normal 4 2 2 3 2 2 9" xfId="8922" xr:uid="{32C9E21B-8C85-4874-B28C-82BF39BA84E2}"/>
    <cellStyle name="Normal 4 2 2 3 2 2 9 2" xfId="18246" xr:uid="{08D69385-C635-4DE0-A3FD-8A0A20756B26}"/>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3081FEAD-BF0E-4326-A017-9A296EBF3E30}"/>
    <cellStyle name="Normal 4 2 2 3 2 3 2 2 3" xfId="12388" xr:uid="{F9429F4E-18AB-4541-A9EF-48FA0E21B1F2}"/>
    <cellStyle name="Normal 4 2 2 3 2 3 2 3" xfId="5134" xr:uid="{00000000-0005-0000-0000-000021120000}"/>
    <cellStyle name="Normal 4 2 2 3 2 3 2 3 2" xfId="14460" xr:uid="{1B52988F-5A10-4EA1-BBF7-9597B03C995E}"/>
    <cellStyle name="Normal 4 2 2 3 2 3 2 4" xfId="9451" xr:uid="{85AA9164-95F1-48F2-907A-54AD445D074F}"/>
    <cellStyle name="Normal 4 2 2 3 2 3 2 4 2" xfId="18766" xr:uid="{0E07B4A9-E962-4376-B572-EEDD897AA7F3}"/>
    <cellStyle name="Normal 4 2 2 3 2 3 2 5" xfId="10243" xr:uid="{4DBD1ECA-8CD1-4B60-A964-B7E703B9879C}"/>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02E39C01-8C2E-4A6B-99BF-B77D59A13647}"/>
    <cellStyle name="Normal 4 2 2 3 2 3 3 2 3" xfId="12801" xr:uid="{F8367C92-C2BD-4796-889E-AA5E3F9F3EE3}"/>
    <cellStyle name="Normal 4 2 2 3 2 3 3 3" xfId="5547" xr:uid="{00000000-0005-0000-0000-000025120000}"/>
    <cellStyle name="Normal 4 2 2 3 2 3 3 3 2" xfId="14873" xr:uid="{2578C1DF-8793-47A5-90DD-9C36BA997AD4}"/>
    <cellStyle name="Normal 4 2 2 3 2 3 3 4" xfId="10656" xr:uid="{BFD869C8-9346-423D-985E-3F0E1486EF4F}"/>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5FEE9F9A-80F1-4C75-AB47-159D94BC1DC2}"/>
    <cellStyle name="Normal 4 2 2 3 2 3 4 2 3" xfId="13214" xr:uid="{64FAE16C-2F48-4E04-AF01-8BF57848AC4C}"/>
    <cellStyle name="Normal 4 2 2 3 2 3 4 3" xfId="5960" xr:uid="{00000000-0005-0000-0000-000029120000}"/>
    <cellStyle name="Normal 4 2 2 3 2 3 4 3 2" xfId="15286" xr:uid="{04421A8E-81EA-4BBB-B37F-028109D744A9}"/>
    <cellStyle name="Normal 4 2 2 3 2 3 4 4" xfId="11069" xr:uid="{51F1F7F1-B39A-426D-86F4-E7ECD6DCF602}"/>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D6B849B9-A935-4E05-A6C0-BDF58EFE0C02}"/>
    <cellStyle name="Normal 4 2 2 3 2 3 5 2 3" xfId="13627" xr:uid="{F9FC23BA-B662-4E32-A9CE-DA93BE2B4733}"/>
    <cellStyle name="Normal 4 2 2 3 2 3 5 3" xfId="6373" xr:uid="{00000000-0005-0000-0000-00002D120000}"/>
    <cellStyle name="Normal 4 2 2 3 2 3 5 3 2" xfId="15699" xr:uid="{BF1CA341-0B8D-48D3-B832-B179FC1D2769}"/>
    <cellStyle name="Normal 4 2 2 3 2 3 5 4" xfId="11482" xr:uid="{B9A2F127-F153-4117-878E-36D0A80EAB76}"/>
    <cellStyle name="Normal 4 2 2 3 2 3 6" xfId="2503" xr:uid="{00000000-0005-0000-0000-00002E120000}"/>
    <cellStyle name="Normal 4 2 2 3 2 3 6 2" xfId="6786" xr:uid="{00000000-0005-0000-0000-00002F120000}"/>
    <cellStyle name="Normal 4 2 2 3 2 3 6 2 2" xfId="16112" xr:uid="{0010BE94-7E38-4ED2-A8B1-D0219B8C3335}"/>
    <cellStyle name="Normal 4 2 2 3 2 3 6 3" xfId="11895" xr:uid="{B2141A7F-5A3F-450C-973C-E3EA5621477F}"/>
    <cellStyle name="Normal 4 2 2 3 2 3 7" xfId="4721" xr:uid="{00000000-0005-0000-0000-000030120000}"/>
    <cellStyle name="Normal 4 2 2 3 2 3 7 2" xfId="14047" xr:uid="{EB24E20F-54B5-4F0A-976B-AA1FA04A3B30}"/>
    <cellStyle name="Normal 4 2 2 3 2 3 8" xfId="9026" xr:uid="{319D63D3-F71C-4F99-9FD1-E3D0665567E8}"/>
    <cellStyle name="Normal 4 2 2 3 2 3 8 2" xfId="18350" xr:uid="{A034AC01-D1E8-422F-869C-8E95A4DA19B9}"/>
    <cellStyle name="Normal 4 2 2 3 2 3 9" xfId="9830" xr:uid="{87D875DA-9453-4EE1-B9A6-3F2ECC0FBE9E}"/>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31D69D6B-3914-4676-AE0D-17C79D0E3124}"/>
    <cellStyle name="Normal 4 2 2 3 2 4 2 3" xfId="12385" xr:uid="{0CC729B8-C0E5-4A5E-95B6-CF54397C5CE7}"/>
    <cellStyle name="Normal 4 2 2 3 2 4 3" xfId="5131" xr:uid="{00000000-0005-0000-0000-000034120000}"/>
    <cellStyle name="Normal 4 2 2 3 2 4 3 2" xfId="14457" xr:uid="{38BDEDE0-004B-4F28-BAC6-B9602F65662A}"/>
    <cellStyle name="Normal 4 2 2 3 2 4 4" xfId="9244" xr:uid="{98623F27-324A-40DE-AA2B-56E1FCE087EE}"/>
    <cellStyle name="Normal 4 2 2 3 2 4 4 2" xfId="18559" xr:uid="{D7E95D8C-D16A-4A1A-9C04-EA1F7066976B}"/>
    <cellStyle name="Normal 4 2 2 3 2 4 5" xfId="10240" xr:uid="{698E3E96-0475-44FD-917F-5A70630CF169}"/>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821C19AF-5EED-4170-84FA-B6E23FC03D13}"/>
    <cellStyle name="Normal 4 2 2 3 2 5 2 3" xfId="12798" xr:uid="{B6F1A696-291A-4D73-A3DC-1D41B07C61E0}"/>
    <cellStyle name="Normal 4 2 2 3 2 5 3" xfId="5544" xr:uid="{00000000-0005-0000-0000-000038120000}"/>
    <cellStyle name="Normal 4 2 2 3 2 5 3 2" xfId="14870" xr:uid="{F9503068-E527-455E-9E1C-8B6E9190D370}"/>
    <cellStyle name="Normal 4 2 2 3 2 5 4" xfId="10653" xr:uid="{D154C253-E5B3-426A-9D18-E58E6BC593EE}"/>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09DD5C83-BF05-48A3-886A-4C34EE7E4ECF}"/>
    <cellStyle name="Normal 4 2 2 3 2 6 2 3" xfId="13211" xr:uid="{C05F7CB0-415A-489B-95D2-4D1043593AD1}"/>
    <cellStyle name="Normal 4 2 2 3 2 6 3" xfId="5957" xr:uid="{00000000-0005-0000-0000-00003C120000}"/>
    <cellStyle name="Normal 4 2 2 3 2 6 3 2" xfId="15283" xr:uid="{8B0E7A50-B213-44E4-AFA8-62085468D260}"/>
    <cellStyle name="Normal 4 2 2 3 2 6 4" xfId="11066" xr:uid="{85F08C78-8BDA-4C26-AFB0-6E2C5939561C}"/>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4F960D10-8E77-4462-904A-2D311247CE05}"/>
    <cellStyle name="Normal 4 2 2 3 2 7 2 3" xfId="13624" xr:uid="{1C539597-812A-4C56-AF06-3D9FBACC99AB}"/>
    <cellStyle name="Normal 4 2 2 3 2 7 3" xfId="6370" xr:uid="{00000000-0005-0000-0000-000040120000}"/>
    <cellStyle name="Normal 4 2 2 3 2 7 3 2" xfId="15696" xr:uid="{1F5A6401-73FF-49DF-AA17-184AD9A3F1FC}"/>
    <cellStyle name="Normal 4 2 2 3 2 7 4" xfId="11479" xr:uid="{B387ED79-32D4-46DC-A18D-B442D298901E}"/>
    <cellStyle name="Normal 4 2 2 3 2 8" xfId="2500" xr:uid="{00000000-0005-0000-0000-000041120000}"/>
    <cellStyle name="Normal 4 2 2 3 2 8 2" xfId="6783" xr:uid="{00000000-0005-0000-0000-000042120000}"/>
    <cellStyle name="Normal 4 2 2 3 2 8 2 2" xfId="16109" xr:uid="{F499F785-C79E-4EB9-A434-5763B87ECEC5}"/>
    <cellStyle name="Normal 4 2 2 3 2 8 3" xfId="11892" xr:uid="{0168FC84-82B8-4205-AF8F-E7E07EB2FEFB}"/>
    <cellStyle name="Normal 4 2 2 3 2 9" xfId="4718" xr:uid="{00000000-0005-0000-0000-000043120000}"/>
    <cellStyle name="Normal 4 2 2 3 2 9 2" xfId="14044" xr:uid="{A5868936-D336-442C-BF09-72CA2A0B975F}"/>
    <cellStyle name="Normal 4 2 2 3 3" xfId="344" xr:uid="{00000000-0005-0000-0000-000044120000}"/>
    <cellStyle name="Normal 4 2 2 3 3 10" xfId="9831" xr:uid="{28ABCAF0-72DF-41A7-96EB-3653760E9701}"/>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F4F04C91-1557-497A-97AA-A730FF410605}"/>
    <cellStyle name="Normal 4 2 2 3 3 2 2 2 3" xfId="12390" xr:uid="{F6104E94-8F47-47C3-94D9-00DC78B96ACB}"/>
    <cellStyle name="Normal 4 2 2 3 3 2 2 3" xfId="5136" xr:uid="{00000000-0005-0000-0000-000049120000}"/>
    <cellStyle name="Normal 4 2 2 3 3 2 2 3 2" xfId="14462" xr:uid="{80B7DFD4-D8BF-49C0-B270-267387272C11}"/>
    <cellStyle name="Normal 4 2 2 3 3 2 2 4" xfId="9519" xr:uid="{FB4BBD6E-D73B-4ABD-8656-6C15D7932E02}"/>
    <cellStyle name="Normal 4 2 2 3 3 2 2 4 2" xfId="18834" xr:uid="{1BECF593-624D-4879-81A1-C0BE6D0F38E1}"/>
    <cellStyle name="Normal 4 2 2 3 3 2 2 5" xfId="10245" xr:uid="{8FA59CD2-64CB-4462-BB67-4426CD636FF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0BC65D69-BC59-41F0-B5D0-613960172C57}"/>
    <cellStyle name="Normal 4 2 2 3 3 2 3 2 3" xfId="12803" xr:uid="{37555987-DDBB-4007-AE83-A230BCF71360}"/>
    <cellStyle name="Normal 4 2 2 3 3 2 3 3" xfId="5549" xr:uid="{00000000-0005-0000-0000-00004D120000}"/>
    <cellStyle name="Normal 4 2 2 3 3 2 3 3 2" xfId="14875" xr:uid="{C0CCBD5E-3F08-4FCC-A558-97F3625EE73D}"/>
    <cellStyle name="Normal 4 2 2 3 3 2 3 4" xfId="10658" xr:uid="{CE7AC43A-8B37-44BF-8CA7-D038A04539B8}"/>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D6D66DF4-D9EC-4752-A6BD-2D68D74191B6}"/>
    <cellStyle name="Normal 4 2 2 3 3 2 4 2 3" xfId="13216" xr:uid="{BF31CF40-3EB7-4DBE-8BD7-8275305EBA72}"/>
    <cellStyle name="Normal 4 2 2 3 3 2 4 3" xfId="5962" xr:uid="{00000000-0005-0000-0000-000051120000}"/>
    <cellStyle name="Normal 4 2 2 3 3 2 4 3 2" xfId="15288" xr:uid="{E9FCC516-A3E6-48BC-97C7-1DC8ED7A1CC5}"/>
    <cellStyle name="Normal 4 2 2 3 3 2 4 4" xfId="11071" xr:uid="{A43568E7-19FA-4423-803A-2117020C1276}"/>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480D074E-30AF-4D4F-A622-9B0149E876BF}"/>
    <cellStyle name="Normal 4 2 2 3 3 2 5 2 3" xfId="13629" xr:uid="{831E1AA8-D0F2-4816-81C2-23E9000EC0E1}"/>
    <cellStyle name="Normal 4 2 2 3 3 2 5 3" xfId="6375" xr:uid="{00000000-0005-0000-0000-000055120000}"/>
    <cellStyle name="Normal 4 2 2 3 3 2 5 3 2" xfId="15701" xr:uid="{031125C0-8676-4C09-905F-60FE459377E9}"/>
    <cellStyle name="Normal 4 2 2 3 3 2 5 4" xfId="11484" xr:uid="{3321DBF0-67A2-4C64-845B-0479A6AC6672}"/>
    <cellStyle name="Normal 4 2 2 3 3 2 6" xfId="2505" xr:uid="{00000000-0005-0000-0000-000056120000}"/>
    <cellStyle name="Normal 4 2 2 3 3 2 6 2" xfId="6788" xr:uid="{00000000-0005-0000-0000-000057120000}"/>
    <cellStyle name="Normal 4 2 2 3 3 2 6 2 2" xfId="16114" xr:uid="{995C53E7-23BC-4BFB-ADB3-417189784107}"/>
    <cellStyle name="Normal 4 2 2 3 3 2 6 3" xfId="11897" xr:uid="{9310BAE2-53A7-46B0-A1E6-8ED1C91700B2}"/>
    <cellStyle name="Normal 4 2 2 3 3 2 7" xfId="4723" xr:uid="{00000000-0005-0000-0000-000058120000}"/>
    <cellStyle name="Normal 4 2 2 3 3 2 7 2" xfId="14049" xr:uid="{4A7EC4D5-28DA-49A7-AC03-A0B2FFB97F0E}"/>
    <cellStyle name="Normal 4 2 2 3 3 2 8" xfId="9094" xr:uid="{1333D468-E252-4686-88C1-38A56B910A8E}"/>
    <cellStyle name="Normal 4 2 2 3 3 2 8 2" xfId="18418" xr:uid="{ACB1CB7E-E84B-4CED-8803-7D683D5FF197}"/>
    <cellStyle name="Normal 4 2 2 3 3 2 9" xfId="9832" xr:uid="{EA36F791-6373-49FE-A00E-A6FDC73708D3}"/>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C2DCD80D-A06B-491B-B9B4-01D980B9CCC4}"/>
    <cellStyle name="Normal 4 2 2 3 3 3 2 3" xfId="12389" xr:uid="{8E0F1B3E-AF71-42D1-A418-B7DD709F1A6C}"/>
    <cellStyle name="Normal 4 2 2 3 3 3 3" xfId="5135" xr:uid="{00000000-0005-0000-0000-00005C120000}"/>
    <cellStyle name="Normal 4 2 2 3 3 3 3 2" xfId="14461" xr:uid="{FEAE66A4-2759-4AFC-BED9-C09FF1FE8855}"/>
    <cellStyle name="Normal 4 2 2 3 3 3 4" xfId="9312" xr:uid="{0065946C-778C-4913-8F8B-68BBB1A30769}"/>
    <cellStyle name="Normal 4 2 2 3 3 3 4 2" xfId="18627" xr:uid="{77DEC231-92D3-4448-BB0A-114949B2018D}"/>
    <cellStyle name="Normal 4 2 2 3 3 3 5" xfId="10244" xr:uid="{94BBF05E-B2F5-41A6-AC66-4456CFB9ED9E}"/>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DD23CD98-497D-438D-BC8E-A62195D7BA9A}"/>
    <cellStyle name="Normal 4 2 2 3 3 4 2 3" xfId="12802" xr:uid="{8119B58B-F4C1-4067-8936-9C5284D58061}"/>
    <cellStyle name="Normal 4 2 2 3 3 4 3" xfId="5548" xr:uid="{00000000-0005-0000-0000-000060120000}"/>
    <cellStyle name="Normal 4 2 2 3 3 4 3 2" xfId="14874" xr:uid="{E533A4B0-AB8C-44AC-B964-4DA37189FFCC}"/>
    <cellStyle name="Normal 4 2 2 3 3 4 4" xfId="10657" xr:uid="{2B71CBBB-448F-43E2-9C63-FFD1E61AAAA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A1402A0E-0820-4648-AAE0-FD19CE0F8C64}"/>
    <cellStyle name="Normal 4 2 2 3 3 5 2 3" xfId="13215" xr:uid="{8AFF2BFE-17C3-4C24-9D28-D9D1DA0AE8D9}"/>
    <cellStyle name="Normal 4 2 2 3 3 5 3" xfId="5961" xr:uid="{00000000-0005-0000-0000-000064120000}"/>
    <cellStyle name="Normal 4 2 2 3 3 5 3 2" xfId="15287" xr:uid="{C780663B-A497-44C5-96F0-549D76C02994}"/>
    <cellStyle name="Normal 4 2 2 3 3 5 4" xfId="11070" xr:uid="{3367D566-A343-49CE-9458-367091861367}"/>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F28264BE-4F87-415A-8A7F-4CD29029A30F}"/>
    <cellStyle name="Normal 4 2 2 3 3 6 2 3" xfId="13628" xr:uid="{6520B8EB-A888-45B4-93AF-70503156260D}"/>
    <cellStyle name="Normal 4 2 2 3 3 6 3" xfId="6374" xr:uid="{00000000-0005-0000-0000-000068120000}"/>
    <cellStyle name="Normal 4 2 2 3 3 6 3 2" xfId="15700" xr:uid="{F32ABCCB-2960-4886-833C-01A7D689D0BD}"/>
    <cellStyle name="Normal 4 2 2 3 3 6 4" xfId="11483" xr:uid="{099330C0-CB83-41BC-8559-DC146127E0A9}"/>
    <cellStyle name="Normal 4 2 2 3 3 7" xfId="2504" xr:uid="{00000000-0005-0000-0000-000069120000}"/>
    <cellStyle name="Normal 4 2 2 3 3 7 2" xfId="6787" xr:uid="{00000000-0005-0000-0000-00006A120000}"/>
    <cellStyle name="Normal 4 2 2 3 3 7 2 2" xfId="16113" xr:uid="{11384199-56EC-41E7-9F92-5E7F0881E43A}"/>
    <cellStyle name="Normal 4 2 2 3 3 7 3" xfId="11896" xr:uid="{3C3CAA63-603B-40BC-B85F-72DC6FB061E8}"/>
    <cellStyle name="Normal 4 2 2 3 3 8" xfId="4722" xr:uid="{00000000-0005-0000-0000-00006B120000}"/>
    <cellStyle name="Normal 4 2 2 3 3 8 2" xfId="14048" xr:uid="{2B62102A-66E9-464A-A78F-9E10D8D405DF}"/>
    <cellStyle name="Normal 4 2 2 3 3 9" xfId="8887" xr:uid="{FD79599D-FD4F-44F4-A7A6-B948A2C15DD2}"/>
    <cellStyle name="Normal 4 2 2 3 3 9 2" xfId="18211" xr:uid="{BEB7D40D-48DC-4E01-9D93-B6B5FB0EFE31}"/>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F98C4D95-6020-4282-B7D2-2F7F721A5864}"/>
    <cellStyle name="Normal 4 2 2 3 4 2 2 3" xfId="12391" xr:uid="{1D0E5E5E-E833-4CE0-8B48-DE5E9A36EF3C}"/>
    <cellStyle name="Normal 4 2 2 3 4 2 3" xfId="5137" xr:uid="{00000000-0005-0000-0000-000070120000}"/>
    <cellStyle name="Normal 4 2 2 3 4 2 3 2" xfId="14463" xr:uid="{76DB5005-65E3-4199-A4F0-3BF1724FF1F9}"/>
    <cellStyle name="Normal 4 2 2 3 4 2 4" xfId="9416" xr:uid="{B0F1A5CD-0EDE-48A7-9669-6902681F696C}"/>
    <cellStyle name="Normal 4 2 2 3 4 2 4 2" xfId="18731" xr:uid="{AAE1CCE2-F06E-49EB-87D4-706CA9F93D8C}"/>
    <cellStyle name="Normal 4 2 2 3 4 2 5" xfId="10246" xr:uid="{43FA55A6-F463-4DD4-905D-27B5D2AD9293}"/>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029B5DED-0224-4104-8CE7-14CE7481D188}"/>
    <cellStyle name="Normal 4 2 2 3 4 3 2 3" xfId="12804" xr:uid="{F3A2846A-988B-4DFB-AC04-583FDE78CC87}"/>
    <cellStyle name="Normal 4 2 2 3 4 3 3" xfId="5550" xr:uid="{00000000-0005-0000-0000-000074120000}"/>
    <cellStyle name="Normal 4 2 2 3 4 3 3 2" xfId="14876" xr:uid="{7A157831-D98F-4BB9-A447-42BEC634B376}"/>
    <cellStyle name="Normal 4 2 2 3 4 3 4" xfId="10659" xr:uid="{5BC67A95-3AFB-409B-84FC-3EA83E1EA2F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E85E3BB1-8116-4A05-B411-49AB0FB8910D}"/>
    <cellStyle name="Normal 4 2 2 3 4 4 2 3" xfId="13217" xr:uid="{77A6B9D6-5F9A-4350-AA23-709DCE2D6B95}"/>
    <cellStyle name="Normal 4 2 2 3 4 4 3" xfId="5963" xr:uid="{00000000-0005-0000-0000-000078120000}"/>
    <cellStyle name="Normal 4 2 2 3 4 4 3 2" xfId="15289" xr:uid="{D0AC0D3D-BEDC-4F41-9AD4-E25BDA1B7890}"/>
    <cellStyle name="Normal 4 2 2 3 4 4 4" xfId="11072" xr:uid="{929D57F4-967A-4916-889F-D21198C32C3A}"/>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21E75C4E-49E6-4B53-8F50-F3B2D958A1EF}"/>
    <cellStyle name="Normal 4 2 2 3 4 5 2 3" xfId="13630" xr:uid="{E9261055-CA2E-40F5-8523-0D83E620B7A4}"/>
    <cellStyle name="Normal 4 2 2 3 4 5 3" xfId="6376" xr:uid="{00000000-0005-0000-0000-00007C120000}"/>
    <cellStyle name="Normal 4 2 2 3 4 5 3 2" xfId="15702" xr:uid="{86C31A4C-150E-41DF-BB61-4B8223BED101}"/>
    <cellStyle name="Normal 4 2 2 3 4 5 4" xfId="11485" xr:uid="{D3A8B5FE-211D-461A-B905-9AF69F41B735}"/>
    <cellStyle name="Normal 4 2 2 3 4 6" xfId="2506" xr:uid="{00000000-0005-0000-0000-00007D120000}"/>
    <cellStyle name="Normal 4 2 2 3 4 6 2" xfId="6789" xr:uid="{00000000-0005-0000-0000-00007E120000}"/>
    <cellStyle name="Normal 4 2 2 3 4 6 2 2" xfId="16115" xr:uid="{8A66FBEE-3D90-43FE-93F8-AB58511BFEDF}"/>
    <cellStyle name="Normal 4 2 2 3 4 6 3" xfId="11898" xr:uid="{11E5EB7E-6F31-490F-890B-5FD2528AC36A}"/>
    <cellStyle name="Normal 4 2 2 3 4 7" xfId="4724" xr:uid="{00000000-0005-0000-0000-00007F120000}"/>
    <cellStyle name="Normal 4 2 2 3 4 7 2" xfId="14050" xr:uid="{77CA41B3-9F10-467C-91CB-80F359B45977}"/>
    <cellStyle name="Normal 4 2 2 3 4 8" xfId="8991" xr:uid="{84464EC3-90C2-4B18-8399-135C935528F7}"/>
    <cellStyle name="Normal 4 2 2 3 4 8 2" xfId="18315" xr:uid="{17E79F54-B096-4A75-A217-E6B4993A19E6}"/>
    <cellStyle name="Normal 4 2 2 3 4 9" xfId="9833" xr:uid="{E4675005-1E70-447C-8A5F-5588D5747F47}"/>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15A2FC81-7A41-4513-BCB4-6F3533F0597F}"/>
    <cellStyle name="Normal 4 2 2 3 5 2 3" xfId="12384" xr:uid="{352907DD-0236-4888-AE00-25C9399DC3DF}"/>
    <cellStyle name="Normal 4 2 2 3 5 3" xfId="5130" xr:uid="{00000000-0005-0000-0000-000083120000}"/>
    <cellStyle name="Normal 4 2 2 3 5 3 2" xfId="14456" xr:uid="{E3ADC6D2-EA5E-490F-B867-154F005DD838}"/>
    <cellStyle name="Normal 4 2 2 3 5 4" xfId="9208" xr:uid="{7BF9CD11-B90D-42F2-928D-A8BE344C6F46}"/>
    <cellStyle name="Normal 4 2 2 3 5 4 2" xfId="18524" xr:uid="{AD6BDD1B-F717-449A-A94F-52DB073269AC}"/>
    <cellStyle name="Normal 4 2 2 3 5 5" xfId="10239" xr:uid="{BD622F9F-1282-4F5C-8207-748F4D8C716E}"/>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CED2BDA0-A145-4475-B013-6792F6740FBE}"/>
    <cellStyle name="Normal 4 2 2 3 6 2 3" xfId="12797" xr:uid="{2E3A4882-AD03-431A-A130-37A7772B8DC1}"/>
    <cellStyle name="Normal 4 2 2 3 6 3" xfId="5543" xr:uid="{00000000-0005-0000-0000-000087120000}"/>
    <cellStyle name="Normal 4 2 2 3 6 3 2" xfId="14869" xr:uid="{091501BE-4D97-4FE7-B82D-1F3707F164D2}"/>
    <cellStyle name="Normal 4 2 2 3 6 4" xfId="10652" xr:uid="{6F2747EC-ACE2-4BF5-8B53-C6393A60681C}"/>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00E52A61-13C7-4845-8816-FE2B6BD1DD1A}"/>
    <cellStyle name="Normal 4 2 2 3 7 2 3" xfId="13210" xr:uid="{58AA3F42-8C65-45B9-98CE-49DDC7F856CD}"/>
    <cellStyle name="Normal 4 2 2 3 7 3" xfId="5956" xr:uid="{00000000-0005-0000-0000-00008B120000}"/>
    <cellStyle name="Normal 4 2 2 3 7 3 2" xfId="15282" xr:uid="{F5E15F1C-5916-4F98-9EDB-00286DFCBE08}"/>
    <cellStyle name="Normal 4 2 2 3 7 4" xfId="11065" xr:uid="{C00A65D6-C42C-45F5-80A1-F800301200E1}"/>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725D7A27-68EF-4065-9B87-CE644643BE64}"/>
    <cellStyle name="Normal 4 2 2 3 8 2 3" xfId="13623" xr:uid="{A5EB56D5-8F06-4B59-A38A-3868C7C20208}"/>
    <cellStyle name="Normal 4 2 2 3 8 3" xfId="6369" xr:uid="{00000000-0005-0000-0000-00008F120000}"/>
    <cellStyle name="Normal 4 2 2 3 8 3 2" xfId="15695" xr:uid="{F015AF2E-C5E3-4F7B-BF0E-FC5E547F39F4}"/>
    <cellStyle name="Normal 4 2 2 3 8 4" xfId="11478" xr:uid="{E2B29B23-70CC-4333-B7D3-2D20FF98EFA5}"/>
    <cellStyle name="Normal 4 2 2 3 9" xfId="2499" xr:uid="{00000000-0005-0000-0000-000090120000}"/>
    <cellStyle name="Normal 4 2 2 3 9 2" xfId="6782" xr:uid="{00000000-0005-0000-0000-000091120000}"/>
    <cellStyle name="Normal 4 2 2 3 9 2 2" xfId="16108" xr:uid="{083207FD-4B51-4837-9215-F4E398C75583}"/>
    <cellStyle name="Normal 4 2 2 3 9 3" xfId="11891" xr:uid="{97053077-AA0C-42A6-9814-EB2A8642FAA0}"/>
    <cellStyle name="Normal 4 2 2 4" xfId="347" xr:uid="{00000000-0005-0000-0000-000092120000}"/>
    <cellStyle name="Normal 4 2 2 4 10" xfId="8818" xr:uid="{A73977A7-52C6-4368-9F59-166E1B99BBDE}"/>
    <cellStyle name="Normal 4 2 2 4 10 2" xfId="18142" xr:uid="{B0048D4F-CB88-4124-A7B6-233F2C737B58}"/>
    <cellStyle name="Normal 4 2 2 4 11" xfId="9834" xr:uid="{2CF964D2-A920-496C-93AD-2C862B12CFF3}"/>
    <cellStyle name="Normal 4 2 2 4 2" xfId="348" xr:uid="{00000000-0005-0000-0000-000093120000}"/>
    <cellStyle name="Normal 4 2 2 4 2 10" xfId="9835" xr:uid="{F8502C49-1E05-4D45-9348-B603B8931F2C}"/>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35E60581-A894-4D65-B197-7DC192F295AC}"/>
    <cellStyle name="Normal 4 2 2 4 2 2 2 2 3" xfId="12394" xr:uid="{E316B68C-EE2A-42E0-8205-787236BE070C}"/>
    <cellStyle name="Normal 4 2 2 4 2 2 2 3" xfId="5140" xr:uid="{00000000-0005-0000-0000-000098120000}"/>
    <cellStyle name="Normal 4 2 2 4 2 2 2 3 2" xfId="14466" xr:uid="{4BCEC5D1-1E77-4B2E-9D2B-A8C7EF685173}"/>
    <cellStyle name="Normal 4 2 2 4 2 2 2 4" xfId="9553" xr:uid="{7FCAF883-2374-4470-BA95-AD8EB054639C}"/>
    <cellStyle name="Normal 4 2 2 4 2 2 2 4 2" xfId="18868" xr:uid="{31D372C1-2301-47EF-890A-720820B925A1}"/>
    <cellStyle name="Normal 4 2 2 4 2 2 2 5" xfId="10249" xr:uid="{FE52EDA1-9097-4A72-91F6-9DDBCEA21C95}"/>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D0FD5302-C1F7-4674-B0C8-A2D331719073}"/>
    <cellStyle name="Normal 4 2 2 4 2 2 3 2 3" xfId="12807" xr:uid="{BCAFE7A7-1755-43AA-B8D3-A12C7A88ED51}"/>
    <cellStyle name="Normal 4 2 2 4 2 2 3 3" xfId="5553" xr:uid="{00000000-0005-0000-0000-00009C120000}"/>
    <cellStyle name="Normal 4 2 2 4 2 2 3 3 2" xfId="14879" xr:uid="{AD046C0E-0D6F-4243-92F9-D07747F8E7E7}"/>
    <cellStyle name="Normal 4 2 2 4 2 2 3 4" xfId="10662" xr:uid="{3BA5F570-3BD8-4B5E-AD4F-F07C33DE1C23}"/>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833D51CF-6AEC-40E5-9269-B53D9CD66043}"/>
    <cellStyle name="Normal 4 2 2 4 2 2 4 2 3" xfId="13220" xr:uid="{57A0B53A-63D3-4774-8CB8-086E20B18BD3}"/>
    <cellStyle name="Normal 4 2 2 4 2 2 4 3" xfId="5966" xr:uid="{00000000-0005-0000-0000-0000A0120000}"/>
    <cellStyle name="Normal 4 2 2 4 2 2 4 3 2" xfId="15292" xr:uid="{D2B6D5E0-4478-482F-8BB2-4F58EAD94BE8}"/>
    <cellStyle name="Normal 4 2 2 4 2 2 4 4" xfId="11075" xr:uid="{F7C4E4DD-7992-49F8-AF6D-29347394F62D}"/>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EFB7B0C9-EAAD-445E-B9A7-AF988A55338B}"/>
    <cellStyle name="Normal 4 2 2 4 2 2 5 2 3" xfId="13633" xr:uid="{604C93ED-40EA-4319-A183-A72760767AE1}"/>
    <cellStyle name="Normal 4 2 2 4 2 2 5 3" xfId="6379" xr:uid="{00000000-0005-0000-0000-0000A4120000}"/>
    <cellStyle name="Normal 4 2 2 4 2 2 5 3 2" xfId="15705" xr:uid="{7F93EEA4-9233-4E22-9B0E-9A1CE845D5B9}"/>
    <cellStyle name="Normal 4 2 2 4 2 2 5 4" xfId="11488" xr:uid="{A96B0E36-ADBF-480B-8308-93D846B776B5}"/>
    <cellStyle name="Normal 4 2 2 4 2 2 6" xfId="2509" xr:uid="{00000000-0005-0000-0000-0000A5120000}"/>
    <cellStyle name="Normal 4 2 2 4 2 2 6 2" xfId="6792" xr:uid="{00000000-0005-0000-0000-0000A6120000}"/>
    <cellStyle name="Normal 4 2 2 4 2 2 6 2 2" xfId="16118" xr:uid="{3058A0AA-1D63-47AE-B518-DC21C0048606}"/>
    <cellStyle name="Normal 4 2 2 4 2 2 6 3" xfId="11901" xr:uid="{19F9D980-212C-4D82-B0ED-FBE5FC2EBDD7}"/>
    <cellStyle name="Normal 4 2 2 4 2 2 7" xfId="4727" xr:uid="{00000000-0005-0000-0000-0000A7120000}"/>
    <cellStyle name="Normal 4 2 2 4 2 2 7 2" xfId="14053" xr:uid="{51934B8F-CE8E-4C8B-A325-5CE0191505B8}"/>
    <cellStyle name="Normal 4 2 2 4 2 2 8" xfId="9128" xr:uid="{3D9AD2A4-E3D1-4BAF-8F43-BFB1FE8E222D}"/>
    <cellStyle name="Normal 4 2 2 4 2 2 8 2" xfId="18452" xr:uid="{01EC2525-2351-4B2A-A05E-1AF11C96F430}"/>
    <cellStyle name="Normal 4 2 2 4 2 2 9" xfId="9836" xr:uid="{8675F6F0-7454-46C8-8A5C-8A97BBE3F8BC}"/>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64BDD2CE-0C93-473F-93DA-E5B68E3A31AC}"/>
    <cellStyle name="Normal 4 2 2 4 2 3 2 3" xfId="12393" xr:uid="{AB9DB74C-8029-4C26-B6E7-4E78AF06A04B}"/>
    <cellStyle name="Normal 4 2 2 4 2 3 3" xfId="5139" xr:uid="{00000000-0005-0000-0000-0000AB120000}"/>
    <cellStyle name="Normal 4 2 2 4 2 3 3 2" xfId="14465" xr:uid="{E6AF3EED-365E-4662-B837-AFC77EB8CC4E}"/>
    <cellStyle name="Normal 4 2 2 4 2 3 4" xfId="9346" xr:uid="{11110DEC-01F5-467C-B0F9-3286FF7E57CB}"/>
    <cellStyle name="Normal 4 2 2 4 2 3 4 2" xfId="18661" xr:uid="{83E1D1C4-081E-48FC-839B-2954F9A228BB}"/>
    <cellStyle name="Normal 4 2 2 4 2 3 5" xfId="10248" xr:uid="{F3B2C210-8E7C-4A84-A3CE-42B56FA9C494}"/>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0A04E484-7FA6-49B6-97AF-D35FCD91813C}"/>
    <cellStyle name="Normal 4 2 2 4 2 4 2 3" xfId="12806" xr:uid="{6A35C3C0-6D44-428B-8C09-4F7174BF3BD3}"/>
    <cellStyle name="Normal 4 2 2 4 2 4 3" xfId="5552" xr:uid="{00000000-0005-0000-0000-0000AF120000}"/>
    <cellStyle name="Normal 4 2 2 4 2 4 3 2" xfId="14878" xr:uid="{10593FD9-87DB-4F3E-9F5F-CC93B01B7888}"/>
    <cellStyle name="Normal 4 2 2 4 2 4 4" xfId="10661" xr:uid="{7700CFDC-414A-4AFB-82D1-312EE98F49B6}"/>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0FCD827E-4B00-464B-B9FE-E3019C5CB640}"/>
    <cellStyle name="Normal 4 2 2 4 2 5 2 3" xfId="13219" xr:uid="{1539F5EB-2E62-43EA-AEFD-D73AC79697E0}"/>
    <cellStyle name="Normal 4 2 2 4 2 5 3" xfId="5965" xr:uid="{00000000-0005-0000-0000-0000B3120000}"/>
    <cellStyle name="Normal 4 2 2 4 2 5 3 2" xfId="15291" xr:uid="{71B1FA29-3E6E-4BF9-8C14-C98F6B4AA890}"/>
    <cellStyle name="Normal 4 2 2 4 2 5 4" xfId="11074" xr:uid="{CE40B39F-159A-49B0-A444-431C921125F8}"/>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F2C3E776-DF8C-4D62-8DF4-FDFD79A09C20}"/>
    <cellStyle name="Normal 4 2 2 4 2 6 2 3" xfId="13632" xr:uid="{7E0B8D62-DE7E-47E8-8D0D-0EB41404D7BA}"/>
    <cellStyle name="Normal 4 2 2 4 2 6 3" xfId="6378" xr:uid="{00000000-0005-0000-0000-0000B7120000}"/>
    <cellStyle name="Normal 4 2 2 4 2 6 3 2" xfId="15704" xr:uid="{59221996-8F7B-4844-B58D-AC34AC66B501}"/>
    <cellStyle name="Normal 4 2 2 4 2 6 4" xfId="11487" xr:uid="{D704BA2A-6D02-4EE8-84F0-CD0D5F243F24}"/>
    <cellStyle name="Normal 4 2 2 4 2 7" xfId="2508" xr:uid="{00000000-0005-0000-0000-0000B8120000}"/>
    <cellStyle name="Normal 4 2 2 4 2 7 2" xfId="6791" xr:uid="{00000000-0005-0000-0000-0000B9120000}"/>
    <cellStyle name="Normal 4 2 2 4 2 7 2 2" xfId="16117" xr:uid="{9F3CC65F-FF9B-442B-AB30-B083F1F8A65F}"/>
    <cellStyle name="Normal 4 2 2 4 2 7 3" xfId="11900" xr:uid="{E74DF4CE-809C-4060-8FD9-F187176D1CA5}"/>
    <cellStyle name="Normal 4 2 2 4 2 8" xfId="4726" xr:uid="{00000000-0005-0000-0000-0000BA120000}"/>
    <cellStyle name="Normal 4 2 2 4 2 8 2" xfId="14052" xr:uid="{C375B645-ECF2-4515-B856-0D917865DB74}"/>
    <cellStyle name="Normal 4 2 2 4 2 9" xfId="8921" xr:uid="{43AA3CA1-A6D2-47CC-8276-CBFAB7238AA6}"/>
    <cellStyle name="Normal 4 2 2 4 2 9 2" xfId="18245" xr:uid="{59210350-1D00-46AE-AF9D-A56FF1D7B22B}"/>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A8E72A6F-1C9D-4B3D-B29F-6AD78931E52E}"/>
    <cellStyle name="Normal 4 2 2 4 3 2 2 3" xfId="12395" xr:uid="{343FA6FD-182A-4AC3-9304-931EE08D9C3F}"/>
    <cellStyle name="Normal 4 2 2 4 3 2 3" xfId="5141" xr:uid="{00000000-0005-0000-0000-0000BF120000}"/>
    <cellStyle name="Normal 4 2 2 4 3 2 3 2" xfId="14467" xr:uid="{5590CDB1-C1CC-4780-8AE9-98C629DB4500}"/>
    <cellStyle name="Normal 4 2 2 4 3 2 4" xfId="9450" xr:uid="{0F54578A-5DA3-4B6E-9E36-71CC7CD6BFE8}"/>
    <cellStyle name="Normal 4 2 2 4 3 2 4 2" xfId="18765" xr:uid="{4E35B142-1681-45A9-A4E4-EDCB021520B6}"/>
    <cellStyle name="Normal 4 2 2 4 3 2 5" xfId="10250" xr:uid="{EB4F9546-37D8-42B0-9682-9D1A350599D9}"/>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FF7DB641-949A-4ACD-8773-E271F080E6DC}"/>
    <cellStyle name="Normal 4 2 2 4 3 3 2 3" xfId="12808" xr:uid="{A4C05199-DE1F-4A8E-A4D8-8F332A6D0FFE}"/>
    <cellStyle name="Normal 4 2 2 4 3 3 3" xfId="5554" xr:uid="{00000000-0005-0000-0000-0000C3120000}"/>
    <cellStyle name="Normal 4 2 2 4 3 3 3 2" xfId="14880" xr:uid="{8752A452-BC73-4E4E-9FAB-4A3269B9F552}"/>
    <cellStyle name="Normal 4 2 2 4 3 3 4" xfId="10663" xr:uid="{E4AA724E-A386-4AB5-814A-1D813B8B426F}"/>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F283B188-4EFA-4482-8D54-27A4731B33B5}"/>
    <cellStyle name="Normal 4 2 2 4 3 4 2 3" xfId="13221" xr:uid="{CA1D63A1-BE84-48F9-9321-4D087E225B7E}"/>
    <cellStyle name="Normal 4 2 2 4 3 4 3" xfId="5967" xr:uid="{00000000-0005-0000-0000-0000C7120000}"/>
    <cellStyle name="Normal 4 2 2 4 3 4 3 2" xfId="15293" xr:uid="{36CE5DB0-2897-4137-9BE5-8BC66C019692}"/>
    <cellStyle name="Normal 4 2 2 4 3 4 4" xfId="11076" xr:uid="{6925736C-567D-4E19-B28F-E2EB5559E766}"/>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58C2FCC5-284C-4514-85FF-F416C44C3842}"/>
    <cellStyle name="Normal 4 2 2 4 3 5 2 3" xfId="13634" xr:uid="{DBB922E9-98D1-4E16-941D-C9EAEEC0EBEA}"/>
    <cellStyle name="Normal 4 2 2 4 3 5 3" xfId="6380" xr:uid="{00000000-0005-0000-0000-0000CB120000}"/>
    <cellStyle name="Normal 4 2 2 4 3 5 3 2" xfId="15706" xr:uid="{8EEE0C16-4FA5-439C-8737-04CBF5B5F94F}"/>
    <cellStyle name="Normal 4 2 2 4 3 5 4" xfId="11489" xr:uid="{E3B53FF0-B713-4F86-9291-65A86B5F2D8C}"/>
    <cellStyle name="Normal 4 2 2 4 3 6" xfId="2510" xr:uid="{00000000-0005-0000-0000-0000CC120000}"/>
    <cellStyle name="Normal 4 2 2 4 3 6 2" xfId="6793" xr:uid="{00000000-0005-0000-0000-0000CD120000}"/>
    <cellStyle name="Normal 4 2 2 4 3 6 2 2" xfId="16119" xr:uid="{BE0C2878-AE4E-45F0-9682-4EF72A06BD55}"/>
    <cellStyle name="Normal 4 2 2 4 3 6 3" xfId="11902" xr:uid="{FA6917D9-7048-49C4-A640-160A12F6D070}"/>
    <cellStyle name="Normal 4 2 2 4 3 7" xfId="4728" xr:uid="{00000000-0005-0000-0000-0000CE120000}"/>
    <cellStyle name="Normal 4 2 2 4 3 7 2" xfId="14054" xr:uid="{CC178DA2-48A4-45A2-BEED-C40834958605}"/>
    <cellStyle name="Normal 4 2 2 4 3 8" xfId="9025" xr:uid="{436CB353-A916-4AB2-B5E2-8C1BDAEA1182}"/>
    <cellStyle name="Normal 4 2 2 4 3 8 2" xfId="18349" xr:uid="{3A5CC825-CFEC-43EA-B370-4F1864393148}"/>
    <cellStyle name="Normal 4 2 2 4 3 9" xfId="9837" xr:uid="{9F62DFF1-D96C-4B63-9556-EE8FAC87918E}"/>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2A59B6EF-993C-4523-8F49-84277A2F6B85}"/>
    <cellStyle name="Normal 4 2 2 4 4 2 3" xfId="12392" xr:uid="{05704526-78FF-4333-8404-1C4190E2AB66}"/>
    <cellStyle name="Normal 4 2 2 4 4 3" xfId="5138" xr:uid="{00000000-0005-0000-0000-0000D2120000}"/>
    <cellStyle name="Normal 4 2 2 4 4 3 2" xfId="14464" xr:uid="{BFC07A43-7009-45C6-B1B5-F4F3EAFEC447}"/>
    <cellStyle name="Normal 4 2 2 4 4 4" xfId="9243" xr:uid="{FD46A281-F5BE-478B-950E-209D1D56FC0E}"/>
    <cellStyle name="Normal 4 2 2 4 4 4 2" xfId="18558" xr:uid="{BBD03272-791D-4750-9AA9-E226BA9433E5}"/>
    <cellStyle name="Normal 4 2 2 4 4 5" xfId="10247" xr:uid="{75512529-6A92-4847-9EE9-7A0996B5CC56}"/>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B6A9095A-AA1E-4472-9DC8-52D5236CD3D2}"/>
    <cellStyle name="Normal 4 2 2 4 5 2 3" xfId="12805" xr:uid="{41BEDE5F-BB32-4367-8114-D923222B05F6}"/>
    <cellStyle name="Normal 4 2 2 4 5 3" xfId="5551" xr:uid="{00000000-0005-0000-0000-0000D6120000}"/>
    <cellStyle name="Normal 4 2 2 4 5 3 2" xfId="14877" xr:uid="{96127270-E206-45B1-AC04-294A72DE7639}"/>
    <cellStyle name="Normal 4 2 2 4 5 4" xfId="10660" xr:uid="{7E555D14-A9CF-4294-A92B-76C86CE61176}"/>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1FCECF62-9ABF-4078-94AD-BCD2CDE1E04A}"/>
    <cellStyle name="Normal 4 2 2 4 6 2 3" xfId="13218" xr:uid="{6C051687-9A50-4A99-A318-B6219BBFE3BD}"/>
    <cellStyle name="Normal 4 2 2 4 6 3" xfId="5964" xr:uid="{00000000-0005-0000-0000-0000DA120000}"/>
    <cellStyle name="Normal 4 2 2 4 6 3 2" xfId="15290" xr:uid="{43E787A2-F650-4F86-BC4F-22EB6C297998}"/>
    <cellStyle name="Normal 4 2 2 4 6 4" xfId="11073" xr:uid="{7C47DA29-9D07-4B55-8AFD-EE675699EC08}"/>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FFDADA09-4FAD-4AA6-83B2-C5F416676811}"/>
    <cellStyle name="Normal 4 2 2 4 7 2 3" xfId="13631" xr:uid="{4882FD63-DB1F-4A37-BCD1-F10A19DD7C4B}"/>
    <cellStyle name="Normal 4 2 2 4 7 3" xfId="6377" xr:uid="{00000000-0005-0000-0000-0000DE120000}"/>
    <cellStyle name="Normal 4 2 2 4 7 3 2" xfId="15703" xr:uid="{BFEF71C2-36A5-4593-9728-64B725378889}"/>
    <cellStyle name="Normal 4 2 2 4 7 4" xfId="11486" xr:uid="{FC235A2E-CFCD-4503-B3C0-125E7C67DB21}"/>
    <cellStyle name="Normal 4 2 2 4 8" xfId="2507" xr:uid="{00000000-0005-0000-0000-0000DF120000}"/>
    <cellStyle name="Normal 4 2 2 4 8 2" xfId="6790" xr:uid="{00000000-0005-0000-0000-0000E0120000}"/>
    <cellStyle name="Normal 4 2 2 4 8 2 2" xfId="16116" xr:uid="{C22FB192-C34A-4CD6-A934-1C5746ABE9D1}"/>
    <cellStyle name="Normal 4 2 2 4 8 3" xfId="11899" xr:uid="{76C59C25-2BE3-49AC-80A3-6D3266857385}"/>
    <cellStyle name="Normal 4 2 2 4 9" xfId="4725" xr:uid="{00000000-0005-0000-0000-0000E1120000}"/>
    <cellStyle name="Normal 4 2 2 4 9 2" xfId="14051" xr:uid="{A9C44C2E-BB92-4262-9334-ACD4A27F237D}"/>
    <cellStyle name="Normal 4 2 2 5" xfId="351" xr:uid="{00000000-0005-0000-0000-0000E2120000}"/>
    <cellStyle name="Normal 4 2 2 5 10" xfId="9838" xr:uid="{72FC1413-0F1E-4435-8367-B89D2807C343}"/>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F56FB2E6-D032-4FCB-9617-4B5DCFC95A0D}"/>
    <cellStyle name="Normal 4 2 2 5 2 2 2 3" xfId="12397" xr:uid="{749268D2-72F7-4A75-BF23-4906B1ECC2FF}"/>
    <cellStyle name="Normal 4 2 2 5 2 2 3" xfId="5143" xr:uid="{00000000-0005-0000-0000-0000E7120000}"/>
    <cellStyle name="Normal 4 2 2 5 2 2 3 2" xfId="14469" xr:uid="{47F3C6C6-D411-462E-8013-47C66502D570}"/>
    <cellStyle name="Normal 4 2 2 5 2 2 4" xfId="9487" xr:uid="{83D2756E-B983-4EA9-AB48-FF4D3E821CE4}"/>
    <cellStyle name="Normal 4 2 2 5 2 2 4 2" xfId="18802" xr:uid="{996167A7-7820-4AF5-84DA-12314CF62CE3}"/>
    <cellStyle name="Normal 4 2 2 5 2 2 5" xfId="10252" xr:uid="{AAE4AC10-5C5E-4ECC-8725-F7E51DA89152}"/>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D889DD44-10A7-43DD-9A48-D92240C50C96}"/>
    <cellStyle name="Normal 4 2 2 5 2 3 2 3" xfId="12810" xr:uid="{EBF93DE6-8F40-4962-94F7-889B4F34E329}"/>
    <cellStyle name="Normal 4 2 2 5 2 3 3" xfId="5556" xr:uid="{00000000-0005-0000-0000-0000EB120000}"/>
    <cellStyle name="Normal 4 2 2 5 2 3 3 2" xfId="14882" xr:uid="{DE90B260-B4CE-4CAB-A40D-27901A094280}"/>
    <cellStyle name="Normal 4 2 2 5 2 3 4" xfId="10665" xr:uid="{5EC2C41A-319D-4BEC-A955-33DD4749CFA3}"/>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1F9B73D5-1A92-41CB-9FF5-02613F7F0C3C}"/>
    <cellStyle name="Normal 4 2 2 5 2 4 2 3" xfId="13223" xr:uid="{1D44B36C-D175-431E-BA48-74EC380D3F7B}"/>
    <cellStyle name="Normal 4 2 2 5 2 4 3" xfId="5969" xr:uid="{00000000-0005-0000-0000-0000EF120000}"/>
    <cellStyle name="Normal 4 2 2 5 2 4 3 2" xfId="15295" xr:uid="{C6A67EA8-E14E-464F-A518-B2D75DFE2357}"/>
    <cellStyle name="Normal 4 2 2 5 2 4 4" xfId="11078" xr:uid="{056B56BB-724D-468E-8748-3C13956DFED3}"/>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B9414152-7DE8-499F-95D2-8208094BA11B}"/>
    <cellStyle name="Normal 4 2 2 5 2 5 2 3" xfId="13636" xr:uid="{1A03786A-0781-41D5-BDDF-C4C74F9E4824}"/>
    <cellStyle name="Normal 4 2 2 5 2 5 3" xfId="6382" xr:uid="{00000000-0005-0000-0000-0000F3120000}"/>
    <cellStyle name="Normal 4 2 2 5 2 5 3 2" xfId="15708" xr:uid="{CA003977-364A-458B-96DC-10B6E74B60EE}"/>
    <cellStyle name="Normal 4 2 2 5 2 5 4" xfId="11491" xr:uid="{85206A72-E9D4-4B20-82D3-CB7B22E730BE}"/>
    <cellStyle name="Normal 4 2 2 5 2 6" xfId="2512" xr:uid="{00000000-0005-0000-0000-0000F4120000}"/>
    <cellStyle name="Normal 4 2 2 5 2 6 2" xfId="6795" xr:uid="{00000000-0005-0000-0000-0000F5120000}"/>
    <cellStyle name="Normal 4 2 2 5 2 6 2 2" xfId="16121" xr:uid="{62673717-82BC-45AA-8F6C-A07F004A0FEF}"/>
    <cellStyle name="Normal 4 2 2 5 2 6 3" xfId="11904" xr:uid="{C7CC2092-1CB7-4A96-853E-99D5535E0467}"/>
    <cellStyle name="Normal 4 2 2 5 2 7" xfId="4730" xr:uid="{00000000-0005-0000-0000-0000F6120000}"/>
    <cellStyle name="Normal 4 2 2 5 2 7 2" xfId="14056" xr:uid="{3A388F90-7C40-47D8-9901-187F3FB174EB}"/>
    <cellStyle name="Normal 4 2 2 5 2 8" xfId="9062" xr:uid="{FED54422-C2E5-44B3-AA7C-C6088F47A385}"/>
    <cellStyle name="Normal 4 2 2 5 2 8 2" xfId="18386" xr:uid="{41C61C59-2E83-450D-9BE3-1B36C34325C7}"/>
    <cellStyle name="Normal 4 2 2 5 2 9" xfId="9839" xr:uid="{0D95FA72-0059-4B94-9ED2-2772F60A71A0}"/>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4F1E4DF4-0287-47B1-AC45-638BAF8B6924}"/>
    <cellStyle name="Normal 4 2 2 5 3 2 3" xfId="12396" xr:uid="{7B9DC37B-A89D-4170-8154-500BE7644095}"/>
    <cellStyle name="Normal 4 2 2 5 3 3" xfId="5142" xr:uid="{00000000-0005-0000-0000-0000FA120000}"/>
    <cellStyle name="Normal 4 2 2 5 3 3 2" xfId="14468" xr:uid="{EBBF968C-1BEC-4836-B58F-56D1E3E74781}"/>
    <cellStyle name="Normal 4 2 2 5 3 4" xfId="9280" xr:uid="{C70B18D8-E279-4D37-82EF-3177E9FA554F}"/>
    <cellStyle name="Normal 4 2 2 5 3 4 2" xfId="18595" xr:uid="{BEDA1773-C724-41BC-97D6-9E7B7628A3A5}"/>
    <cellStyle name="Normal 4 2 2 5 3 5" xfId="10251" xr:uid="{5F72FCCD-EAAF-4F9F-971C-645B12E2FDD7}"/>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DAA64DFF-7358-4B90-B864-467CE4CCFEE5}"/>
    <cellStyle name="Normal 4 2 2 5 4 2 3" xfId="12809" xr:uid="{B5B8AD61-E422-4A3D-9B1D-E0C901D79437}"/>
    <cellStyle name="Normal 4 2 2 5 4 3" xfId="5555" xr:uid="{00000000-0005-0000-0000-0000FE120000}"/>
    <cellStyle name="Normal 4 2 2 5 4 3 2" xfId="14881" xr:uid="{CB09B676-F436-4D69-ACAE-126447D1DC98}"/>
    <cellStyle name="Normal 4 2 2 5 4 4" xfId="10664" xr:uid="{3A4AA616-40FD-4E00-A14C-8991353DC8EE}"/>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7B09FD93-BFFF-4FB0-9F62-363A929D4268}"/>
    <cellStyle name="Normal 4 2 2 5 5 2 3" xfId="13222" xr:uid="{75399023-B6B3-45F8-B02A-667DD1659D84}"/>
    <cellStyle name="Normal 4 2 2 5 5 3" xfId="5968" xr:uid="{00000000-0005-0000-0000-000002130000}"/>
    <cellStyle name="Normal 4 2 2 5 5 3 2" xfId="15294" xr:uid="{4A49244F-ADC7-4C59-AB03-22055FDA43B9}"/>
    <cellStyle name="Normal 4 2 2 5 5 4" xfId="11077" xr:uid="{AB73E443-391E-40BD-8A11-3A0FC4E2A3BE}"/>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37A3E223-EC33-4B12-8D49-567AC6557F69}"/>
    <cellStyle name="Normal 4 2 2 5 6 2 3" xfId="13635" xr:uid="{AEF71701-3F04-4EFC-8DC8-9753D5B6A1A8}"/>
    <cellStyle name="Normal 4 2 2 5 6 3" xfId="6381" xr:uid="{00000000-0005-0000-0000-000006130000}"/>
    <cellStyle name="Normal 4 2 2 5 6 3 2" xfId="15707" xr:uid="{D49C545F-1A91-4DAB-9981-15003B1BEB5C}"/>
    <cellStyle name="Normal 4 2 2 5 6 4" xfId="11490" xr:uid="{AB810E38-0AE6-416C-973C-877470B6D7EF}"/>
    <cellStyle name="Normal 4 2 2 5 7" xfId="2511" xr:uid="{00000000-0005-0000-0000-000007130000}"/>
    <cellStyle name="Normal 4 2 2 5 7 2" xfId="6794" xr:uid="{00000000-0005-0000-0000-000008130000}"/>
    <cellStyle name="Normal 4 2 2 5 7 2 2" xfId="16120" xr:uid="{8268570C-FB01-416A-951D-481F510B3E26}"/>
    <cellStyle name="Normal 4 2 2 5 7 3" xfId="11903" xr:uid="{50F71F07-8DA3-49EB-A9C6-7C3B59316B3E}"/>
    <cellStyle name="Normal 4 2 2 5 8" xfId="4729" xr:uid="{00000000-0005-0000-0000-000009130000}"/>
    <cellStyle name="Normal 4 2 2 5 8 2" xfId="14055" xr:uid="{DE59B9C8-328C-4DEC-9E44-8D89F541DB61}"/>
    <cellStyle name="Normal 4 2 2 5 9" xfId="8855" xr:uid="{894DEE8B-A5CD-4C4E-B41D-DCEB92717109}"/>
    <cellStyle name="Normal 4 2 2 5 9 2" xfId="18179" xr:uid="{3155F2FB-7150-4D1A-9ABD-92BE6B513B9C}"/>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E67517DD-112C-49A9-8D55-1D25D0ED28C0}"/>
    <cellStyle name="Normal 4 2 2 6 2 2 3" xfId="12398" xr:uid="{3B904D2C-67C5-40C6-BC18-92AA3299D74F}"/>
    <cellStyle name="Normal 4 2 2 6 2 3" xfId="5144" xr:uid="{00000000-0005-0000-0000-00000E130000}"/>
    <cellStyle name="Normal 4 2 2 6 2 3 2" xfId="14470" xr:uid="{112E4FBA-6140-474D-B45B-52CBD1D70AE2}"/>
    <cellStyle name="Normal 4 2 2 6 2 4" xfId="9396" xr:uid="{5B10E6C6-987A-4149-BB81-321A07C7666F}"/>
    <cellStyle name="Normal 4 2 2 6 2 4 2" xfId="18711" xr:uid="{205B55D7-91C1-44BC-9ED9-F5020D71DD04}"/>
    <cellStyle name="Normal 4 2 2 6 2 5" xfId="10253" xr:uid="{0D95DD15-634A-4691-8FE4-92A89A088D32}"/>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6E3BBE66-E2C0-4194-9876-60848FB1AFDC}"/>
    <cellStyle name="Normal 4 2 2 6 3 2 3" xfId="12811" xr:uid="{C7B18946-3BDD-47DF-A3C5-1AD78B546BD0}"/>
    <cellStyle name="Normal 4 2 2 6 3 3" xfId="5557" xr:uid="{00000000-0005-0000-0000-000012130000}"/>
    <cellStyle name="Normal 4 2 2 6 3 3 2" xfId="14883" xr:uid="{E88409F2-79F1-4030-A2BB-E4D6AE6818BF}"/>
    <cellStyle name="Normal 4 2 2 6 3 4" xfId="10666" xr:uid="{0AE84FE0-0EC8-4A3C-A56A-E89EF44E06C7}"/>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4B551BB2-4558-464D-AEE6-13E1A86FCDC1}"/>
    <cellStyle name="Normal 4 2 2 6 4 2 3" xfId="13224" xr:uid="{3BE6C428-EB9C-478C-AF00-17AD54835ED9}"/>
    <cellStyle name="Normal 4 2 2 6 4 3" xfId="5970" xr:uid="{00000000-0005-0000-0000-000016130000}"/>
    <cellStyle name="Normal 4 2 2 6 4 3 2" xfId="15296" xr:uid="{3EAC7755-A639-4168-A79A-8CE0788B1648}"/>
    <cellStyle name="Normal 4 2 2 6 4 4" xfId="11079" xr:uid="{76D4D731-CE4F-4523-9B10-7945CDE81479}"/>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C6EDD3DA-BF9B-4628-99D7-0F1647BAFB2F}"/>
    <cellStyle name="Normal 4 2 2 6 5 2 3" xfId="13637" xr:uid="{8D54EAE8-1065-4D33-8BAF-44C3175252EF}"/>
    <cellStyle name="Normal 4 2 2 6 5 3" xfId="6383" xr:uid="{00000000-0005-0000-0000-00001A130000}"/>
    <cellStyle name="Normal 4 2 2 6 5 3 2" xfId="15709" xr:uid="{4A857650-3B5F-41C4-BA50-48F86FFE2986}"/>
    <cellStyle name="Normal 4 2 2 6 5 4" xfId="11492" xr:uid="{07DA6EBF-1780-43F0-A36E-8360D632456E}"/>
    <cellStyle name="Normal 4 2 2 6 6" xfId="2513" xr:uid="{00000000-0005-0000-0000-00001B130000}"/>
    <cellStyle name="Normal 4 2 2 6 6 2" xfId="6796" xr:uid="{00000000-0005-0000-0000-00001C130000}"/>
    <cellStyle name="Normal 4 2 2 6 6 2 2" xfId="16122" xr:uid="{30FC2CD1-0237-425C-B1F1-30E2E2DABD93}"/>
    <cellStyle name="Normal 4 2 2 6 6 3" xfId="11905" xr:uid="{D4662CC5-1506-4086-8A66-E153DE67737A}"/>
    <cellStyle name="Normal 4 2 2 6 7" xfId="4731" xr:uid="{00000000-0005-0000-0000-00001D130000}"/>
    <cellStyle name="Normal 4 2 2 6 7 2" xfId="14057" xr:uid="{B321FC10-AB13-4546-BFE2-0910D1C281EE}"/>
    <cellStyle name="Normal 4 2 2 6 8" xfId="8971" xr:uid="{7BBA3CD4-2D32-439A-A2D5-9F7EB5E5A47E}"/>
    <cellStyle name="Normal 4 2 2 6 8 2" xfId="18295" xr:uid="{B2EAEDCE-2095-49B0-82E0-8166043F9907}"/>
    <cellStyle name="Normal 4 2 2 6 9" xfId="9840" xr:uid="{BFAB27CD-918B-4687-8F44-627927D1B90F}"/>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F337138E-D505-41E4-A635-25BB13A89412}"/>
    <cellStyle name="Normal 4 2 2 7 2 3" xfId="12383" xr:uid="{267810ED-8B3F-4EEF-A100-2E8747B01DD1}"/>
    <cellStyle name="Normal 4 2 2 7 3" xfId="5129" xr:uid="{00000000-0005-0000-0000-000021130000}"/>
    <cellStyle name="Normal 4 2 2 7 3 2" xfId="14455" xr:uid="{9D9FF894-8902-47B3-9C19-500928A3E3C8}"/>
    <cellStyle name="Normal 4 2 2 7 4" xfId="9174" xr:uid="{5FB177AF-8B2E-4B7E-A1B7-4F6E323AF880}"/>
    <cellStyle name="Normal 4 2 2 7 4 2" xfId="18492" xr:uid="{47D044CD-7415-460E-B7D9-747F2ABE02A4}"/>
    <cellStyle name="Normal 4 2 2 7 5" xfId="10238" xr:uid="{AE76612F-4214-4C4C-A4C0-CD6DB57E158D}"/>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1A1A0225-82FE-455E-ABE1-3CDDEE092804}"/>
    <cellStyle name="Normal 4 2 2 8 2 3" xfId="12796" xr:uid="{196AF667-3166-484F-A723-5B82CDEF320A}"/>
    <cellStyle name="Normal 4 2 2 8 3" xfId="5542" xr:uid="{00000000-0005-0000-0000-000025130000}"/>
    <cellStyle name="Normal 4 2 2 8 3 2" xfId="14868" xr:uid="{866A6D71-E12B-4CC6-85E7-CE6941C8615E}"/>
    <cellStyle name="Normal 4 2 2 8 4" xfId="10651" xr:uid="{40AB46C6-D6A2-4267-B9E1-0E6D057E899A}"/>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95EE27F8-9DA8-4C83-A0A5-A08FF06BBF9A}"/>
    <cellStyle name="Normal 4 2 2 9 2 3" xfId="13209" xr:uid="{311BAFB9-869C-4016-9FBB-F32A55D95471}"/>
    <cellStyle name="Normal 4 2 2 9 3" xfId="5955" xr:uid="{00000000-0005-0000-0000-000029130000}"/>
    <cellStyle name="Normal 4 2 2 9 3 2" xfId="15281" xr:uid="{4A18F42D-AF8A-4132-8BC5-AA4A321C353D}"/>
    <cellStyle name="Normal 4 2 2 9 4" xfId="11064" xr:uid="{D749428B-1315-460D-9EAA-131F144C35B7}"/>
    <cellStyle name="Normal 4 2 3" xfId="354" xr:uid="{00000000-0005-0000-0000-00002A130000}"/>
    <cellStyle name="Normal 4 2 4" xfId="355" xr:uid="{00000000-0005-0000-0000-00002B130000}"/>
    <cellStyle name="Normal 4 2 4 10" xfId="4732" xr:uid="{00000000-0005-0000-0000-00002C130000}"/>
    <cellStyle name="Normal 4 2 4 10 2" xfId="14058" xr:uid="{24445CD8-9E6F-421C-95FD-0E3A00A1B51A}"/>
    <cellStyle name="Normal 4 2 4 11" xfId="8775" xr:uid="{7AC259AB-9C32-4DC1-A787-2E2187A7C2D6}"/>
    <cellStyle name="Normal 4 2 4 11 2" xfId="18099" xr:uid="{CC45B1F9-5BB8-4754-BD45-44BBB73F966D}"/>
    <cellStyle name="Normal 4 2 4 12" xfId="9841" xr:uid="{D2EA7AA8-395B-416E-9D17-151B00A09CE0}"/>
    <cellStyle name="Normal 4 2 4 2" xfId="356" xr:uid="{00000000-0005-0000-0000-00002D130000}"/>
    <cellStyle name="Normal 4 2 4 2 10" xfId="8820" xr:uid="{8B50D4F4-4786-467C-8322-69D665B73C2B}"/>
    <cellStyle name="Normal 4 2 4 2 10 2" xfId="18144" xr:uid="{4784198B-7473-498B-8B52-113142EF0754}"/>
    <cellStyle name="Normal 4 2 4 2 11" xfId="9842" xr:uid="{AE470E92-82A5-4D66-AF79-D08951AAD1A7}"/>
    <cellStyle name="Normal 4 2 4 2 2" xfId="357" xr:uid="{00000000-0005-0000-0000-00002E130000}"/>
    <cellStyle name="Normal 4 2 4 2 2 10" xfId="9843" xr:uid="{67FDE10C-B6AD-4670-BAF9-A7C791015B09}"/>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69CC398C-467D-49B8-B08E-01E9E816F242}"/>
    <cellStyle name="Normal 4 2 4 2 2 2 2 2 3" xfId="12402" xr:uid="{05778C68-3E85-4DA1-8DEF-BBCC63298119}"/>
    <cellStyle name="Normal 4 2 4 2 2 2 2 3" xfId="5148" xr:uid="{00000000-0005-0000-0000-000033130000}"/>
    <cellStyle name="Normal 4 2 4 2 2 2 2 3 2" xfId="14474" xr:uid="{78C414FE-33E3-4727-8C3C-DE7D67FD95C8}"/>
    <cellStyle name="Normal 4 2 4 2 2 2 2 4" xfId="9555" xr:uid="{31AE7BD4-4F26-4658-9939-15FCE733560E}"/>
    <cellStyle name="Normal 4 2 4 2 2 2 2 4 2" xfId="18870" xr:uid="{9B3CF15D-6ABA-42FC-92CB-8889EEA53FCD}"/>
    <cellStyle name="Normal 4 2 4 2 2 2 2 5" xfId="10257" xr:uid="{58B7D4CB-CFD8-4498-9D3E-C14753ADE694}"/>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E89923E0-6C71-47FF-83D2-E39E96308F7A}"/>
    <cellStyle name="Normal 4 2 4 2 2 2 3 2 3" xfId="12815" xr:uid="{49320F67-1E14-4B00-9B21-43FF953E0F5B}"/>
    <cellStyle name="Normal 4 2 4 2 2 2 3 3" xfId="5561" xr:uid="{00000000-0005-0000-0000-000037130000}"/>
    <cellStyle name="Normal 4 2 4 2 2 2 3 3 2" xfId="14887" xr:uid="{7294CC27-8FBF-43E3-A3DF-060E8564C939}"/>
    <cellStyle name="Normal 4 2 4 2 2 2 3 4" xfId="10670" xr:uid="{9BDE19F9-6486-4CB5-B2E7-3EC3EAD470F4}"/>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1CB1A51C-4334-49DE-90B1-7E900E1F77E2}"/>
    <cellStyle name="Normal 4 2 4 2 2 2 4 2 3" xfId="13228" xr:uid="{DC2C7C29-FFBB-42F2-92B2-3DC4AEF9B662}"/>
    <cellStyle name="Normal 4 2 4 2 2 2 4 3" xfId="5974" xr:uid="{00000000-0005-0000-0000-00003B130000}"/>
    <cellStyle name="Normal 4 2 4 2 2 2 4 3 2" xfId="15300" xr:uid="{07FA2049-6C4B-4A21-927D-D38161C4EC28}"/>
    <cellStyle name="Normal 4 2 4 2 2 2 4 4" xfId="11083" xr:uid="{00DB058E-0E5A-4ED5-9D92-35B2667AAE6F}"/>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EDCE7BBE-4C7C-4C2A-BC5A-8011DC93E94A}"/>
    <cellStyle name="Normal 4 2 4 2 2 2 5 2 3" xfId="13641" xr:uid="{EA841E93-507B-4586-BAB6-CCA299DE1D30}"/>
    <cellStyle name="Normal 4 2 4 2 2 2 5 3" xfId="6387" xr:uid="{00000000-0005-0000-0000-00003F130000}"/>
    <cellStyle name="Normal 4 2 4 2 2 2 5 3 2" xfId="15713" xr:uid="{5B0C9D79-C455-47D6-A12F-7B4BEF3A4002}"/>
    <cellStyle name="Normal 4 2 4 2 2 2 5 4" xfId="11496" xr:uid="{C137AB87-9161-4EDD-850C-37F744469C8F}"/>
    <cellStyle name="Normal 4 2 4 2 2 2 6" xfId="2517" xr:uid="{00000000-0005-0000-0000-000040130000}"/>
    <cellStyle name="Normal 4 2 4 2 2 2 6 2" xfId="6800" xr:uid="{00000000-0005-0000-0000-000041130000}"/>
    <cellStyle name="Normal 4 2 4 2 2 2 6 2 2" xfId="16126" xr:uid="{80A1A21E-DED3-40DA-A013-EE439B94973B}"/>
    <cellStyle name="Normal 4 2 4 2 2 2 6 3" xfId="11909" xr:uid="{399CCB81-D0A3-40A4-B3E8-D2540629DACC}"/>
    <cellStyle name="Normal 4 2 4 2 2 2 7" xfId="4735" xr:uid="{00000000-0005-0000-0000-000042130000}"/>
    <cellStyle name="Normal 4 2 4 2 2 2 7 2" xfId="14061" xr:uid="{B7CC3269-998B-409C-9E40-ECC2F30444D3}"/>
    <cellStyle name="Normal 4 2 4 2 2 2 8" xfId="9130" xr:uid="{E4AAEB37-D6CE-4BD9-A166-BE52F754DAC4}"/>
    <cellStyle name="Normal 4 2 4 2 2 2 8 2" xfId="18454" xr:uid="{28ACF23A-6CFE-4227-A0E4-B2C51EEA0C2E}"/>
    <cellStyle name="Normal 4 2 4 2 2 2 9" xfId="9844" xr:uid="{148407EE-22B1-46FB-97A9-EC12D1066A5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B27D8BD7-1893-4C93-8A9F-9ADEC7B7563E}"/>
    <cellStyle name="Normal 4 2 4 2 2 3 2 3" xfId="12401" xr:uid="{141324D1-5F8F-4F2D-83F9-B1608F993246}"/>
    <cellStyle name="Normal 4 2 4 2 2 3 3" xfId="5147" xr:uid="{00000000-0005-0000-0000-000046130000}"/>
    <cellStyle name="Normal 4 2 4 2 2 3 3 2" xfId="14473" xr:uid="{60F112C7-6D15-43C0-945E-C0F258C0CD78}"/>
    <cellStyle name="Normal 4 2 4 2 2 3 4" xfId="9348" xr:uid="{E9E52CF6-B3CF-482F-B496-A22B0452951D}"/>
    <cellStyle name="Normal 4 2 4 2 2 3 4 2" xfId="18663" xr:uid="{52976693-555E-413E-A55D-14EA162986E2}"/>
    <cellStyle name="Normal 4 2 4 2 2 3 5" xfId="10256" xr:uid="{AC7C7C03-DE52-4B02-B354-BC6739FC4CD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BFEE7613-7551-4270-BD48-42FA1C4E0FDC}"/>
    <cellStyle name="Normal 4 2 4 2 2 4 2 3" xfId="12814" xr:uid="{648723D2-CE72-4B72-9ABD-FFA32440A277}"/>
    <cellStyle name="Normal 4 2 4 2 2 4 3" xfId="5560" xr:uid="{00000000-0005-0000-0000-00004A130000}"/>
    <cellStyle name="Normal 4 2 4 2 2 4 3 2" xfId="14886" xr:uid="{EECB4943-7712-4D54-8C8C-A7F0F7B4075E}"/>
    <cellStyle name="Normal 4 2 4 2 2 4 4" xfId="10669" xr:uid="{B149AEAD-7E7D-4FCD-AE8C-05B847443CAC}"/>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70CE4D55-3047-43FF-883B-2CF17500970E}"/>
    <cellStyle name="Normal 4 2 4 2 2 5 2 3" xfId="13227" xr:uid="{0CD7CDAF-E17D-4197-BE25-097F34515851}"/>
    <cellStyle name="Normal 4 2 4 2 2 5 3" xfId="5973" xr:uid="{00000000-0005-0000-0000-00004E130000}"/>
    <cellStyle name="Normal 4 2 4 2 2 5 3 2" xfId="15299" xr:uid="{8E84EF0E-69CF-42DD-9E89-E9856110AA17}"/>
    <cellStyle name="Normal 4 2 4 2 2 5 4" xfId="11082" xr:uid="{B2C557F5-E6AE-4D0F-A26E-2065EB56B84F}"/>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6ABB46B9-0229-4191-B2C4-002FC83C0386}"/>
    <cellStyle name="Normal 4 2 4 2 2 6 2 3" xfId="13640" xr:uid="{127B75A5-368F-444C-A7F0-FEF86785E485}"/>
    <cellStyle name="Normal 4 2 4 2 2 6 3" xfId="6386" xr:uid="{00000000-0005-0000-0000-000052130000}"/>
    <cellStyle name="Normal 4 2 4 2 2 6 3 2" xfId="15712" xr:uid="{F6903849-4E9D-4E96-BD98-669E7CC543E2}"/>
    <cellStyle name="Normal 4 2 4 2 2 6 4" xfId="11495" xr:uid="{A6345A3B-8694-4B2B-9D42-E3D21625CA2E}"/>
    <cellStyle name="Normal 4 2 4 2 2 7" xfId="2516" xr:uid="{00000000-0005-0000-0000-000053130000}"/>
    <cellStyle name="Normal 4 2 4 2 2 7 2" xfId="6799" xr:uid="{00000000-0005-0000-0000-000054130000}"/>
    <cellStyle name="Normal 4 2 4 2 2 7 2 2" xfId="16125" xr:uid="{AF8F53D9-D71D-46BA-B6A8-85629EC68E18}"/>
    <cellStyle name="Normal 4 2 4 2 2 7 3" xfId="11908" xr:uid="{F5ACDC15-F5F8-4916-B55F-0B5E58DF59B8}"/>
    <cellStyle name="Normal 4 2 4 2 2 8" xfId="4734" xr:uid="{00000000-0005-0000-0000-000055130000}"/>
    <cellStyle name="Normal 4 2 4 2 2 8 2" xfId="14060" xr:uid="{FD34A5F5-52D7-4C10-890D-819415BA28D7}"/>
    <cellStyle name="Normal 4 2 4 2 2 9" xfId="8923" xr:uid="{2BBE6936-33B8-4624-9F85-2EE83C62ACB2}"/>
    <cellStyle name="Normal 4 2 4 2 2 9 2" xfId="18247" xr:uid="{127C6F94-9AE9-47A6-8741-56871FC6D27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E8ABD438-FADC-44D5-8637-A2F2EAA5ABB1}"/>
    <cellStyle name="Normal 4 2 4 2 3 2 2 3" xfId="12403" xr:uid="{F2CCE2A7-C2C0-479E-AB9A-6AC476193B07}"/>
    <cellStyle name="Normal 4 2 4 2 3 2 3" xfId="5149" xr:uid="{00000000-0005-0000-0000-00005A130000}"/>
    <cellStyle name="Normal 4 2 4 2 3 2 3 2" xfId="14475" xr:uid="{C07437FF-94EA-408D-9423-DBFE8108A763}"/>
    <cellStyle name="Normal 4 2 4 2 3 2 4" xfId="9452" xr:uid="{58F46659-8F00-4705-8554-54AEBE9B8A77}"/>
    <cellStyle name="Normal 4 2 4 2 3 2 4 2" xfId="18767" xr:uid="{9A67EF78-4BA7-4FB1-8028-EED383DCFAF0}"/>
    <cellStyle name="Normal 4 2 4 2 3 2 5" xfId="10258" xr:uid="{DC616C13-42CD-4F3C-A46B-ADF256B6658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AE1EB27F-9683-4717-A9F7-8FB4CB172325}"/>
    <cellStyle name="Normal 4 2 4 2 3 3 2 3" xfId="12816" xr:uid="{17EBC870-E39F-4C7B-96D0-409371AD2A5C}"/>
    <cellStyle name="Normal 4 2 4 2 3 3 3" xfId="5562" xr:uid="{00000000-0005-0000-0000-00005E130000}"/>
    <cellStyle name="Normal 4 2 4 2 3 3 3 2" xfId="14888" xr:uid="{96266DA8-F107-4FBC-9057-BDC14D616372}"/>
    <cellStyle name="Normal 4 2 4 2 3 3 4" xfId="10671" xr:uid="{36380C47-3859-45CA-8923-E3F6D2C291E7}"/>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6D575837-BF4B-4D4D-9B5B-34A97675A56C}"/>
    <cellStyle name="Normal 4 2 4 2 3 4 2 3" xfId="13229" xr:uid="{7D79007F-F15E-440E-B82D-93D1340AD17D}"/>
    <cellStyle name="Normal 4 2 4 2 3 4 3" xfId="5975" xr:uid="{00000000-0005-0000-0000-000062130000}"/>
    <cellStyle name="Normal 4 2 4 2 3 4 3 2" xfId="15301" xr:uid="{76305763-F562-4FC4-9120-66B4549444C3}"/>
    <cellStyle name="Normal 4 2 4 2 3 4 4" xfId="11084" xr:uid="{D4469133-8816-4B2B-9866-64247F5254D8}"/>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358DD173-E97A-4EA3-B25A-5FF1933DDC66}"/>
    <cellStyle name="Normal 4 2 4 2 3 5 2 3" xfId="13642" xr:uid="{8A22240B-B851-4D8C-BB9A-4FBFB88C8AE0}"/>
    <cellStyle name="Normal 4 2 4 2 3 5 3" xfId="6388" xr:uid="{00000000-0005-0000-0000-000066130000}"/>
    <cellStyle name="Normal 4 2 4 2 3 5 3 2" xfId="15714" xr:uid="{98A9B397-4246-4583-B186-6DA964B3010B}"/>
    <cellStyle name="Normal 4 2 4 2 3 5 4" xfId="11497" xr:uid="{1D2D80DF-6BB7-48FB-A3FB-A10BDF4ACEC9}"/>
    <cellStyle name="Normal 4 2 4 2 3 6" xfId="2518" xr:uid="{00000000-0005-0000-0000-000067130000}"/>
    <cellStyle name="Normal 4 2 4 2 3 6 2" xfId="6801" xr:uid="{00000000-0005-0000-0000-000068130000}"/>
    <cellStyle name="Normal 4 2 4 2 3 6 2 2" xfId="16127" xr:uid="{D3FF4981-3A42-4750-9949-9DDEEDBC057D}"/>
    <cellStyle name="Normal 4 2 4 2 3 6 3" xfId="11910" xr:uid="{B150FC7C-859B-45CD-8B8D-6AC266F5AA00}"/>
    <cellStyle name="Normal 4 2 4 2 3 7" xfId="4736" xr:uid="{00000000-0005-0000-0000-000069130000}"/>
    <cellStyle name="Normal 4 2 4 2 3 7 2" xfId="14062" xr:uid="{F8F1EA71-D9F9-4EAE-9398-138625AA92FD}"/>
    <cellStyle name="Normal 4 2 4 2 3 8" xfId="9027" xr:uid="{DA430019-E492-48BB-ACD5-5BE853C50FBC}"/>
    <cellStyle name="Normal 4 2 4 2 3 8 2" xfId="18351" xr:uid="{B94D13E1-FE08-4AA1-AE5B-7150EB16E5C3}"/>
    <cellStyle name="Normal 4 2 4 2 3 9" xfId="9845" xr:uid="{CC2AA52E-937C-4CFB-AFB9-27BD3335C053}"/>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F2BF60F8-0C67-45D5-AF95-4C5AAFF1C665}"/>
    <cellStyle name="Normal 4 2 4 2 4 2 3" xfId="12400" xr:uid="{63DC49B9-CDC7-4F9C-A6EA-524B2850FFF1}"/>
    <cellStyle name="Normal 4 2 4 2 4 3" xfId="5146" xr:uid="{00000000-0005-0000-0000-00006D130000}"/>
    <cellStyle name="Normal 4 2 4 2 4 3 2" xfId="14472" xr:uid="{80A48EE3-CCF9-4D6D-92D1-7CA375B89AF4}"/>
    <cellStyle name="Normal 4 2 4 2 4 4" xfId="9245" xr:uid="{A0383DD8-843E-4601-922A-5CDD979D0589}"/>
    <cellStyle name="Normal 4 2 4 2 4 4 2" xfId="18560" xr:uid="{5E8C49A1-723A-4AE1-A5F8-18AF628ED400}"/>
    <cellStyle name="Normal 4 2 4 2 4 5" xfId="10255" xr:uid="{A302F209-B174-413B-BE3C-966660C9CC60}"/>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CD6EB567-171A-4A02-83C7-25619F8EDACE}"/>
    <cellStyle name="Normal 4 2 4 2 5 2 3" xfId="12813" xr:uid="{7157B49B-8056-45A7-9E12-09C8204E1EEC}"/>
    <cellStyle name="Normal 4 2 4 2 5 3" xfId="5559" xr:uid="{00000000-0005-0000-0000-000071130000}"/>
    <cellStyle name="Normal 4 2 4 2 5 3 2" xfId="14885" xr:uid="{9FEAB2C1-A8DB-4BE8-B28A-0060632E260F}"/>
    <cellStyle name="Normal 4 2 4 2 5 4" xfId="10668" xr:uid="{4D9B8992-7D3E-4EC5-9EC9-0099119D5AF7}"/>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AA71B5FE-66C7-4CEA-B889-52F1462EDBC6}"/>
    <cellStyle name="Normal 4 2 4 2 6 2 3" xfId="13226" xr:uid="{16330C69-6900-42B8-8ED1-82DF45D49819}"/>
    <cellStyle name="Normal 4 2 4 2 6 3" xfId="5972" xr:uid="{00000000-0005-0000-0000-000075130000}"/>
    <cellStyle name="Normal 4 2 4 2 6 3 2" xfId="15298" xr:uid="{15916274-3483-4BBE-BEA8-DBC3180D409B}"/>
    <cellStyle name="Normal 4 2 4 2 6 4" xfId="11081" xr:uid="{782326C7-40D2-4D0F-9AF3-3A856CFFCB69}"/>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3616D5D2-775D-4017-A392-0A9D996709DE}"/>
    <cellStyle name="Normal 4 2 4 2 7 2 3" xfId="13639" xr:uid="{77F0E6F0-6C26-4E3D-BF1D-86A9A0AAFD32}"/>
    <cellStyle name="Normal 4 2 4 2 7 3" xfId="6385" xr:uid="{00000000-0005-0000-0000-000079130000}"/>
    <cellStyle name="Normal 4 2 4 2 7 3 2" xfId="15711" xr:uid="{786A0C50-C069-42BB-9991-341B6789981D}"/>
    <cellStyle name="Normal 4 2 4 2 7 4" xfId="11494" xr:uid="{3D2E81B3-03F8-44E2-AF70-D5B882316628}"/>
    <cellStyle name="Normal 4 2 4 2 8" xfId="2515" xr:uid="{00000000-0005-0000-0000-00007A130000}"/>
    <cellStyle name="Normal 4 2 4 2 8 2" xfId="6798" xr:uid="{00000000-0005-0000-0000-00007B130000}"/>
    <cellStyle name="Normal 4 2 4 2 8 2 2" xfId="16124" xr:uid="{001F92FB-4760-4AA1-BF81-5F57F2630BD9}"/>
    <cellStyle name="Normal 4 2 4 2 8 3" xfId="11907" xr:uid="{146DCB9F-9E61-42A9-BA9E-3C985D4364D0}"/>
    <cellStyle name="Normal 4 2 4 2 9" xfId="4733" xr:uid="{00000000-0005-0000-0000-00007C130000}"/>
    <cellStyle name="Normal 4 2 4 2 9 2" xfId="14059" xr:uid="{9F3B1122-D764-48F4-89E5-B2B4539DFACA}"/>
    <cellStyle name="Normal 4 2 4 3" xfId="360" xr:uid="{00000000-0005-0000-0000-00007D130000}"/>
    <cellStyle name="Normal 4 2 4 3 10" xfId="9846" xr:uid="{AD81776D-172F-4B01-A822-30443D96D783}"/>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EDB06716-AFF4-471A-BAE4-FBEE872A0C40}"/>
    <cellStyle name="Normal 4 2 4 3 2 2 2 3" xfId="12405" xr:uid="{31BE7EF5-48F2-4812-9FC1-A26B6D5ABC14}"/>
    <cellStyle name="Normal 4 2 4 3 2 2 3" xfId="5151" xr:uid="{00000000-0005-0000-0000-000082130000}"/>
    <cellStyle name="Normal 4 2 4 3 2 2 3 2" xfId="14477" xr:uid="{F581C037-BD0C-49EC-AA47-4B7B30B44FBD}"/>
    <cellStyle name="Normal 4 2 4 3 2 2 4" xfId="9510" xr:uid="{AA534F18-B7F5-44D9-AE7D-03E6DE45E4F9}"/>
    <cellStyle name="Normal 4 2 4 3 2 2 4 2" xfId="18825" xr:uid="{F76FDF83-9D99-4E03-A74D-938E05D5A4C3}"/>
    <cellStyle name="Normal 4 2 4 3 2 2 5" xfId="10260" xr:uid="{A875AA1E-73DB-4524-A637-579A2A1BE31B}"/>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EF48B651-BD7D-4A15-8129-F6E63C4D5F53}"/>
    <cellStyle name="Normal 4 2 4 3 2 3 2 3" xfId="12818" xr:uid="{1FAE6830-8A37-41A0-AB25-8A000A857671}"/>
    <cellStyle name="Normal 4 2 4 3 2 3 3" xfId="5564" xr:uid="{00000000-0005-0000-0000-000086130000}"/>
    <cellStyle name="Normal 4 2 4 3 2 3 3 2" xfId="14890" xr:uid="{1A4D615F-C9AE-483C-B526-3DAAC71894A8}"/>
    <cellStyle name="Normal 4 2 4 3 2 3 4" xfId="10673" xr:uid="{790FB8AD-A2C2-4BBC-8A84-268900F374E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1C8DAD65-1C4A-418C-A9C1-583B389906CA}"/>
    <cellStyle name="Normal 4 2 4 3 2 4 2 3" xfId="13231" xr:uid="{9B9B1F7C-F0F6-4D12-BD22-803B5D3478C4}"/>
    <cellStyle name="Normal 4 2 4 3 2 4 3" xfId="5977" xr:uid="{00000000-0005-0000-0000-00008A130000}"/>
    <cellStyle name="Normal 4 2 4 3 2 4 3 2" xfId="15303" xr:uid="{934B488E-3507-41E9-B2D2-F7955A047678}"/>
    <cellStyle name="Normal 4 2 4 3 2 4 4" xfId="11086" xr:uid="{5B68081D-1307-490C-A088-90DBB2017644}"/>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C032AC43-4E91-4F85-8CF7-42D62572832F}"/>
    <cellStyle name="Normal 4 2 4 3 2 5 2 3" xfId="13644" xr:uid="{00456E37-2BE9-4801-BB2A-25F9E4765C1C}"/>
    <cellStyle name="Normal 4 2 4 3 2 5 3" xfId="6390" xr:uid="{00000000-0005-0000-0000-00008E130000}"/>
    <cellStyle name="Normal 4 2 4 3 2 5 3 2" xfId="15716" xr:uid="{AE19F78F-8C2F-429D-A37E-F21A9F97B080}"/>
    <cellStyle name="Normal 4 2 4 3 2 5 4" xfId="11499" xr:uid="{B617F7C5-D47D-4434-A908-F1865D0DF8E3}"/>
    <cellStyle name="Normal 4 2 4 3 2 6" xfId="2520" xr:uid="{00000000-0005-0000-0000-00008F130000}"/>
    <cellStyle name="Normal 4 2 4 3 2 6 2" xfId="6803" xr:uid="{00000000-0005-0000-0000-000090130000}"/>
    <cellStyle name="Normal 4 2 4 3 2 6 2 2" xfId="16129" xr:uid="{CECD33FF-7A8E-4E64-94FB-5E5BA33FA817}"/>
    <cellStyle name="Normal 4 2 4 3 2 6 3" xfId="11912" xr:uid="{00965EBA-354F-47B3-A67C-0E6304314590}"/>
    <cellStyle name="Normal 4 2 4 3 2 7" xfId="4738" xr:uid="{00000000-0005-0000-0000-000091130000}"/>
    <cellStyle name="Normal 4 2 4 3 2 7 2" xfId="14064" xr:uid="{4ADD979B-4CC1-495C-94EB-EA2B0A32598D}"/>
    <cellStyle name="Normal 4 2 4 3 2 8" xfId="9085" xr:uid="{0181E53C-86DC-4588-8447-D559FCF01541}"/>
    <cellStyle name="Normal 4 2 4 3 2 8 2" xfId="18409" xr:uid="{EB70E23E-50E4-4B4A-AC54-FAB9ACEB70B6}"/>
    <cellStyle name="Normal 4 2 4 3 2 9" xfId="9847" xr:uid="{5109E221-C693-45F6-A6F5-D0674D45D9B9}"/>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8A60524D-9EEB-436A-9BB7-F9EEC3B91DC7}"/>
    <cellStyle name="Normal 4 2 4 3 3 2 3" xfId="12404" xr:uid="{E38D9307-E558-4A69-9745-57D3A6393A03}"/>
    <cellStyle name="Normal 4 2 4 3 3 3" xfId="5150" xr:uid="{00000000-0005-0000-0000-000095130000}"/>
    <cellStyle name="Normal 4 2 4 3 3 3 2" xfId="14476" xr:uid="{874DDBED-0F96-4912-89C8-0E950D964AF6}"/>
    <cellStyle name="Normal 4 2 4 3 3 4" xfId="9303" xr:uid="{51CE977A-E9B9-47DD-B6CE-3ECF34A578F1}"/>
    <cellStyle name="Normal 4 2 4 3 3 4 2" xfId="18618" xr:uid="{1D164AE5-EC39-46E3-8969-A95615DA9C57}"/>
    <cellStyle name="Normal 4 2 4 3 3 5" xfId="10259" xr:uid="{B3D8436C-914C-4D68-8DCE-525535605210}"/>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7F0A3D8E-3F77-4001-8087-BCCAFE48242F}"/>
    <cellStyle name="Normal 4 2 4 3 4 2 3" xfId="12817" xr:uid="{1FDFBE82-7D14-4072-8602-5C68959677AB}"/>
    <cellStyle name="Normal 4 2 4 3 4 3" xfId="5563" xr:uid="{00000000-0005-0000-0000-000099130000}"/>
    <cellStyle name="Normal 4 2 4 3 4 3 2" xfId="14889" xr:uid="{49539EAE-B29E-4663-BBB0-BAD67CA40035}"/>
    <cellStyle name="Normal 4 2 4 3 4 4" xfId="10672" xr:uid="{C44B266F-2F71-43BD-A80C-124A7F23D8D7}"/>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3E795862-72AF-43F5-82BE-79A09F1CB062}"/>
    <cellStyle name="Normal 4 2 4 3 5 2 3" xfId="13230" xr:uid="{DD589C85-D6D8-4C39-B6DA-B6EC643A1398}"/>
    <cellStyle name="Normal 4 2 4 3 5 3" xfId="5976" xr:uid="{00000000-0005-0000-0000-00009D130000}"/>
    <cellStyle name="Normal 4 2 4 3 5 3 2" xfId="15302" xr:uid="{7532B592-A583-431D-83F5-BDCD1B18D6B0}"/>
    <cellStyle name="Normal 4 2 4 3 5 4" xfId="11085" xr:uid="{1D43692D-AF42-4FE7-99D5-CA9B3140F291}"/>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A5984883-15F0-4013-88AD-EDB3BF6BD181}"/>
    <cellStyle name="Normal 4 2 4 3 6 2 3" xfId="13643" xr:uid="{0657D1EE-24E8-4120-A2CC-E15ED6939B2B}"/>
    <cellStyle name="Normal 4 2 4 3 6 3" xfId="6389" xr:uid="{00000000-0005-0000-0000-0000A1130000}"/>
    <cellStyle name="Normal 4 2 4 3 6 3 2" xfId="15715" xr:uid="{9C410C71-881F-4292-801B-B9433FB4338F}"/>
    <cellStyle name="Normal 4 2 4 3 6 4" xfId="11498" xr:uid="{33476505-29FB-4153-8D0F-AD8B99A5D991}"/>
    <cellStyle name="Normal 4 2 4 3 7" xfId="2519" xr:uid="{00000000-0005-0000-0000-0000A2130000}"/>
    <cellStyle name="Normal 4 2 4 3 7 2" xfId="6802" xr:uid="{00000000-0005-0000-0000-0000A3130000}"/>
    <cellStyle name="Normal 4 2 4 3 7 2 2" xfId="16128" xr:uid="{57A37950-E67D-42C8-9FC3-50F4B1A3ADC4}"/>
    <cellStyle name="Normal 4 2 4 3 7 3" xfId="11911" xr:uid="{1FB19241-3D0D-409D-ABED-AE7DB3708AF1}"/>
    <cellStyle name="Normal 4 2 4 3 8" xfId="4737" xr:uid="{00000000-0005-0000-0000-0000A4130000}"/>
    <cellStyle name="Normal 4 2 4 3 8 2" xfId="14063" xr:uid="{DE54DDEF-181B-4B58-B6F2-3DC9A56DF8E7}"/>
    <cellStyle name="Normal 4 2 4 3 9" xfId="8878" xr:uid="{B73EE68A-BBFC-4E7A-B773-E14FCCFC8837}"/>
    <cellStyle name="Normal 4 2 4 3 9 2" xfId="18202" xr:uid="{BE62C5D9-A946-4297-8400-E518FA0E598E}"/>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0DD5B419-389B-4C22-B9CD-070A5BEA606A}"/>
    <cellStyle name="Normal 4 2 4 4 2 2 3" xfId="12406" xr:uid="{66DA3DD4-E1D0-4631-9802-610B446B130B}"/>
    <cellStyle name="Normal 4 2 4 4 2 3" xfId="5152" xr:uid="{00000000-0005-0000-0000-0000A9130000}"/>
    <cellStyle name="Normal 4 2 4 4 2 3 2" xfId="14478" xr:uid="{4C911C8E-2B43-4D28-BA97-0F04BE268AFD}"/>
    <cellStyle name="Normal 4 2 4 4 2 4" xfId="9407" xr:uid="{5D8D6A7A-388E-41EC-80E9-28307FA015D6}"/>
    <cellStyle name="Normal 4 2 4 4 2 4 2" xfId="18722" xr:uid="{86BD900D-5820-4CA7-8769-788067FED40F}"/>
    <cellStyle name="Normal 4 2 4 4 2 5" xfId="10261" xr:uid="{5DFCE066-7A6A-43ED-A9EB-291201AFC81C}"/>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6A45E051-5C8B-4A70-9485-5055400312BA}"/>
    <cellStyle name="Normal 4 2 4 4 3 2 3" xfId="12819" xr:uid="{AC108CC0-1F6F-48BC-A437-EEE2707305FE}"/>
    <cellStyle name="Normal 4 2 4 4 3 3" xfId="5565" xr:uid="{00000000-0005-0000-0000-0000AD130000}"/>
    <cellStyle name="Normal 4 2 4 4 3 3 2" xfId="14891" xr:uid="{19EF0C89-750D-4768-BE0B-A786071C87E3}"/>
    <cellStyle name="Normal 4 2 4 4 3 4" xfId="10674" xr:uid="{481FDFE6-06C0-4BBA-B172-EB14EF89296C}"/>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5ACBD16C-FFC9-49F8-AB75-6305A3E1EB79}"/>
    <cellStyle name="Normal 4 2 4 4 4 2 3" xfId="13232" xr:uid="{12E722C8-8FA9-4B2E-8821-9087C0A3896F}"/>
    <cellStyle name="Normal 4 2 4 4 4 3" xfId="5978" xr:uid="{00000000-0005-0000-0000-0000B1130000}"/>
    <cellStyle name="Normal 4 2 4 4 4 3 2" xfId="15304" xr:uid="{9A4112DA-5CD0-4E76-8DEB-32D56EC32B23}"/>
    <cellStyle name="Normal 4 2 4 4 4 4" xfId="11087" xr:uid="{85067B71-D093-4DA9-841C-382022EB6753}"/>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DD20A2D5-27A3-4C8E-8A09-CEE979D0AECC}"/>
    <cellStyle name="Normal 4 2 4 4 5 2 3" xfId="13645" xr:uid="{51CE6BE7-96BF-475D-BC55-E1C78062110B}"/>
    <cellStyle name="Normal 4 2 4 4 5 3" xfId="6391" xr:uid="{00000000-0005-0000-0000-0000B5130000}"/>
    <cellStyle name="Normal 4 2 4 4 5 3 2" xfId="15717" xr:uid="{4F4C8C13-E934-47E1-9EF6-D77F69BB19D5}"/>
    <cellStyle name="Normal 4 2 4 4 5 4" xfId="11500" xr:uid="{9169DDFD-77BA-4D65-97AE-A663782922EC}"/>
    <cellStyle name="Normal 4 2 4 4 6" xfId="2521" xr:uid="{00000000-0005-0000-0000-0000B6130000}"/>
    <cellStyle name="Normal 4 2 4 4 6 2" xfId="6804" xr:uid="{00000000-0005-0000-0000-0000B7130000}"/>
    <cellStyle name="Normal 4 2 4 4 6 2 2" xfId="16130" xr:uid="{D1B5BAEB-E4D0-4DD3-9670-929C518DEB73}"/>
    <cellStyle name="Normal 4 2 4 4 6 3" xfId="11913" xr:uid="{6815BF91-934D-49C7-A5D5-D8CE2340FB23}"/>
    <cellStyle name="Normal 4 2 4 4 7" xfId="4739" xr:uid="{00000000-0005-0000-0000-0000B8130000}"/>
    <cellStyle name="Normal 4 2 4 4 7 2" xfId="14065" xr:uid="{005C13AD-4DE1-4F69-A9EC-E545A12453D4}"/>
    <cellStyle name="Normal 4 2 4 4 8" xfId="8982" xr:uid="{4C273C9B-E12E-4EF2-812F-666600229207}"/>
    <cellStyle name="Normal 4 2 4 4 8 2" xfId="18306" xr:uid="{CB3BE37A-4355-4018-8C14-1CBB0E6C196F}"/>
    <cellStyle name="Normal 4 2 4 4 9" xfId="9848" xr:uid="{4ADF6DF5-0DAC-4477-8EB3-EBF274D5F28E}"/>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53F2414F-2620-4B4B-A042-A4FC7DFCA374}"/>
    <cellStyle name="Normal 4 2 4 5 2 3" xfId="12399" xr:uid="{B644F4CB-2F45-4458-AEFF-71D3AF045CE2}"/>
    <cellStyle name="Normal 4 2 4 5 3" xfId="5145" xr:uid="{00000000-0005-0000-0000-0000BC130000}"/>
    <cellStyle name="Normal 4 2 4 5 3 2" xfId="14471" xr:uid="{64E9929F-5C59-46C1-8B2B-1B0368666BE4}"/>
    <cellStyle name="Normal 4 2 4 5 4" xfId="9199" xr:uid="{1A9A2DC3-2FEA-4A30-A92C-84708E9B2741}"/>
    <cellStyle name="Normal 4 2 4 5 4 2" xfId="18515" xr:uid="{72D2E192-0DBF-45EB-8327-ED769A4C99E1}"/>
    <cellStyle name="Normal 4 2 4 5 5" xfId="10254" xr:uid="{2CBFECF7-D90E-425A-8610-6F5F07268790}"/>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C04A46E9-B10C-4017-9BAF-703E9D40F18C}"/>
    <cellStyle name="Normal 4 2 4 6 2 3" xfId="12812" xr:uid="{CBB10CCA-823F-49E4-87EF-2F0260524757}"/>
    <cellStyle name="Normal 4 2 4 6 3" xfId="5558" xr:uid="{00000000-0005-0000-0000-0000C0130000}"/>
    <cellStyle name="Normal 4 2 4 6 3 2" xfId="14884" xr:uid="{762E1134-86BD-43A8-B3D8-EFEAB2DFAAB2}"/>
    <cellStyle name="Normal 4 2 4 6 4" xfId="10667" xr:uid="{32485B3E-E489-41E6-A86E-2C91A0221DDE}"/>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2097DA03-9732-4582-AD74-7C1BB45D5254}"/>
    <cellStyle name="Normal 4 2 4 7 2 3" xfId="13225" xr:uid="{30C61347-DC65-41CA-A227-2CCB38B9A39F}"/>
    <cellStyle name="Normal 4 2 4 7 3" xfId="5971" xr:uid="{00000000-0005-0000-0000-0000C4130000}"/>
    <cellStyle name="Normal 4 2 4 7 3 2" xfId="15297" xr:uid="{938F0E3C-3E56-4CFA-9C66-26CCAE7F0435}"/>
    <cellStyle name="Normal 4 2 4 7 4" xfId="11080" xr:uid="{3232CA46-F152-4918-820E-48F554FA5B97}"/>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8B2D81F5-7FEC-4F58-BE0C-59AAF9017D48}"/>
    <cellStyle name="Normal 4 2 4 8 2 3" xfId="13638" xr:uid="{6CC212DE-4305-4607-95BB-DEC2FF4C4B09}"/>
    <cellStyle name="Normal 4 2 4 8 3" xfId="6384" xr:uid="{00000000-0005-0000-0000-0000C8130000}"/>
    <cellStyle name="Normal 4 2 4 8 3 2" xfId="15710" xr:uid="{9256EFF2-5A38-496B-B511-6A4F84249D31}"/>
    <cellStyle name="Normal 4 2 4 8 4" xfId="11493" xr:uid="{F4105774-9159-46C3-88D9-FE26A5C12653}"/>
    <cellStyle name="Normal 4 2 4 9" xfId="2514" xr:uid="{00000000-0005-0000-0000-0000C9130000}"/>
    <cellStyle name="Normal 4 2 4 9 2" xfId="6797" xr:uid="{00000000-0005-0000-0000-0000CA130000}"/>
    <cellStyle name="Normal 4 2 4 9 2 2" xfId="16123" xr:uid="{4F53F947-CE20-459D-8B94-B852E92B4F51}"/>
    <cellStyle name="Normal 4 2 4 9 3" xfId="11906" xr:uid="{6B322E6B-6732-4F64-95FD-D9049FC6A471}"/>
    <cellStyle name="Normal 4 2 5" xfId="363" xr:uid="{00000000-0005-0000-0000-0000CB130000}"/>
    <cellStyle name="Normal 4 2 5 10" xfId="9849" xr:uid="{203FC3E1-3CD8-483B-947A-247EA824E7DA}"/>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3A3E9FC4-9A3A-4F87-BFCE-C1E5414FDD22}"/>
    <cellStyle name="Normal 4 2 5 2 2 2 3" xfId="12408" xr:uid="{280AAAC6-5AB6-476F-AA85-23D9D58ECC6C}"/>
    <cellStyle name="Normal 4 2 5 2 2 3" xfId="5154" xr:uid="{00000000-0005-0000-0000-0000D0130000}"/>
    <cellStyle name="Normal 4 2 5 2 2 3 2" xfId="14480" xr:uid="{8C809C6C-10AD-42ED-BA85-3425A1B5049B}"/>
    <cellStyle name="Normal 4 2 5 2 2 4" xfId="9478" xr:uid="{9FEAEEC2-067D-4244-BB0F-0858128140EB}"/>
    <cellStyle name="Normal 4 2 5 2 2 4 2" xfId="18793" xr:uid="{A1E49410-00E8-4D48-8F64-70DF362881FF}"/>
    <cellStyle name="Normal 4 2 5 2 2 5" xfId="10263" xr:uid="{8AF77BD8-FD3E-4B86-8EF7-C3133F88EF32}"/>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F43F4018-275A-4981-B8B3-BB1A4052C6B4}"/>
    <cellStyle name="Normal 4 2 5 2 3 2 3" xfId="12821" xr:uid="{FDF3BB23-AFA0-45FF-AE8C-F604D9297214}"/>
    <cellStyle name="Normal 4 2 5 2 3 3" xfId="5567" xr:uid="{00000000-0005-0000-0000-0000D4130000}"/>
    <cellStyle name="Normal 4 2 5 2 3 3 2" xfId="14893" xr:uid="{EE55B3FB-0021-48D3-B439-D9885D845EEF}"/>
    <cellStyle name="Normal 4 2 5 2 3 4" xfId="10676" xr:uid="{1AAE6197-56FA-4B7D-9778-444563106F2F}"/>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931CAE87-A3F3-43D0-BDC2-6DD48CA23877}"/>
    <cellStyle name="Normal 4 2 5 2 4 2 3" xfId="13234" xr:uid="{86BF23E1-3443-46FF-9792-8FAA46719A0B}"/>
    <cellStyle name="Normal 4 2 5 2 4 3" xfId="5980" xr:uid="{00000000-0005-0000-0000-0000D8130000}"/>
    <cellStyle name="Normal 4 2 5 2 4 3 2" xfId="15306" xr:uid="{75A3A1A7-469E-422B-B029-DCB5767DAFBC}"/>
    <cellStyle name="Normal 4 2 5 2 4 4" xfId="11089" xr:uid="{BE4A3B99-506C-4749-8191-1E7A9C8AAB17}"/>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ACD61B90-5A5E-4197-8825-F6E433D33F27}"/>
    <cellStyle name="Normal 4 2 5 2 5 2 3" xfId="13647" xr:uid="{87FA4D67-FBC9-40E7-B486-6A0FD99E9186}"/>
    <cellStyle name="Normal 4 2 5 2 5 3" xfId="6393" xr:uid="{00000000-0005-0000-0000-0000DC130000}"/>
    <cellStyle name="Normal 4 2 5 2 5 3 2" xfId="15719" xr:uid="{CAAAF428-74C2-40A0-9A24-3AC8763459E5}"/>
    <cellStyle name="Normal 4 2 5 2 5 4" xfId="11502" xr:uid="{B20A734B-C0DE-4E69-8A38-7E12ECDF51B0}"/>
    <cellStyle name="Normal 4 2 5 2 6" xfId="2523" xr:uid="{00000000-0005-0000-0000-0000DD130000}"/>
    <cellStyle name="Normal 4 2 5 2 6 2" xfId="6806" xr:uid="{00000000-0005-0000-0000-0000DE130000}"/>
    <cellStyle name="Normal 4 2 5 2 6 2 2" xfId="16132" xr:uid="{6DF9DD6F-45B2-4560-9E24-0B1D18E618B3}"/>
    <cellStyle name="Normal 4 2 5 2 6 3" xfId="11915" xr:uid="{066F2E92-7A78-4955-A96F-F9A658350542}"/>
    <cellStyle name="Normal 4 2 5 2 7" xfId="4741" xr:uid="{00000000-0005-0000-0000-0000DF130000}"/>
    <cellStyle name="Normal 4 2 5 2 7 2" xfId="14067" xr:uid="{BBE136E0-D72D-4F08-8ABC-C6281DA6BC4C}"/>
    <cellStyle name="Normal 4 2 5 2 8" xfId="9053" xr:uid="{0AE18A98-D9E6-47B9-86B0-DDAD3BC77B48}"/>
    <cellStyle name="Normal 4 2 5 2 8 2" xfId="18377" xr:uid="{A21421D8-65DD-4716-A4D5-8644E7BFED47}"/>
    <cellStyle name="Normal 4 2 5 2 9" xfId="9850" xr:uid="{C832E13B-83D5-4561-8454-0555CD9EA63E}"/>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9A14086B-FC1F-411F-B93A-7BDCB2AB5CCD}"/>
    <cellStyle name="Normal 4 2 5 3 2 3" xfId="12407" xr:uid="{97C0BF70-765B-4F61-ABE8-E28194B026E3}"/>
    <cellStyle name="Normal 4 2 5 3 3" xfId="5153" xr:uid="{00000000-0005-0000-0000-0000E3130000}"/>
    <cellStyle name="Normal 4 2 5 3 3 2" xfId="14479" xr:uid="{D552E277-A21E-496B-87E9-4D474268A7BC}"/>
    <cellStyle name="Normal 4 2 5 3 4" xfId="9271" xr:uid="{41AE7BB1-E3C7-48BD-B24F-55AE39E68BB6}"/>
    <cellStyle name="Normal 4 2 5 3 4 2" xfId="18586" xr:uid="{DA57E4A1-BDF2-4648-AEE9-FBDFD7F9EAA8}"/>
    <cellStyle name="Normal 4 2 5 3 5" xfId="10262" xr:uid="{BECF6693-9B2B-4C3B-99F2-53FA005F53B1}"/>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D0ADB37A-9200-42AC-99F5-FC295C9D3C5D}"/>
    <cellStyle name="Normal 4 2 5 4 2 3" xfId="12820" xr:uid="{078C16B0-A020-44C9-936A-70ACC7E5C2F4}"/>
    <cellStyle name="Normal 4 2 5 4 3" xfId="5566" xr:uid="{00000000-0005-0000-0000-0000E7130000}"/>
    <cellStyle name="Normal 4 2 5 4 3 2" xfId="14892" xr:uid="{9B8FBAE8-0EBF-4841-8B3D-2AABC1253576}"/>
    <cellStyle name="Normal 4 2 5 4 4" xfId="10675" xr:uid="{C286D0F6-DA1A-4BBB-9F86-5ECADF9579D3}"/>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37F43655-190A-4F82-B46F-31E156ECDCA0}"/>
    <cellStyle name="Normal 4 2 5 5 2 3" xfId="13233" xr:uid="{E7B494B9-F32F-45E4-9A1A-1BD14288669C}"/>
    <cellStyle name="Normal 4 2 5 5 3" xfId="5979" xr:uid="{00000000-0005-0000-0000-0000EB130000}"/>
    <cellStyle name="Normal 4 2 5 5 3 2" xfId="15305" xr:uid="{C11773E3-8059-4C56-BA86-455456A2FB22}"/>
    <cellStyle name="Normal 4 2 5 5 4" xfId="11088" xr:uid="{8F280305-A800-4F3D-BC22-2380409EBF79}"/>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100E2C97-6476-453D-9666-BA9A99BF41E3}"/>
    <cellStyle name="Normal 4 2 5 6 2 3" xfId="13646" xr:uid="{2321C075-97EB-4D87-AD77-F836360A54A1}"/>
    <cellStyle name="Normal 4 2 5 6 3" xfId="6392" xr:uid="{00000000-0005-0000-0000-0000EF130000}"/>
    <cellStyle name="Normal 4 2 5 6 3 2" xfId="15718" xr:uid="{38C0D0D1-AD78-4436-BF9B-EF3E442FE711}"/>
    <cellStyle name="Normal 4 2 5 6 4" xfId="11501" xr:uid="{35D74B1B-DED4-4FCF-A394-AB81E1047290}"/>
    <cellStyle name="Normal 4 2 5 7" xfId="2522" xr:uid="{00000000-0005-0000-0000-0000F0130000}"/>
    <cellStyle name="Normal 4 2 5 7 2" xfId="6805" xr:uid="{00000000-0005-0000-0000-0000F1130000}"/>
    <cellStyle name="Normal 4 2 5 7 2 2" xfId="16131" xr:uid="{90ABC091-CC6E-476D-9141-CA718E938825}"/>
    <cellStyle name="Normal 4 2 5 7 3" xfId="11914" xr:uid="{2B4966D5-9FEC-4413-BB5D-412D58BD8967}"/>
    <cellStyle name="Normal 4 2 5 8" xfId="4740" xr:uid="{00000000-0005-0000-0000-0000F2130000}"/>
    <cellStyle name="Normal 4 2 5 8 2" xfId="14066" xr:uid="{E01115E1-8204-4DE5-9649-B6C237081099}"/>
    <cellStyle name="Normal 4 2 5 9" xfId="8846" xr:uid="{C69C7E2D-02E8-4C87-9C63-A39D0E37A062}"/>
    <cellStyle name="Normal 4 2 5 9 2" xfId="18170" xr:uid="{378B5F97-DF77-402F-961C-6A842BD851D6}"/>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9D133066-63FB-42F0-B3CB-76CB4EC0B2D5}"/>
    <cellStyle name="Normal 4 2 6 2 2 3" xfId="12409" xr:uid="{74944DA0-2B28-434B-BF34-97547AF4FEF0}"/>
    <cellStyle name="Normal 4 2 6 2 3" xfId="5155" xr:uid="{00000000-0005-0000-0000-0000F7130000}"/>
    <cellStyle name="Normal 4 2 6 2 3 2" xfId="14481" xr:uid="{5DC83021-0FDA-4D55-91FF-26369FC81DE6}"/>
    <cellStyle name="Normal 4 2 6 2 4" xfId="9387" xr:uid="{933EA8C7-37F7-4AF2-922A-47A5CB1A47BC}"/>
    <cellStyle name="Normal 4 2 6 2 4 2" xfId="18702" xr:uid="{F0D6C5D9-A1A4-4AE1-9B3B-6B517FB8CD96}"/>
    <cellStyle name="Normal 4 2 6 2 5" xfId="10264" xr:uid="{1FA2E67A-BAAA-4AD6-95D0-97B7F5220D28}"/>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E44C7039-6E28-4215-9D5A-7B7BD19191F8}"/>
    <cellStyle name="Normal 4 2 6 3 2 3" xfId="12822" xr:uid="{29DC560E-6006-471F-919D-C4BEEC359A89}"/>
    <cellStyle name="Normal 4 2 6 3 3" xfId="5568" xr:uid="{00000000-0005-0000-0000-0000FB130000}"/>
    <cellStyle name="Normal 4 2 6 3 3 2" xfId="14894" xr:uid="{28FCB95D-23B2-45D3-8E36-7DBFE60251B0}"/>
    <cellStyle name="Normal 4 2 6 3 4" xfId="10677" xr:uid="{A40BC15B-957C-474C-B0FA-E7274AD15FFB}"/>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7F503B9F-7BBD-4C90-BE11-9404EC33D2DE}"/>
    <cellStyle name="Normal 4 2 6 4 2 3" xfId="13235" xr:uid="{011F28EA-8D08-40BD-BDD3-377B73ED2390}"/>
    <cellStyle name="Normal 4 2 6 4 3" xfId="5981" xr:uid="{00000000-0005-0000-0000-0000FF130000}"/>
    <cellStyle name="Normal 4 2 6 4 3 2" xfId="15307" xr:uid="{C1EC835A-5134-4F74-A697-98B06B1D11F3}"/>
    <cellStyle name="Normal 4 2 6 4 4" xfId="11090" xr:uid="{3F0FAF56-FC0C-4864-8B20-F323774C35A4}"/>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D7C50540-C80E-4941-9156-412F024F1C1D}"/>
    <cellStyle name="Normal 4 2 6 5 2 3" xfId="13648" xr:uid="{336A4A81-4BB5-47B9-8B72-CAC0D3735977}"/>
    <cellStyle name="Normal 4 2 6 5 3" xfId="6394" xr:uid="{00000000-0005-0000-0000-000003140000}"/>
    <cellStyle name="Normal 4 2 6 5 3 2" xfId="15720" xr:uid="{D4D1467A-83A8-448F-846E-55DEC7375C15}"/>
    <cellStyle name="Normal 4 2 6 5 4" xfId="11503" xr:uid="{FC7E4346-D3E3-47B1-BC5E-C7935448AD5E}"/>
    <cellStyle name="Normal 4 2 6 6" xfId="2524" xr:uid="{00000000-0005-0000-0000-000004140000}"/>
    <cellStyle name="Normal 4 2 6 6 2" xfId="6807" xr:uid="{00000000-0005-0000-0000-000005140000}"/>
    <cellStyle name="Normal 4 2 6 6 2 2" xfId="16133" xr:uid="{A9EEBE57-C822-4B60-9834-F1CB05F3ABFD}"/>
    <cellStyle name="Normal 4 2 6 6 3" xfId="11916" xr:uid="{A0B63877-5F56-4AD4-9075-4523EDBFFF7E}"/>
    <cellStyle name="Normal 4 2 6 7" xfId="4742" xr:uid="{00000000-0005-0000-0000-000006140000}"/>
    <cellStyle name="Normal 4 2 6 7 2" xfId="14068" xr:uid="{04995EC3-FD4F-4515-B235-92F34E25843A}"/>
    <cellStyle name="Normal 4 2 6 8" xfId="8962" xr:uid="{1A1596D6-3914-4465-A638-E540359059D2}"/>
    <cellStyle name="Normal 4 2 6 8 2" xfId="18286" xr:uid="{88D88A0D-05C1-4752-B61C-520190CC2866}"/>
    <cellStyle name="Normal 4 2 6 9" xfId="9851" xr:uid="{029B74B6-933D-48D8-9C29-24FFBAD017BB}"/>
    <cellStyle name="Normal 4 2 7" xfId="9165" xr:uid="{6363F967-7399-442D-B2CE-00085FF7F1E8}"/>
    <cellStyle name="Normal 4 2 7 2" xfId="18483" xr:uid="{06D553F7-D4F6-48B3-BFBF-5B8A63178F92}"/>
    <cellStyle name="Normal 4 2 8" xfId="8743" xr:uid="{E2B8331F-47F9-4829-99C7-E05840A106B9}"/>
    <cellStyle name="Normal 4 2 8 2" xfId="18067" xr:uid="{62B5064A-4145-4490-A947-AD9E32268DC6}"/>
    <cellStyle name="Normal 4 3" xfId="366" xr:uid="{00000000-0005-0000-0000-000007140000}"/>
    <cellStyle name="Normal 4 3 10" xfId="9852" xr:uid="{446831C9-38AC-4197-98B1-1A3E301867D8}"/>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146" xr:uid="{8B696FB4-9670-4383-B185-08D7DE4DFBEC}"/>
    <cellStyle name="Normal 4 3 2 2 2 11" xfId="9853" xr:uid="{3D3CFC91-138A-4F7B-8BAC-72CDC4E1411A}"/>
    <cellStyle name="Normal 4 3 2 2 2 2" xfId="370" xr:uid="{00000000-0005-0000-0000-00000B140000}"/>
    <cellStyle name="Normal 4 3 2 2 2 2 10" xfId="9854" xr:uid="{E3DE7170-95AC-4004-8C1E-2B65BA67EA09}"/>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9AB4BF2E-0FC4-4B02-AAA2-70FFD1003C70}"/>
    <cellStyle name="Normal 4 3 2 2 2 2 2 2 2 3" xfId="12413" xr:uid="{06693606-5290-49E5-8249-446CDCDC1021}"/>
    <cellStyle name="Normal 4 3 2 2 2 2 2 2 3" xfId="5159" xr:uid="{00000000-0005-0000-0000-000010140000}"/>
    <cellStyle name="Normal 4 3 2 2 2 2 2 2 3 2" xfId="14485" xr:uid="{E48FDB94-E71C-4147-B13A-0D743DC53799}"/>
    <cellStyle name="Normal 4 3 2 2 2 2 2 2 4" xfId="9557" xr:uid="{4F6BDD99-7BF1-4D2F-9EDC-4F75F1942DB4}"/>
    <cellStyle name="Normal 4 3 2 2 2 2 2 2 4 2" xfId="18872" xr:uid="{64EFDA65-FA1B-4F40-AA00-240F3569D71B}"/>
    <cellStyle name="Normal 4 3 2 2 2 2 2 2 5" xfId="10268" xr:uid="{439EBAB0-52E3-457E-92EA-CC865254E2FC}"/>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A43BAC5A-CA1E-4034-A8F5-077459F23D23}"/>
    <cellStyle name="Normal 4 3 2 2 2 2 2 3 2 3" xfId="12826" xr:uid="{E647B500-2026-4B9A-852E-A18A557B200A}"/>
    <cellStyle name="Normal 4 3 2 2 2 2 2 3 3" xfId="5572" xr:uid="{00000000-0005-0000-0000-000014140000}"/>
    <cellStyle name="Normal 4 3 2 2 2 2 2 3 3 2" xfId="14898" xr:uid="{1A57EC03-515B-47DD-907E-B8551BB2F3B3}"/>
    <cellStyle name="Normal 4 3 2 2 2 2 2 3 4" xfId="10681" xr:uid="{97A70BA5-96AD-4551-A28E-08071C6702F8}"/>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F56DE251-7C3A-47DD-9A27-0F905EBDDA16}"/>
    <cellStyle name="Normal 4 3 2 2 2 2 2 4 2 3" xfId="13239" xr:uid="{AB047D61-3682-4AD7-824F-D04935CCBA85}"/>
    <cellStyle name="Normal 4 3 2 2 2 2 2 4 3" xfId="5985" xr:uid="{00000000-0005-0000-0000-000018140000}"/>
    <cellStyle name="Normal 4 3 2 2 2 2 2 4 3 2" xfId="15311" xr:uid="{EC5F42D1-8118-48D9-AF51-9F00E22722E6}"/>
    <cellStyle name="Normal 4 3 2 2 2 2 2 4 4" xfId="11094" xr:uid="{EC49BFF2-006F-4EA8-943C-4FA32C2AFB52}"/>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6371448C-3781-4893-BA71-075E3CBDB0FD}"/>
    <cellStyle name="Normal 4 3 2 2 2 2 2 5 2 3" xfId="13652" xr:uid="{36FE8391-B64C-4F1C-8A9D-B4CBF185C9D8}"/>
    <cellStyle name="Normal 4 3 2 2 2 2 2 5 3" xfId="6398" xr:uid="{00000000-0005-0000-0000-00001C140000}"/>
    <cellStyle name="Normal 4 3 2 2 2 2 2 5 3 2" xfId="15724" xr:uid="{60EC74A8-C1AE-49FA-87B9-AA41F0BBD111}"/>
    <cellStyle name="Normal 4 3 2 2 2 2 2 5 4" xfId="11507" xr:uid="{EDF97346-41D9-4A38-A749-78E56FD42019}"/>
    <cellStyle name="Normal 4 3 2 2 2 2 2 6" xfId="2528" xr:uid="{00000000-0005-0000-0000-00001D140000}"/>
    <cellStyle name="Normal 4 3 2 2 2 2 2 6 2" xfId="6811" xr:uid="{00000000-0005-0000-0000-00001E140000}"/>
    <cellStyle name="Normal 4 3 2 2 2 2 2 6 2 2" xfId="16137" xr:uid="{F032A149-E166-4880-A7A2-72FD0305DC8A}"/>
    <cellStyle name="Normal 4 3 2 2 2 2 2 6 3" xfId="11920" xr:uid="{2517435B-D142-408A-A33A-A3A8E5D76F33}"/>
    <cellStyle name="Normal 4 3 2 2 2 2 2 7" xfId="4746" xr:uid="{00000000-0005-0000-0000-00001F140000}"/>
    <cellStyle name="Normal 4 3 2 2 2 2 2 7 2" xfId="14072" xr:uid="{D12AB236-3BFC-41B3-BB36-00283D6622A0}"/>
    <cellStyle name="Normal 4 3 2 2 2 2 2 8" xfId="9132" xr:uid="{14F6ED12-EABF-4C82-AD59-55D351026913}"/>
    <cellStyle name="Normal 4 3 2 2 2 2 2 8 2" xfId="18456" xr:uid="{0D340BC2-AF13-4A6A-9446-06521C4A3680}"/>
    <cellStyle name="Normal 4 3 2 2 2 2 2 9" xfId="9855" xr:uid="{3E589BDA-EF7B-4571-ABB6-2C08459CF08D}"/>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A282D6CA-61F2-4DCF-A1AB-780291841627}"/>
    <cellStyle name="Normal 4 3 2 2 2 2 3 2 3" xfId="12412" xr:uid="{3A6B6D61-BB4D-4AE6-BC4A-AE8987B29119}"/>
    <cellStyle name="Normal 4 3 2 2 2 2 3 3" xfId="5158" xr:uid="{00000000-0005-0000-0000-000023140000}"/>
    <cellStyle name="Normal 4 3 2 2 2 2 3 3 2" xfId="14484" xr:uid="{2AEA4323-AE76-462B-98F7-2E5780C291EE}"/>
    <cellStyle name="Normal 4 3 2 2 2 2 3 4" xfId="9350" xr:uid="{DFFEAFB7-A284-4FD9-B115-C19DA011CCC7}"/>
    <cellStyle name="Normal 4 3 2 2 2 2 3 4 2" xfId="18665" xr:uid="{73E80136-4E24-4EB2-BF60-48E194D5D627}"/>
    <cellStyle name="Normal 4 3 2 2 2 2 3 5" xfId="10267" xr:uid="{7AFD5BE5-F114-4269-A81D-8D40FA69C5E3}"/>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4A6F512A-E007-4CED-94B0-2554150ECD72}"/>
    <cellStyle name="Normal 4 3 2 2 2 2 4 2 3" xfId="12825" xr:uid="{2D87AA8B-CCB0-425F-8C21-4A5E580C8881}"/>
    <cellStyle name="Normal 4 3 2 2 2 2 4 3" xfId="5571" xr:uid="{00000000-0005-0000-0000-000027140000}"/>
    <cellStyle name="Normal 4 3 2 2 2 2 4 3 2" xfId="14897" xr:uid="{F9220702-2618-4FF5-80EE-2592F6EA2321}"/>
    <cellStyle name="Normal 4 3 2 2 2 2 4 4" xfId="10680" xr:uid="{296CE79F-13A5-4988-8058-14E9EEDF583A}"/>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14EBCDCA-EE2D-4D37-AC85-5088D942BB7E}"/>
    <cellStyle name="Normal 4 3 2 2 2 2 5 2 3" xfId="13238" xr:uid="{F18940B4-DB72-41C0-8C59-64DAF893876A}"/>
    <cellStyle name="Normal 4 3 2 2 2 2 5 3" xfId="5984" xr:uid="{00000000-0005-0000-0000-00002B140000}"/>
    <cellStyle name="Normal 4 3 2 2 2 2 5 3 2" xfId="15310" xr:uid="{DC179F2D-D4C6-43C1-8049-DE42896846DD}"/>
    <cellStyle name="Normal 4 3 2 2 2 2 5 4" xfId="11093" xr:uid="{531077F2-082C-4BDC-BBE5-61DF3F4ED54D}"/>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17C6A67E-6921-4D1F-8E5A-F2C066E2B895}"/>
    <cellStyle name="Normal 4 3 2 2 2 2 6 2 3" xfId="13651" xr:uid="{135E98A1-23B1-4BAE-A95A-8C8976C835EA}"/>
    <cellStyle name="Normal 4 3 2 2 2 2 6 3" xfId="6397" xr:uid="{00000000-0005-0000-0000-00002F140000}"/>
    <cellStyle name="Normal 4 3 2 2 2 2 6 3 2" xfId="15723" xr:uid="{5F3B85F5-0EE5-4530-9821-321A07EAFD05}"/>
    <cellStyle name="Normal 4 3 2 2 2 2 6 4" xfId="11506" xr:uid="{213EBC95-0E7D-4736-893D-54E99EB4DBE8}"/>
    <cellStyle name="Normal 4 3 2 2 2 2 7" xfId="2527" xr:uid="{00000000-0005-0000-0000-000030140000}"/>
    <cellStyle name="Normal 4 3 2 2 2 2 7 2" xfId="6810" xr:uid="{00000000-0005-0000-0000-000031140000}"/>
    <cellStyle name="Normal 4 3 2 2 2 2 7 2 2" xfId="16136" xr:uid="{58912B30-2772-48CC-9354-6AA1CBEE36E1}"/>
    <cellStyle name="Normal 4 3 2 2 2 2 7 3" xfId="11919" xr:uid="{21E6882A-FBDB-4B90-B146-702F6ABE95A1}"/>
    <cellStyle name="Normal 4 3 2 2 2 2 8" xfId="4745" xr:uid="{00000000-0005-0000-0000-000032140000}"/>
    <cellStyle name="Normal 4 3 2 2 2 2 8 2" xfId="14071" xr:uid="{53F21525-45D9-4612-A707-4D57928C3037}"/>
    <cellStyle name="Normal 4 3 2 2 2 2 9" xfId="8925" xr:uid="{71BB8AFA-37D7-474D-A12B-C284DDE23CE9}"/>
    <cellStyle name="Normal 4 3 2 2 2 2 9 2" xfId="18249" xr:uid="{974C1FF8-86AA-4133-8FCA-9FC39B91C066}"/>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AC27490F-E131-4D62-B177-D28B50C97BD6}"/>
    <cellStyle name="Normal 4 3 2 2 2 3 2 2 3" xfId="12414" xr:uid="{57EAEFE9-2F39-457A-9F4D-629FD323A6A3}"/>
    <cellStyle name="Normal 4 3 2 2 2 3 2 3" xfId="5160" xr:uid="{00000000-0005-0000-0000-000037140000}"/>
    <cellStyle name="Normal 4 3 2 2 2 3 2 3 2" xfId="14486" xr:uid="{6992FCA9-B7A0-437D-8068-5CE1AF2AB33F}"/>
    <cellStyle name="Normal 4 3 2 2 2 3 2 4" xfId="9454" xr:uid="{B81F5EAA-7D8E-43B5-94D7-313E66088BA5}"/>
    <cellStyle name="Normal 4 3 2 2 2 3 2 4 2" xfId="18769" xr:uid="{92AD010C-B2D2-4711-921C-49A6B4626088}"/>
    <cellStyle name="Normal 4 3 2 2 2 3 2 5" xfId="10269" xr:uid="{DAAA79FF-4426-4045-A62A-09EA93717184}"/>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91F05D08-932C-4408-8B36-7C20C8687C76}"/>
    <cellStyle name="Normal 4 3 2 2 2 3 3 2 3" xfId="12827" xr:uid="{A03A5832-4082-4BE2-B01D-D7DFFCB42814}"/>
    <cellStyle name="Normal 4 3 2 2 2 3 3 3" xfId="5573" xr:uid="{00000000-0005-0000-0000-00003B140000}"/>
    <cellStyle name="Normal 4 3 2 2 2 3 3 3 2" xfId="14899" xr:uid="{8604A0A5-79AD-41E8-93E3-05FECBCC661F}"/>
    <cellStyle name="Normal 4 3 2 2 2 3 3 4" xfId="10682" xr:uid="{9063FE5E-9EF4-4277-A578-BB65E9491E11}"/>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47F1653E-DDC5-4228-9E5E-A93273C92207}"/>
    <cellStyle name="Normal 4 3 2 2 2 3 4 2 3" xfId="13240" xr:uid="{DC1881F7-5086-4553-B84A-F776EF0AFD35}"/>
    <cellStyle name="Normal 4 3 2 2 2 3 4 3" xfId="5986" xr:uid="{00000000-0005-0000-0000-00003F140000}"/>
    <cellStyle name="Normal 4 3 2 2 2 3 4 3 2" xfId="15312" xr:uid="{955F0920-D180-4374-A9A1-22839C1A742C}"/>
    <cellStyle name="Normal 4 3 2 2 2 3 4 4" xfId="11095" xr:uid="{70236A17-3053-4314-AAB9-4DEAC092DBAB}"/>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CA1CA8B1-29D8-491A-BB0A-9F52425C0E29}"/>
    <cellStyle name="Normal 4 3 2 2 2 3 5 2 3" xfId="13653" xr:uid="{7CDD6B51-5E11-4F39-B907-B96825CB6B8C}"/>
    <cellStyle name="Normal 4 3 2 2 2 3 5 3" xfId="6399" xr:uid="{00000000-0005-0000-0000-000043140000}"/>
    <cellStyle name="Normal 4 3 2 2 2 3 5 3 2" xfId="15725" xr:uid="{E4506994-0088-4C1A-AE00-2D1738E33031}"/>
    <cellStyle name="Normal 4 3 2 2 2 3 5 4" xfId="11508" xr:uid="{3652B66B-76E2-4D3C-8654-B3081E5DE70A}"/>
    <cellStyle name="Normal 4 3 2 2 2 3 6" xfId="2529" xr:uid="{00000000-0005-0000-0000-000044140000}"/>
    <cellStyle name="Normal 4 3 2 2 2 3 6 2" xfId="6812" xr:uid="{00000000-0005-0000-0000-000045140000}"/>
    <cellStyle name="Normal 4 3 2 2 2 3 6 2 2" xfId="16138" xr:uid="{AB16641A-8D54-42BB-A08D-2643B2BD77EE}"/>
    <cellStyle name="Normal 4 3 2 2 2 3 6 3" xfId="11921" xr:uid="{4D0DABAE-5104-4F80-83B8-2C2E4F015549}"/>
    <cellStyle name="Normal 4 3 2 2 2 3 7" xfId="4747" xr:uid="{00000000-0005-0000-0000-000046140000}"/>
    <cellStyle name="Normal 4 3 2 2 2 3 7 2" xfId="14073" xr:uid="{15922E68-42F0-48E6-B035-F24511E31763}"/>
    <cellStyle name="Normal 4 3 2 2 2 3 8" xfId="9029" xr:uid="{CC421D7E-69EF-4D96-A95C-E67F046F8D14}"/>
    <cellStyle name="Normal 4 3 2 2 2 3 8 2" xfId="18353" xr:uid="{DC1362E8-1F9F-4D10-919C-47099C047541}"/>
    <cellStyle name="Normal 4 3 2 2 2 3 9" xfId="9856" xr:uid="{ECF678D4-7761-4829-A096-9E40288ED6BF}"/>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987392C3-A01E-4A5A-8B40-356AD8A03866}"/>
    <cellStyle name="Normal 4 3 2 2 2 4 2 3" xfId="12411" xr:uid="{EB2C841C-7635-482D-A519-E60CC766DE5E}"/>
    <cellStyle name="Normal 4 3 2 2 2 4 3" xfId="5157" xr:uid="{00000000-0005-0000-0000-00004A140000}"/>
    <cellStyle name="Normal 4 3 2 2 2 4 3 2" xfId="14483" xr:uid="{48F079C4-5797-4278-A133-32DAC7240B35}"/>
    <cellStyle name="Normal 4 3 2 2 2 4 4" xfId="9247" xr:uid="{70D9D224-DB0B-42B4-B4A9-BC88F455C395}"/>
    <cellStyle name="Normal 4 3 2 2 2 4 4 2" xfId="18562" xr:uid="{C96E4BC0-CEE1-42C0-BBC1-DF8B75A18A56}"/>
    <cellStyle name="Normal 4 3 2 2 2 4 5" xfId="10266" xr:uid="{D3774642-A6AC-487E-B09B-06E263810123}"/>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3F57FED7-CCE0-49E1-BCC2-106B3D92662E}"/>
    <cellStyle name="Normal 4 3 2 2 2 5 2 3" xfId="12824" xr:uid="{D03CA29B-8741-4937-9A30-790559B403DF}"/>
    <cellStyle name="Normal 4 3 2 2 2 5 3" xfId="5570" xr:uid="{00000000-0005-0000-0000-00004E140000}"/>
    <cellStyle name="Normal 4 3 2 2 2 5 3 2" xfId="14896" xr:uid="{96BF1668-981D-4C5F-B127-83582D843CF6}"/>
    <cellStyle name="Normal 4 3 2 2 2 5 4" xfId="10679" xr:uid="{D0B6DE13-9F2B-43BB-8BB6-9788F89A3679}"/>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4530A905-0668-4146-A8DB-B1F4DB3B56B8}"/>
    <cellStyle name="Normal 4 3 2 2 2 6 2 3" xfId="13237" xr:uid="{1C9A50DC-C4DD-4788-A6AA-5AD47BC7238C}"/>
    <cellStyle name="Normal 4 3 2 2 2 6 3" xfId="5983" xr:uid="{00000000-0005-0000-0000-000052140000}"/>
    <cellStyle name="Normal 4 3 2 2 2 6 3 2" xfId="15309" xr:uid="{9B8C49C9-7E21-43BF-BF10-CA3EF5ABB0C3}"/>
    <cellStyle name="Normal 4 3 2 2 2 6 4" xfId="11092" xr:uid="{210503AA-C4F8-4942-9F7E-47987C61A471}"/>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B7FA4C64-319C-4A3C-9185-0F044231B856}"/>
    <cellStyle name="Normal 4 3 2 2 2 7 2 3" xfId="13650" xr:uid="{5753E600-8EE8-4131-8869-11992CA8BF0D}"/>
    <cellStyle name="Normal 4 3 2 2 2 7 3" xfId="6396" xr:uid="{00000000-0005-0000-0000-000056140000}"/>
    <cellStyle name="Normal 4 3 2 2 2 7 3 2" xfId="15722" xr:uid="{6181AB3D-0E67-4B52-B0BF-9099850BE6B4}"/>
    <cellStyle name="Normal 4 3 2 2 2 7 4" xfId="11505" xr:uid="{67642613-D33D-4749-B364-257D17BEADE1}"/>
    <cellStyle name="Normal 4 3 2 2 2 8" xfId="2526" xr:uid="{00000000-0005-0000-0000-000057140000}"/>
    <cellStyle name="Normal 4 3 2 2 2 8 2" xfId="6809" xr:uid="{00000000-0005-0000-0000-000058140000}"/>
    <cellStyle name="Normal 4 3 2 2 2 8 2 2" xfId="16135" xr:uid="{C992CCFB-F094-43DC-94E4-8240AA1B5F76}"/>
    <cellStyle name="Normal 4 3 2 2 2 8 3" xfId="11918" xr:uid="{782A8463-EB55-4B91-B4C9-2FCF81B332F5}"/>
    <cellStyle name="Normal 4 3 2 2 2 9" xfId="4744" xr:uid="{00000000-0005-0000-0000-000059140000}"/>
    <cellStyle name="Normal 4 3 2 2 2 9 2" xfId="14070" xr:uid="{A955C85E-3ECA-4C99-B2EE-58EF745F0744}"/>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145" xr:uid="{F85EAC07-58EC-424C-B365-FD3CCAD5932F}"/>
    <cellStyle name="Normal 4 3 3 11" xfId="9857" xr:uid="{40AEF621-0DB4-4D2B-8599-EED027FF73B8}"/>
    <cellStyle name="Normal 4 3 3 2" xfId="375" xr:uid="{00000000-0005-0000-0000-00005E140000}"/>
    <cellStyle name="Normal 4 3 3 2 10" xfId="9858" xr:uid="{5A7E7120-3A5D-47CE-A530-8EB5B79F40CC}"/>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5862C933-2B46-4F7C-8F46-7D6345A5F197}"/>
    <cellStyle name="Normal 4 3 3 2 2 2 2 3" xfId="12417" xr:uid="{EDBC676C-0E9A-4005-AE7F-5DDBB9CD8A7D}"/>
    <cellStyle name="Normal 4 3 3 2 2 2 3" xfId="5163" xr:uid="{00000000-0005-0000-0000-000063140000}"/>
    <cellStyle name="Normal 4 3 3 2 2 2 3 2" xfId="14489" xr:uid="{EDA252C5-3354-4B29-8470-DD1530D4D695}"/>
    <cellStyle name="Normal 4 3 3 2 2 2 4" xfId="9556" xr:uid="{7233D5E9-9F1E-43FF-8391-DCCFDF8A705D}"/>
    <cellStyle name="Normal 4 3 3 2 2 2 4 2" xfId="18871" xr:uid="{6300E512-2D5C-41BC-85C0-63F760A96170}"/>
    <cellStyle name="Normal 4 3 3 2 2 2 5" xfId="10272" xr:uid="{45FABC91-32ED-414D-AD23-1C9CCF681E6E}"/>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50F36EFF-BF4D-4D49-8C75-C4DADB5624EB}"/>
    <cellStyle name="Normal 4 3 3 2 2 3 2 3" xfId="12830" xr:uid="{07461094-6AC4-45F1-B269-78B2C1F682E7}"/>
    <cellStyle name="Normal 4 3 3 2 2 3 3" xfId="5576" xr:uid="{00000000-0005-0000-0000-000067140000}"/>
    <cellStyle name="Normal 4 3 3 2 2 3 3 2" xfId="14902" xr:uid="{7E76D896-E39C-49BA-993F-87343D914C44}"/>
    <cellStyle name="Normal 4 3 3 2 2 3 4" xfId="10685" xr:uid="{6BDF71E9-F34F-426F-AC9B-E90BBC80A10D}"/>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5366C2F2-0987-4418-A498-94A3C9D87995}"/>
    <cellStyle name="Normal 4 3 3 2 2 4 2 3" xfId="13243" xr:uid="{9E5285F8-3162-4ED4-B7B5-1DCBC3A342EA}"/>
    <cellStyle name="Normal 4 3 3 2 2 4 3" xfId="5989" xr:uid="{00000000-0005-0000-0000-00006B140000}"/>
    <cellStyle name="Normal 4 3 3 2 2 4 3 2" xfId="15315" xr:uid="{2DCB631E-38B1-4798-AFEC-CFE14336D873}"/>
    <cellStyle name="Normal 4 3 3 2 2 4 4" xfId="11098" xr:uid="{30175120-ADF6-4EAA-8A0A-FD2AB18703D2}"/>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BE5764BB-FBC5-4880-B6B1-29070E54A124}"/>
    <cellStyle name="Normal 4 3 3 2 2 5 2 3" xfId="13656" xr:uid="{6A976659-4D54-447F-9931-3B7A8AEFBB92}"/>
    <cellStyle name="Normal 4 3 3 2 2 5 3" xfId="6402" xr:uid="{00000000-0005-0000-0000-00006F140000}"/>
    <cellStyle name="Normal 4 3 3 2 2 5 3 2" xfId="15728" xr:uid="{EC12DEE2-5F71-415B-B664-7232B4293525}"/>
    <cellStyle name="Normal 4 3 3 2 2 5 4" xfId="11511" xr:uid="{C44DA5BE-5E43-43BF-B996-F2B43D0D4B17}"/>
    <cellStyle name="Normal 4 3 3 2 2 6" xfId="2532" xr:uid="{00000000-0005-0000-0000-000070140000}"/>
    <cellStyle name="Normal 4 3 3 2 2 6 2" xfId="6815" xr:uid="{00000000-0005-0000-0000-000071140000}"/>
    <cellStyle name="Normal 4 3 3 2 2 6 2 2" xfId="16141" xr:uid="{F759E12A-B3A6-460D-A73F-7D8ADB0B4A3E}"/>
    <cellStyle name="Normal 4 3 3 2 2 6 3" xfId="11924" xr:uid="{BDFA84DC-2897-428A-A9B4-77F5A66155B0}"/>
    <cellStyle name="Normal 4 3 3 2 2 7" xfId="4750" xr:uid="{00000000-0005-0000-0000-000072140000}"/>
    <cellStyle name="Normal 4 3 3 2 2 7 2" xfId="14076" xr:uid="{7D981F59-1335-41BE-A686-3C5323DD22E8}"/>
    <cellStyle name="Normal 4 3 3 2 2 8" xfId="9131" xr:uid="{D7BA3B10-6765-4B57-99D1-3AF7343772F8}"/>
    <cellStyle name="Normal 4 3 3 2 2 8 2" xfId="18455" xr:uid="{90BC473B-C3BB-487C-8916-BF0D75F00684}"/>
    <cellStyle name="Normal 4 3 3 2 2 9" xfId="9859" xr:uid="{A3C9A923-FEE9-422A-839C-FC919B293802}"/>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8E36E34C-E48D-4D29-BB4D-D1BE786C1DB5}"/>
    <cellStyle name="Normal 4 3 3 2 3 2 3" xfId="12416" xr:uid="{CE35F1C8-C710-46A2-B1D7-0E3813E9242D}"/>
    <cellStyle name="Normal 4 3 3 2 3 3" xfId="5162" xr:uid="{00000000-0005-0000-0000-000076140000}"/>
    <cellStyle name="Normal 4 3 3 2 3 3 2" xfId="14488" xr:uid="{067EA2E0-EC4F-4E4B-8FDA-E7ACCDAD2FA2}"/>
    <cellStyle name="Normal 4 3 3 2 3 4" xfId="9349" xr:uid="{E498700C-D7AE-42FC-8EB1-59BA2C1BA6B9}"/>
    <cellStyle name="Normal 4 3 3 2 3 4 2" xfId="18664" xr:uid="{D20E0674-A0E0-4A89-9ED2-80D7470DD653}"/>
    <cellStyle name="Normal 4 3 3 2 3 5" xfId="10271" xr:uid="{20D9AB4E-9BFC-4AB2-A25B-AB09A137542B}"/>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242AE8C6-167F-4695-96C3-1EE3254B42B3}"/>
    <cellStyle name="Normal 4 3 3 2 4 2 3" xfId="12829" xr:uid="{05B8713F-E447-445E-AEE9-ED9682B6C83F}"/>
    <cellStyle name="Normal 4 3 3 2 4 3" xfId="5575" xr:uid="{00000000-0005-0000-0000-00007A140000}"/>
    <cellStyle name="Normal 4 3 3 2 4 3 2" xfId="14901" xr:uid="{5ABFD6BF-BDC4-4D0A-B591-420AE56F0B7D}"/>
    <cellStyle name="Normal 4 3 3 2 4 4" xfId="10684" xr:uid="{477757E4-4689-408D-85DF-CF9720B4A7AC}"/>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DBF8CAA6-B10F-4719-BD5E-6E79D9C1C2FA}"/>
    <cellStyle name="Normal 4 3 3 2 5 2 3" xfId="13242" xr:uid="{C5D46502-DB64-463F-AB54-B348BFFA4A85}"/>
    <cellStyle name="Normal 4 3 3 2 5 3" xfId="5988" xr:uid="{00000000-0005-0000-0000-00007E140000}"/>
    <cellStyle name="Normal 4 3 3 2 5 3 2" xfId="15314" xr:uid="{C808B59A-296D-4127-A0B7-078B8654079E}"/>
    <cellStyle name="Normal 4 3 3 2 5 4" xfId="11097" xr:uid="{9358FD4E-B70C-44FB-BCF6-C379273ED63A}"/>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DF26AC04-CEE6-4041-8F60-FE2865D9017A}"/>
    <cellStyle name="Normal 4 3 3 2 6 2 3" xfId="13655" xr:uid="{6E92DAAB-B054-4300-BDB8-FBCD224EC0EA}"/>
    <cellStyle name="Normal 4 3 3 2 6 3" xfId="6401" xr:uid="{00000000-0005-0000-0000-000082140000}"/>
    <cellStyle name="Normal 4 3 3 2 6 3 2" xfId="15727" xr:uid="{BF2AAEA6-C209-4B77-AC27-38CDCF095739}"/>
    <cellStyle name="Normal 4 3 3 2 6 4" xfId="11510" xr:uid="{F6C266A2-78ED-40E3-A330-ABB4D743F064}"/>
    <cellStyle name="Normal 4 3 3 2 7" xfId="2531" xr:uid="{00000000-0005-0000-0000-000083140000}"/>
    <cellStyle name="Normal 4 3 3 2 7 2" xfId="6814" xr:uid="{00000000-0005-0000-0000-000084140000}"/>
    <cellStyle name="Normal 4 3 3 2 7 2 2" xfId="16140" xr:uid="{F2932FC9-43A3-4900-A398-2A299AAD0336}"/>
    <cellStyle name="Normal 4 3 3 2 7 3" xfId="11923" xr:uid="{D974BE03-FF0C-455A-8CA2-E47F9766889D}"/>
    <cellStyle name="Normal 4 3 3 2 8" xfId="4749" xr:uid="{00000000-0005-0000-0000-000085140000}"/>
    <cellStyle name="Normal 4 3 3 2 8 2" xfId="14075" xr:uid="{EE9A78B5-90BC-4712-A916-40E9CDC9D21E}"/>
    <cellStyle name="Normal 4 3 3 2 9" xfId="8924" xr:uid="{F9E914C5-63E8-4CB8-8EA1-7427CE35C4AA}"/>
    <cellStyle name="Normal 4 3 3 2 9 2" xfId="18248" xr:uid="{83743CF1-2013-40B9-BC70-E97CCE5BDEA7}"/>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DE08A063-BA73-4567-93EA-D1B7FF8B83E0}"/>
    <cellStyle name="Normal 4 3 3 3 2 2 3" xfId="12418" xr:uid="{C8136442-79F4-45EC-8381-7483DC7CDFC3}"/>
    <cellStyle name="Normal 4 3 3 3 2 3" xfId="5164" xr:uid="{00000000-0005-0000-0000-00008A140000}"/>
    <cellStyle name="Normal 4 3 3 3 2 3 2" xfId="14490" xr:uid="{C8E43842-95DA-48A9-A9F4-F8E57146813B}"/>
    <cellStyle name="Normal 4 3 3 3 2 4" xfId="9453" xr:uid="{18D68920-503C-42C1-A733-EBE17DC6D008}"/>
    <cellStyle name="Normal 4 3 3 3 2 4 2" xfId="18768" xr:uid="{24D553B3-4393-472A-B00F-62487FD80D9C}"/>
    <cellStyle name="Normal 4 3 3 3 2 5" xfId="10273" xr:uid="{65CD6008-9D4E-4FB2-AC31-A8C07155F81A}"/>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52A242FD-8DBD-4C8C-A950-2E676304A2CA}"/>
    <cellStyle name="Normal 4 3 3 3 3 2 3" xfId="12831" xr:uid="{98D1B8DD-78A9-4B81-82F9-40F066907ADB}"/>
    <cellStyle name="Normal 4 3 3 3 3 3" xfId="5577" xr:uid="{00000000-0005-0000-0000-00008E140000}"/>
    <cellStyle name="Normal 4 3 3 3 3 3 2" xfId="14903" xr:uid="{27891D55-AED4-4B9D-ABCD-315DFC6F8E18}"/>
    <cellStyle name="Normal 4 3 3 3 3 4" xfId="10686" xr:uid="{D33CFC90-1F28-4E21-AFE3-5302D5DAD41A}"/>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1D8789D4-A01E-45F6-A4A9-324DE06D6D1C}"/>
    <cellStyle name="Normal 4 3 3 3 4 2 3" xfId="13244" xr:uid="{63AB42E0-3C99-46AA-BCC8-F7B170BB385B}"/>
    <cellStyle name="Normal 4 3 3 3 4 3" xfId="5990" xr:uid="{00000000-0005-0000-0000-000092140000}"/>
    <cellStyle name="Normal 4 3 3 3 4 3 2" xfId="15316" xr:uid="{EA64F5A9-610A-4BF7-9787-2B05A8807E4C}"/>
    <cellStyle name="Normal 4 3 3 3 4 4" xfId="11099" xr:uid="{0E23E87F-6473-4C36-B780-5B2D3051F040}"/>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40C60554-CB01-46FF-87FE-644E8D4BFC6F}"/>
    <cellStyle name="Normal 4 3 3 3 5 2 3" xfId="13657" xr:uid="{E8E7ACD9-0C49-4460-B3E5-A7EE4420B6CA}"/>
    <cellStyle name="Normal 4 3 3 3 5 3" xfId="6403" xr:uid="{00000000-0005-0000-0000-000096140000}"/>
    <cellStyle name="Normal 4 3 3 3 5 3 2" xfId="15729" xr:uid="{17134767-79D6-4688-9070-7757F477138C}"/>
    <cellStyle name="Normal 4 3 3 3 5 4" xfId="11512" xr:uid="{F49EFEC3-51D4-4E57-849E-AC37E2EA123D}"/>
    <cellStyle name="Normal 4 3 3 3 6" xfId="2533" xr:uid="{00000000-0005-0000-0000-000097140000}"/>
    <cellStyle name="Normal 4 3 3 3 6 2" xfId="6816" xr:uid="{00000000-0005-0000-0000-000098140000}"/>
    <cellStyle name="Normal 4 3 3 3 6 2 2" xfId="16142" xr:uid="{6C312C41-FDAA-4873-833B-614F4441A344}"/>
    <cellStyle name="Normal 4 3 3 3 6 3" xfId="11925" xr:uid="{785BA5CD-47C5-4CDF-AEE2-98C180E10D1B}"/>
    <cellStyle name="Normal 4 3 3 3 7" xfId="4751" xr:uid="{00000000-0005-0000-0000-000099140000}"/>
    <cellStyle name="Normal 4 3 3 3 7 2" xfId="14077" xr:uid="{E6058684-1163-4DC9-8206-C382453F88CA}"/>
    <cellStyle name="Normal 4 3 3 3 8" xfId="9028" xr:uid="{A0BD85BE-0D8B-455E-B326-708B8FF8A8C8}"/>
    <cellStyle name="Normal 4 3 3 3 8 2" xfId="18352" xr:uid="{1C0467C5-21FB-48AF-B00C-090098C32FEA}"/>
    <cellStyle name="Normal 4 3 3 3 9" xfId="9860" xr:uid="{197D911C-94EF-4950-9718-2210363E6912}"/>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C09ED13F-6589-4F8B-9772-71AE596C5A45}"/>
    <cellStyle name="Normal 4 3 3 4 2 3" xfId="12415" xr:uid="{2EA0D421-E38A-41B3-B032-BDFA6393AA67}"/>
    <cellStyle name="Normal 4 3 3 4 3" xfId="5161" xr:uid="{00000000-0005-0000-0000-00009D140000}"/>
    <cellStyle name="Normal 4 3 3 4 3 2" xfId="14487" xr:uid="{205C1000-7C0A-4CB7-A9E6-8C26F8EC2DD6}"/>
    <cellStyle name="Normal 4 3 3 4 4" xfId="9246" xr:uid="{E1107DA9-8F13-4216-80A2-CEA1D2EF57FC}"/>
    <cellStyle name="Normal 4 3 3 4 4 2" xfId="18561" xr:uid="{B7CA0D2E-B03F-4350-8FF6-DC9845595398}"/>
    <cellStyle name="Normal 4 3 3 4 5" xfId="10270" xr:uid="{3F21D9F7-6192-480D-A689-B14D513038FF}"/>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F29DD18B-F1A1-49BF-A69D-72577CB34D2C}"/>
    <cellStyle name="Normal 4 3 3 5 2 3" xfId="12828" xr:uid="{EF9F785D-61F6-4DC3-9EFB-6CBF5B71B6F1}"/>
    <cellStyle name="Normal 4 3 3 5 3" xfId="5574" xr:uid="{00000000-0005-0000-0000-0000A1140000}"/>
    <cellStyle name="Normal 4 3 3 5 3 2" xfId="14900" xr:uid="{5CEEBC98-A300-4C43-BD16-BE7AA3C45BF3}"/>
    <cellStyle name="Normal 4 3 3 5 4" xfId="10683" xr:uid="{FD7E38F6-527D-40D1-9832-868836BA409D}"/>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989FC537-2B20-4E7C-AB76-19668EC91806}"/>
    <cellStyle name="Normal 4 3 3 6 2 3" xfId="13241" xr:uid="{45BA800B-B5D1-4A24-8A00-F47AF5266E42}"/>
    <cellStyle name="Normal 4 3 3 6 3" xfId="5987" xr:uid="{00000000-0005-0000-0000-0000A5140000}"/>
    <cellStyle name="Normal 4 3 3 6 3 2" xfId="15313" xr:uid="{350E0711-315B-4680-BC2F-DA7AAA9EE0B1}"/>
    <cellStyle name="Normal 4 3 3 6 4" xfId="11096" xr:uid="{19170E20-1291-4EC8-88DD-D8E735C3D635}"/>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8BB1E0D2-E00D-4E75-84BE-288F1A4AFA06}"/>
    <cellStyle name="Normal 4 3 3 7 2 3" xfId="13654" xr:uid="{B2040AEC-0C02-4210-AA7D-1ED011573366}"/>
    <cellStyle name="Normal 4 3 3 7 3" xfId="6400" xr:uid="{00000000-0005-0000-0000-0000A9140000}"/>
    <cellStyle name="Normal 4 3 3 7 3 2" xfId="15726" xr:uid="{C2A08336-94A3-4D98-BB2A-206A9580CB32}"/>
    <cellStyle name="Normal 4 3 3 7 4" xfId="11509" xr:uid="{587B280A-4485-46A2-993E-AE78052C69D1}"/>
    <cellStyle name="Normal 4 3 3 8" xfId="2530" xr:uid="{00000000-0005-0000-0000-0000AA140000}"/>
    <cellStyle name="Normal 4 3 3 8 2" xfId="6813" xr:uid="{00000000-0005-0000-0000-0000AB140000}"/>
    <cellStyle name="Normal 4 3 3 8 2 2" xfId="16139" xr:uid="{8006FB23-9AA9-4497-B943-5040E65FA3B2}"/>
    <cellStyle name="Normal 4 3 3 8 3" xfId="11922" xr:uid="{AF8C3460-28DF-4DAA-8C55-B77D6920B6C7}"/>
    <cellStyle name="Normal 4 3 3 9" xfId="4748" xr:uid="{00000000-0005-0000-0000-0000AC140000}"/>
    <cellStyle name="Normal 4 3 3 9 2" xfId="14074" xr:uid="{C05CB640-72BB-48A7-979D-676612DC07F8}"/>
    <cellStyle name="Normal 4 3 4" xfId="842" xr:uid="{00000000-0005-0000-0000-0000AD140000}"/>
    <cellStyle name="Normal 4 3 4 2" xfId="3079" xr:uid="{00000000-0005-0000-0000-0000AE140000}"/>
    <cellStyle name="Normal 4 3 4 2 2" xfId="7301" xr:uid="{00000000-0005-0000-0000-0000AF140000}"/>
    <cellStyle name="Normal 4 3 4 2 2 2" xfId="16627" xr:uid="{0C54290B-E3C4-4B22-9819-49F92F9EA81F}"/>
    <cellStyle name="Normal 4 3 4 2 3" xfId="12410" xr:uid="{FF860DA4-B805-42A8-8B73-FD9DE5E64C41}"/>
    <cellStyle name="Normal 4 3 4 3" xfId="5156" xr:uid="{00000000-0005-0000-0000-0000B0140000}"/>
    <cellStyle name="Normal 4 3 4 3 2" xfId="14482" xr:uid="{5F4EFDCE-0FCE-4762-B354-EB628532EDCC}"/>
    <cellStyle name="Normal 4 3 4 4" xfId="9608" xr:uid="{C2EFFD2B-01D5-4B2B-BD85-BB4245D6A35E}"/>
    <cellStyle name="Normal 4 3 4 4 2" xfId="18909" xr:uid="{0965D4B9-BACD-4401-A51D-B917321591C7}"/>
    <cellStyle name="Normal 4 3 4 5" xfId="10265" xr:uid="{C29570BD-4529-4DE7-B5C8-9C11C66010DF}"/>
    <cellStyle name="Normal 4 3 5" xfId="1262" xr:uid="{00000000-0005-0000-0000-0000B1140000}"/>
    <cellStyle name="Normal 4 3 5 2" xfId="3492" xr:uid="{00000000-0005-0000-0000-0000B2140000}"/>
    <cellStyle name="Normal 4 3 5 2 2" xfId="7714" xr:uid="{00000000-0005-0000-0000-0000B3140000}"/>
    <cellStyle name="Normal 4 3 5 2 2 2" xfId="17040" xr:uid="{9A095A32-2915-4666-96A5-34A7B46376FB}"/>
    <cellStyle name="Normal 4 3 5 2 3" xfId="12823" xr:uid="{77DC1BB2-BB75-481B-ACDC-C1F164DFE86D}"/>
    <cellStyle name="Normal 4 3 5 3" xfId="5569" xr:uid="{00000000-0005-0000-0000-0000B4140000}"/>
    <cellStyle name="Normal 4 3 5 3 2" xfId="14895" xr:uid="{2ADDDDF1-D66D-4946-8E52-79AB4D7E35ED}"/>
    <cellStyle name="Normal 4 3 5 4" xfId="10678" xr:uid="{5BC8628C-7A11-4773-AF3F-849152E98E39}"/>
    <cellStyle name="Normal 4 3 6" xfId="1675" xr:uid="{00000000-0005-0000-0000-0000B5140000}"/>
    <cellStyle name="Normal 4 3 6 2" xfId="3905" xr:uid="{00000000-0005-0000-0000-0000B6140000}"/>
    <cellStyle name="Normal 4 3 6 2 2" xfId="8127" xr:uid="{00000000-0005-0000-0000-0000B7140000}"/>
    <cellStyle name="Normal 4 3 6 2 2 2" xfId="17453" xr:uid="{15380E71-0F89-49C7-8BBF-C58F76936AC7}"/>
    <cellStyle name="Normal 4 3 6 2 3" xfId="13236" xr:uid="{E0CF28D2-2FD4-4B14-B397-6DD35988B829}"/>
    <cellStyle name="Normal 4 3 6 3" xfId="5982" xr:uid="{00000000-0005-0000-0000-0000B8140000}"/>
    <cellStyle name="Normal 4 3 6 3 2" xfId="15308" xr:uid="{B1575E51-ADF0-4C5D-9DCC-F8281102937B}"/>
    <cellStyle name="Normal 4 3 6 4" xfId="11091" xr:uid="{EC837B43-0D0D-4431-8F80-804E3C3EA1E4}"/>
    <cellStyle name="Normal 4 3 7" xfId="2089" xr:uid="{00000000-0005-0000-0000-0000B9140000}"/>
    <cellStyle name="Normal 4 3 7 2" xfId="4318" xr:uid="{00000000-0005-0000-0000-0000BA140000}"/>
    <cellStyle name="Normal 4 3 7 2 2" xfId="8540" xr:uid="{00000000-0005-0000-0000-0000BB140000}"/>
    <cellStyle name="Normal 4 3 7 2 2 2" xfId="17866" xr:uid="{6B000F36-D4B2-4A7B-9688-353E03F514BA}"/>
    <cellStyle name="Normal 4 3 7 2 3" xfId="13649" xr:uid="{5FF4913F-A7EE-488C-B343-1DA90977C8AC}"/>
    <cellStyle name="Normal 4 3 7 3" xfId="6395" xr:uid="{00000000-0005-0000-0000-0000BC140000}"/>
    <cellStyle name="Normal 4 3 7 3 2" xfId="15721" xr:uid="{FD6D30C0-3827-4D3D-9479-F9AC4B66EA24}"/>
    <cellStyle name="Normal 4 3 7 4" xfId="11504" xr:uid="{8EB41BA1-81AA-4B85-AE12-38C0E8D87C71}"/>
    <cellStyle name="Normal 4 3 8" xfId="2525" xr:uid="{00000000-0005-0000-0000-0000BD140000}"/>
    <cellStyle name="Normal 4 3 8 2" xfId="6808" xr:uid="{00000000-0005-0000-0000-0000BE140000}"/>
    <cellStyle name="Normal 4 3 8 2 2" xfId="16134" xr:uid="{CD19DB94-A3DA-4E01-8194-11653CCC0CFC}"/>
    <cellStyle name="Normal 4 3 8 3" xfId="11917" xr:uid="{81778B30-9F2A-474B-BD73-1E44E2D9B624}"/>
    <cellStyle name="Normal 4 3 9" xfId="4743" xr:uid="{00000000-0005-0000-0000-0000BF140000}"/>
    <cellStyle name="Normal 4 3 9 2" xfId="14069" xr:uid="{93932FCA-14CF-4427-938C-B35199472AB2}"/>
    <cellStyle name="Normal 4 4" xfId="378" xr:uid="{00000000-0005-0000-0000-0000C0140000}"/>
    <cellStyle name="Normal 4 4 10" xfId="2534" xr:uid="{00000000-0005-0000-0000-0000C1140000}"/>
    <cellStyle name="Normal 4 4 10 2" xfId="6817" xr:uid="{00000000-0005-0000-0000-0000C2140000}"/>
    <cellStyle name="Normal 4 4 10 2 2" xfId="16143" xr:uid="{D0C0429E-CCF2-455D-96AD-FEFE6069C8D3}"/>
    <cellStyle name="Normal 4 4 10 3" xfId="11926" xr:uid="{90C64E26-5F99-4BDD-AEDE-C3579B6BAFA6}"/>
    <cellStyle name="Normal 4 4 11" xfId="4752" xr:uid="{00000000-0005-0000-0000-0000C3140000}"/>
    <cellStyle name="Normal 4 4 11 2" xfId="14078" xr:uid="{B85F8727-E773-4629-84E4-7A8E215E8098}"/>
    <cellStyle name="Normal 4 4 12" xfId="8749" xr:uid="{A91736B6-873D-4B1A-8B29-18DC69E5E65F}"/>
    <cellStyle name="Normal 4 4 12 2" xfId="18073" xr:uid="{A7E7D8E7-3C4D-4629-8680-63F19C07729B}"/>
    <cellStyle name="Normal 4 4 13" xfId="9861" xr:uid="{4C4CD0D4-4EC5-467E-9F47-7487380AB51B}"/>
    <cellStyle name="Normal 4 4 2" xfId="379" xr:uid="{00000000-0005-0000-0000-0000C4140000}"/>
    <cellStyle name="Normal 4 4 2 10" xfId="4753" xr:uid="{00000000-0005-0000-0000-0000C5140000}"/>
    <cellStyle name="Normal 4 4 2 10 2" xfId="14079" xr:uid="{9AA68E45-D020-41FA-9896-191A60439CFF}"/>
    <cellStyle name="Normal 4 4 2 11" xfId="8781" xr:uid="{12B8F0AD-1EB8-4D0A-9CAD-21DEEFEDAE41}"/>
    <cellStyle name="Normal 4 4 2 11 2" xfId="18105" xr:uid="{45E8CF55-5455-4693-8683-AC7A3DC08F26}"/>
    <cellStyle name="Normal 4 4 2 12" xfId="9862" xr:uid="{2C1BB461-7F50-469C-A825-CCE256CE7372}"/>
    <cellStyle name="Normal 4 4 2 2" xfId="380" xr:uid="{00000000-0005-0000-0000-0000C6140000}"/>
    <cellStyle name="Normal 4 4 2 2 10" xfId="8824" xr:uid="{FF218EA8-00A9-476B-AA88-FBBBBED2D06B}"/>
    <cellStyle name="Normal 4 4 2 2 10 2" xfId="18148" xr:uid="{0F9093A7-5E20-4CB1-8FA0-C2E9860097DB}"/>
    <cellStyle name="Normal 4 4 2 2 11" xfId="9863" xr:uid="{E6FE8449-1765-49FE-9625-170F6200909D}"/>
    <cellStyle name="Normal 4 4 2 2 2" xfId="381" xr:uid="{00000000-0005-0000-0000-0000C7140000}"/>
    <cellStyle name="Normal 4 4 2 2 2 10" xfId="9864" xr:uid="{094952E1-28F2-488B-8F34-4C9149389445}"/>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11F5A8E9-5C55-49A2-A193-4FB261EE0F67}"/>
    <cellStyle name="Normal 4 4 2 2 2 2 2 2 3" xfId="12423" xr:uid="{A51673FB-FDAC-4FEA-8B6C-C6F2CB539A4D}"/>
    <cellStyle name="Normal 4 4 2 2 2 2 2 3" xfId="5169" xr:uid="{00000000-0005-0000-0000-0000CC140000}"/>
    <cellStyle name="Normal 4 4 2 2 2 2 2 3 2" xfId="14495" xr:uid="{EA18B52F-1A43-47B5-A5F8-448577C435C5}"/>
    <cellStyle name="Normal 4 4 2 2 2 2 2 4" xfId="9559" xr:uid="{6E5E886C-D83F-47E6-AD2B-552CC2A98FD0}"/>
    <cellStyle name="Normal 4 4 2 2 2 2 2 4 2" xfId="18874" xr:uid="{A4B63416-B34F-42A0-BED7-372B8E92F03A}"/>
    <cellStyle name="Normal 4 4 2 2 2 2 2 5" xfId="10278" xr:uid="{F8E49CFD-F661-4D07-AE35-5C2648E96BCE}"/>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17442949-6844-4BAD-B082-487DE48917D2}"/>
    <cellStyle name="Normal 4 4 2 2 2 2 3 2 3" xfId="12836" xr:uid="{56411025-37AB-4C1B-88DB-80AE4870640E}"/>
    <cellStyle name="Normal 4 4 2 2 2 2 3 3" xfId="5582" xr:uid="{00000000-0005-0000-0000-0000D0140000}"/>
    <cellStyle name="Normal 4 4 2 2 2 2 3 3 2" xfId="14908" xr:uid="{F263C012-C29E-48E5-B7EB-DE09909015FE}"/>
    <cellStyle name="Normal 4 4 2 2 2 2 3 4" xfId="10691" xr:uid="{2ABFF1BE-8332-485C-BBD1-EF8B707AE8BF}"/>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3F0ECF57-D111-4AEA-9458-B491B9FD1F59}"/>
    <cellStyle name="Normal 4 4 2 2 2 2 4 2 3" xfId="13249" xr:uid="{41FC4FCD-27C4-4252-A307-CE5AE48052F1}"/>
    <cellStyle name="Normal 4 4 2 2 2 2 4 3" xfId="5995" xr:uid="{00000000-0005-0000-0000-0000D4140000}"/>
    <cellStyle name="Normal 4 4 2 2 2 2 4 3 2" xfId="15321" xr:uid="{2C1FC26D-D831-4198-B71D-C54BDAF04388}"/>
    <cellStyle name="Normal 4 4 2 2 2 2 4 4" xfId="11104" xr:uid="{D03BCBD8-A879-49E5-BDE4-3BBEB8CC3AFA}"/>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A17F43AB-44AD-4769-93AF-2D52FFBE2323}"/>
    <cellStyle name="Normal 4 4 2 2 2 2 5 2 3" xfId="13662" xr:uid="{D982303C-CACE-440C-A351-F7F92FF2472E}"/>
    <cellStyle name="Normal 4 4 2 2 2 2 5 3" xfId="6408" xr:uid="{00000000-0005-0000-0000-0000D8140000}"/>
    <cellStyle name="Normal 4 4 2 2 2 2 5 3 2" xfId="15734" xr:uid="{91A8DF51-6C94-46D4-B50E-C1246D155592}"/>
    <cellStyle name="Normal 4 4 2 2 2 2 5 4" xfId="11517" xr:uid="{810C7893-93B5-46E9-B127-AD8C36A67A5E}"/>
    <cellStyle name="Normal 4 4 2 2 2 2 6" xfId="2538" xr:uid="{00000000-0005-0000-0000-0000D9140000}"/>
    <cellStyle name="Normal 4 4 2 2 2 2 6 2" xfId="6821" xr:uid="{00000000-0005-0000-0000-0000DA140000}"/>
    <cellStyle name="Normal 4 4 2 2 2 2 6 2 2" xfId="16147" xr:uid="{5553462C-16CD-47A7-BEF3-9495DF429771}"/>
    <cellStyle name="Normal 4 4 2 2 2 2 6 3" xfId="11930" xr:uid="{1DA9A96C-A0F6-47EE-AE13-A24B7CF569FB}"/>
    <cellStyle name="Normal 4 4 2 2 2 2 7" xfId="4756" xr:uid="{00000000-0005-0000-0000-0000DB140000}"/>
    <cellStyle name="Normal 4 4 2 2 2 2 7 2" xfId="14082" xr:uid="{CE7E4A22-09F5-4396-950F-2E8AC410AE18}"/>
    <cellStyle name="Normal 4 4 2 2 2 2 8" xfId="9134" xr:uid="{B37D4C66-6754-4A5E-BFF7-77694E4355C2}"/>
    <cellStyle name="Normal 4 4 2 2 2 2 8 2" xfId="18458" xr:uid="{0E4D7020-23E5-43DC-A1DB-C8F27295D947}"/>
    <cellStyle name="Normal 4 4 2 2 2 2 9" xfId="9865" xr:uid="{0A5E0A60-C265-48C8-A6D6-4A407E8D14DC}"/>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4B27DB87-236D-4C29-8A37-6EE3C25C7648}"/>
    <cellStyle name="Normal 4 4 2 2 2 3 2 3" xfId="12422" xr:uid="{B9007FCA-C249-4383-BF3D-7B812B47810C}"/>
    <cellStyle name="Normal 4 4 2 2 2 3 3" xfId="5168" xr:uid="{00000000-0005-0000-0000-0000DF140000}"/>
    <cellStyle name="Normal 4 4 2 2 2 3 3 2" xfId="14494" xr:uid="{C33ADCB0-F18D-4CF7-9543-FA01562B9054}"/>
    <cellStyle name="Normal 4 4 2 2 2 3 4" xfId="9352" xr:uid="{76F31DA2-44D0-447F-BA9C-6271BA6AAE96}"/>
    <cellStyle name="Normal 4 4 2 2 2 3 4 2" xfId="18667" xr:uid="{A3AD2136-E8E8-4CE7-9EB7-4D52E5AFD207}"/>
    <cellStyle name="Normal 4 4 2 2 2 3 5" xfId="10277" xr:uid="{0E602181-FC42-41BD-BA03-25DDD605268A}"/>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BB79A263-8715-4970-BAE3-C84226DB3FFB}"/>
    <cellStyle name="Normal 4 4 2 2 2 4 2 3" xfId="12835" xr:uid="{D3BEE3EE-ED0A-491D-BCB9-BCD58FF269AB}"/>
    <cellStyle name="Normal 4 4 2 2 2 4 3" xfId="5581" xr:uid="{00000000-0005-0000-0000-0000E3140000}"/>
    <cellStyle name="Normal 4 4 2 2 2 4 3 2" xfId="14907" xr:uid="{73331E5D-0643-41CC-A02B-8281CFD8BA67}"/>
    <cellStyle name="Normal 4 4 2 2 2 4 4" xfId="10690" xr:uid="{EB800FDF-63C7-452C-AD6F-1A79ACDDFCE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05FA39C9-CEA1-4FB1-93D7-E65C1964BF13}"/>
    <cellStyle name="Normal 4 4 2 2 2 5 2 3" xfId="13248" xr:uid="{DAE8E4E3-2798-4C22-9AB3-94467B72E38B}"/>
    <cellStyle name="Normal 4 4 2 2 2 5 3" xfId="5994" xr:uid="{00000000-0005-0000-0000-0000E7140000}"/>
    <cellStyle name="Normal 4 4 2 2 2 5 3 2" xfId="15320" xr:uid="{CA06647E-27A2-4214-9A87-4DE3F57B8E33}"/>
    <cellStyle name="Normal 4 4 2 2 2 5 4" xfId="11103" xr:uid="{D1D2795C-2D61-4A23-8649-607A90F470A1}"/>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1D41E32D-DC90-4118-B03C-C0AC5ABF550A}"/>
    <cellStyle name="Normal 4 4 2 2 2 6 2 3" xfId="13661" xr:uid="{2A705A3D-9806-45A9-ACC1-09EC51016EFB}"/>
    <cellStyle name="Normal 4 4 2 2 2 6 3" xfId="6407" xr:uid="{00000000-0005-0000-0000-0000EB140000}"/>
    <cellStyle name="Normal 4 4 2 2 2 6 3 2" xfId="15733" xr:uid="{1CFEADB9-D40C-47DD-855F-D8BC173C7C59}"/>
    <cellStyle name="Normal 4 4 2 2 2 6 4" xfId="11516" xr:uid="{614ABC05-0AEB-46AB-B019-D1EAA56FA1D5}"/>
    <cellStyle name="Normal 4 4 2 2 2 7" xfId="2537" xr:uid="{00000000-0005-0000-0000-0000EC140000}"/>
    <cellStyle name="Normal 4 4 2 2 2 7 2" xfId="6820" xr:uid="{00000000-0005-0000-0000-0000ED140000}"/>
    <cellStyle name="Normal 4 4 2 2 2 7 2 2" xfId="16146" xr:uid="{788AFA37-997F-4968-A271-264DFEC9B6E5}"/>
    <cellStyle name="Normal 4 4 2 2 2 7 3" xfId="11929" xr:uid="{F8E62182-6CEE-4658-8844-29875AC29A26}"/>
    <cellStyle name="Normal 4 4 2 2 2 8" xfId="4755" xr:uid="{00000000-0005-0000-0000-0000EE140000}"/>
    <cellStyle name="Normal 4 4 2 2 2 8 2" xfId="14081" xr:uid="{4715F5BF-71A1-4F31-8AFE-D19837985201}"/>
    <cellStyle name="Normal 4 4 2 2 2 9" xfId="8927" xr:uid="{195B9197-F273-4D3B-B7A6-9CBAA360D528}"/>
    <cellStyle name="Normal 4 4 2 2 2 9 2" xfId="18251" xr:uid="{AF1A2FA7-4877-4FB6-9663-E5FC61A02897}"/>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224F81FF-CFF5-4B50-83B5-6DD08BEA3146}"/>
    <cellStyle name="Normal 4 4 2 2 3 2 2 3" xfId="12424" xr:uid="{CADA95E2-F70D-43D9-B71E-1D0A6754304A}"/>
    <cellStyle name="Normal 4 4 2 2 3 2 3" xfId="5170" xr:uid="{00000000-0005-0000-0000-0000F3140000}"/>
    <cellStyle name="Normal 4 4 2 2 3 2 3 2" xfId="14496" xr:uid="{5A482594-3146-42A6-BED5-2FD37C3C23D7}"/>
    <cellStyle name="Normal 4 4 2 2 3 2 4" xfId="9456" xr:uid="{7CB0B972-68D8-4A2C-A3A7-1D2BD109E44A}"/>
    <cellStyle name="Normal 4 4 2 2 3 2 4 2" xfId="18771" xr:uid="{529685A8-1DD5-4C24-B3A6-DDE90EFDAC86}"/>
    <cellStyle name="Normal 4 4 2 2 3 2 5" xfId="10279" xr:uid="{7EB56C43-CCC4-4442-99E2-9A50809D2A23}"/>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ADB4681B-D002-4257-8EFE-066A7F0B4B6C}"/>
    <cellStyle name="Normal 4 4 2 2 3 3 2 3" xfId="12837" xr:uid="{D4207D91-4270-46DC-9B6D-70FAB0881628}"/>
    <cellStyle name="Normal 4 4 2 2 3 3 3" xfId="5583" xr:uid="{00000000-0005-0000-0000-0000F7140000}"/>
    <cellStyle name="Normal 4 4 2 2 3 3 3 2" xfId="14909" xr:uid="{65E2B60F-B838-480E-B6B8-D31E3063177A}"/>
    <cellStyle name="Normal 4 4 2 2 3 3 4" xfId="10692" xr:uid="{D16373B5-4191-4141-9751-6434B6CAB548}"/>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A786977F-B3AB-42D1-8793-BAFA26355E1A}"/>
    <cellStyle name="Normal 4 4 2 2 3 4 2 3" xfId="13250" xr:uid="{ACB324B3-50B5-429B-B495-4B549D24B5B4}"/>
    <cellStyle name="Normal 4 4 2 2 3 4 3" xfId="5996" xr:uid="{00000000-0005-0000-0000-0000FB140000}"/>
    <cellStyle name="Normal 4 4 2 2 3 4 3 2" xfId="15322" xr:uid="{1344BE12-979D-4317-8F95-4773AA0264F3}"/>
    <cellStyle name="Normal 4 4 2 2 3 4 4" xfId="11105" xr:uid="{E64D79D8-0DFA-46F4-88D9-F62BCE694903}"/>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22639F1B-0A83-4197-9BE6-AD537B0B1064}"/>
    <cellStyle name="Normal 4 4 2 2 3 5 2 3" xfId="13663" xr:uid="{7CFF27E2-75F6-4608-BD8B-EA258E1D60BD}"/>
    <cellStyle name="Normal 4 4 2 2 3 5 3" xfId="6409" xr:uid="{00000000-0005-0000-0000-0000FF140000}"/>
    <cellStyle name="Normal 4 4 2 2 3 5 3 2" xfId="15735" xr:uid="{57CFE93C-2613-447C-B488-13EED5ADCF35}"/>
    <cellStyle name="Normal 4 4 2 2 3 5 4" xfId="11518" xr:uid="{4F4E8AF6-0BC1-496C-B651-12ED7CA6234F}"/>
    <cellStyle name="Normal 4 4 2 2 3 6" xfId="2539" xr:uid="{00000000-0005-0000-0000-000000150000}"/>
    <cellStyle name="Normal 4 4 2 2 3 6 2" xfId="6822" xr:uid="{00000000-0005-0000-0000-000001150000}"/>
    <cellStyle name="Normal 4 4 2 2 3 6 2 2" xfId="16148" xr:uid="{82632493-A7A5-45B2-94FE-B375167A1D6F}"/>
    <cellStyle name="Normal 4 4 2 2 3 6 3" xfId="11931" xr:uid="{15D618AD-28C9-46FE-8E94-526AC564A72F}"/>
    <cellStyle name="Normal 4 4 2 2 3 7" xfId="4757" xr:uid="{00000000-0005-0000-0000-000002150000}"/>
    <cellStyle name="Normal 4 4 2 2 3 7 2" xfId="14083" xr:uid="{0DA12C0E-B8E3-4376-9DC3-120171B408CE}"/>
    <cellStyle name="Normal 4 4 2 2 3 8" xfId="9031" xr:uid="{F1B59444-328A-4279-8A0A-A9F7E26061D5}"/>
    <cellStyle name="Normal 4 4 2 2 3 8 2" xfId="18355" xr:uid="{D595954D-344D-4046-93C6-4776D7B009D0}"/>
    <cellStyle name="Normal 4 4 2 2 3 9" xfId="9866" xr:uid="{890AA5EA-430A-43E8-B27D-C4A9294C7381}"/>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892FFF56-9079-44B3-8D77-CBD27D08BF07}"/>
    <cellStyle name="Normal 4 4 2 2 4 2 3" xfId="12421" xr:uid="{D25766BE-D22D-46E8-81BB-E7875804167D}"/>
    <cellStyle name="Normal 4 4 2 2 4 3" xfId="5167" xr:uid="{00000000-0005-0000-0000-000006150000}"/>
    <cellStyle name="Normal 4 4 2 2 4 3 2" xfId="14493" xr:uid="{A142349A-2C64-4692-B3FB-A5CA00B0667D}"/>
    <cellStyle name="Normal 4 4 2 2 4 4" xfId="9249" xr:uid="{7E4CA7C7-738D-4CFA-907A-40590344548A}"/>
    <cellStyle name="Normal 4 4 2 2 4 4 2" xfId="18564" xr:uid="{BD8C8D90-8F36-469A-84EC-09AE369E9801}"/>
    <cellStyle name="Normal 4 4 2 2 4 5" xfId="10276" xr:uid="{E4D1A5C8-5306-407A-9848-7C912FA6CD3B}"/>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83FACC7B-E887-4E59-8B1A-F9E9A6FEB9ED}"/>
    <cellStyle name="Normal 4 4 2 2 5 2 3" xfId="12834" xr:uid="{E9A3E2E0-63F6-4003-A8EA-CCAD53B3D888}"/>
    <cellStyle name="Normal 4 4 2 2 5 3" xfId="5580" xr:uid="{00000000-0005-0000-0000-00000A150000}"/>
    <cellStyle name="Normal 4 4 2 2 5 3 2" xfId="14906" xr:uid="{F1E02907-BF87-4430-A58C-4188A4D85943}"/>
    <cellStyle name="Normal 4 4 2 2 5 4" xfId="10689" xr:uid="{130BD3B1-1510-4215-9F64-E75CD0C2923F}"/>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181DD9BE-4904-4C1C-948E-46E70A39817F}"/>
    <cellStyle name="Normal 4 4 2 2 6 2 3" xfId="13247" xr:uid="{6BCB1C87-5B48-4C6B-8188-FBF691427A3E}"/>
    <cellStyle name="Normal 4 4 2 2 6 3" xfId="5993" xr:uid="{00000000-0005-0000-0000-00000E150000}"/>
    <cellStyle name="Normal 4 4 2 2 6 3 2" xfId="15319" xr:uid="{78EA8B6E-36D0-4AF1-9833-10CFE23E1367}"/>
    <cellStyle name="Normal 4 4 2 2 6 4" xfId="11102" xr:uid="{DFF90072-33C8-4BAC-8E96-98157A93868C}"/>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076FAEE9-915F-4184-96AE-0855649F3BEA}"/>
    <cellStyle name="Normal 4 4 2 2 7 2 3" xfId="13660" xr:uid="{8DB5F0F6-2C33-4E4E-96C9-740ED77797DC}"/>
    <cellStyle name="Normal 4 4 2 2 7 3" xfId="6406" xr:uid="{00000000-0005-0000-0000-000012150000}"/>
    <cellStyle name="Normal 4 4 2 2 7 3 2" xfId="15732" xr:uid="{7EC2EF0B-DE57-4C31-8E92-73630DF5E791}"/>
    <cellStyle name="Normal 4 4 2 2 7 4" xfId="11515" xr:uid="{CE54F433-E27E-435D-A48A-09F1F976395E}"/>
    <cellStyle name="Normal 4 4 2 2 8" xfId="2536" xr:uid="{00000000-0005-0000-0000-000013150000}"/>
    <cellStyle name="Normal 4 4 2 2 8 2" xfId="6819" xr:uid="{00000000-0005-0000-0000-000014150000}"/>
    <cellStyle name="Normal 4 4 2 2 8 2 2" xfId="16145" xr:uid="{39763879-A769-4CE1-B353-A0D1D6249D25}"/>
    <cellStyle name="Normal 4 4 2 2 8 3" xfId="11928" xr:uid="{A8B2D193-103A-452B-82F4-6D1A52F6B530}"/>
    <cellStyle name="Normal 4 4 2 2 9" xfId="4754" xr:uid="{00000000-0005-0000-0000-000015150000}"/>
    <cellStyle name="Normal 4 4 2 2 9 2" xfId="14080" xr:uid="{781EAA22-CBD7-44AD-9DCC-5D968572500B}"/>
    <cellStyle name="Normal 4 4 2 3" xfId="384" xr:uid="{00000000-0005-0000-0000-000016150000}"/>
    <cellStyle name="Normal 4 4 2 3 10" xfId="9867" xr:uid="{E2EA0105-5FB7-4BDE-8145-25ED140DE9D1}"/>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8ECF3E51-4ADB-4A1A-9318-2E8FC7A61B06}"/>
    <cellStyle name="Normal 4 4 2 3 2 2 2 3" xfId="12426" xr:uid="{D41A0E5B-2C65-4206-B116-EC59407FEAEA}"/>
    <cellStyle name="Normal 4 4 2 3 2 2 3" xfId="5172" xr:uid="{00000000-0005-0000-0000-00001B150000}"/>
    <cellStyle name="Normal 4 4 2 3 2 2 3 2" xfId="14498" xr:uid="{202B6496-E263-4758-9AE0-C4240DE3F7F3}"/>
    <cellStyle name="Normal 4 4 2 3 2 2 4" xfId="9516" xr:uid="{93008D3B-5827-4778-B167-5B518B5BF56F}"/>
    <cellStyle name="Normal 4 4 2 3 2 2 4 2" xfId="18831" xr:uid="{0E353CA6-6261-487B-8E88-4940DF406B32}"/>
    <cellStyle name="Normal 4 4 2 3 2 2 5" xfId="10281" xr:uid="{F4081467-73AE-4404-9D18-C8E621A91FA4}"/>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BD09108D-F12B-42EC-9AEC-7613F2A0477A}"/>
    <cellStyle name="Normal 4 4 2 3 2 3 2 3" xfId="12839" xr:uid="{F75B1968-9F5B-4F6D-A656-25F1B99A653F}"/>
    <cellStyle name="Normal 4 4 2 3 2 3 3" xfId="5585" xr:uid="{00000000-0005-0000-0000-00001F150000}"/>
    <cellStyle name="Normal 4 4 2 3 2 3 3 2" xfId="14911" xr:uid="{93DB0549-141F-441C-9AAB-2D9CAF9E46FE}"/>
    <cellStyle name="Normal 4 4 2 3 2 3 4" xfId="10694" xr:uid="{B0087AEA-C062-4B02-BD0C-BAD43EF572C5}"/>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28EAB67F-BF90-4012-863F-B4CF19E752C5}"/>
    <cellStyle name="Normal 4 4 2 3 2 4 2 3" xfId="13252" xr:uid="{F51D64D5-3223-4B89-8E5F-00253BE37B48}"/>
    <cellStyle name="Normal 4 4 2 3 2 4 3" xfId="5998" xr:uid="{00000000-0005-0000-0000-000023150000}"/>
    <cellStyle name="Normal 4 4 2 3 2 4 3 2" xfId="15324" xr:uid="{534874B8-1986-478A-A1AC-07F117D16851}"/>
    <cellStyle name="Normal 4 4 2 3 2 4 4" xfId="11107" xr:uid="{8BB5B5A0-A267-42E9-A766-C83EC82D7A6F}"/>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C4C8C83B-005F-4072-87F5-1CAD7BBCBE16}"/>
    <cellStyle name="Normal 4 4 2 3 2 5 2 3" xfId="13665" xr:uid="{07D0CB61-0AC1-4684-894B-75906CEC17FD}"/>
    <cellStyle name="Normal 4 4 2 3 2 5 3" xfId="6411" xr:uid="{00000000-0005-0000-0000-000027150000}"/>
    <cellStyle name="Normal 4 4 2 3 2 5 3 2" xfId="15737" xr:uid="{80787F99-861A-494F-A60E-D3A80DD6F9F3}"/>
    <cellStyle name="Normal 4 4 2 3 2 5 4" xfId="11520" xr:uid="{731FF0FD-93F8-49C0-87B6-3CA205A2BE8F}"/>
    <cellStyle name="Normal 4 4 2 3 2 6" xfId="2541" xr:uid="{00000000-0005-0000-0000-000028150000}"/>
    <cellStyle name="Normal 4 4 2 3 2 6 2" xfId="6824" xr:uid="{00000000-0005-0000-0000-000029150000}"/>
    <cellStyle name="Normal 4 4 2 3 2 6 2 2" xfId="16150" xr:uid="{75EBB906-7120-4369-B262-36A8BF4ADA2E}"/>
    <cellStyle name="Normal 4 4 2 3 2 6 3" xfId="11933" xr:uid="{11E90C5C-AFE7-4890-886D-725766922B6B}"/>
    <cellStyle name="Normal 4 4 2 3 2 7" xfId="4759" xr:uid="{00000000-0005-0000-0000-00002A150000}"/>
    <cellStyle name="Normal 4 4 2 3 2 7 2" xfId="14085" xr:uid="{DBC033FF-BF7E-4786-A1C7-359C6D8FE819}"/>
    <cellStyle name="Normal 4 4 2 3 2 8" xfId="9091" xr:uid="{9DBAED0A-05EE-4674-B1B7-8D03DBB53301}"/>
    <cellStyle name="Normal 4 4 2 3 2 8 2" xfId="18415" xr:uid="{2F70B285-BB23-4F47-A7F6-451C6EA54130}"/>
    <cellStyle name="Normal 4 4 2 3 2 9" xfId="9868" xr:uid="{E87A2AEF-8865-4D0C-8449-5E7993C7D6A8}"/>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0DB18ED4-BC7B-4121-BB08-33060EEA54A9}"/>
    <cellStyle name="Normal 4 4 2 3 3 2 3" xfId="12425" xr:uid="{B9F89C41-ED31-443D-84D0-0BD54603EDE6}"/>
    <cellStyle name="Normal 4 4 2 3 3 3" xfId="5171" xr:uid="{00000000-0005-0000-0000-00002E150000}"/>
    <cellStyle name="Normal 4 4 2 3 3 3 2" xfId="14497" xr:uid="{E9D9667A-4CB1-4081-A764-76B0E7EAF245}"/>
    <cellStyle name="Normal 4 4 2 3 3 4" xfId="9309" xr:uid="{73E912F6-92AF-449E-AE53-1DEDEF686C0F}"/>
    <cellStyle name="Normal 4 4 2 3 3 4 2" xfId="18624" xr:uid="{167EFF28-2360-4E7B-9BB1-D18F3BDB54D6}"/>
    <cellStyle name="Normal 4 4 2 3 3 5" xfId="10280" xr:uid="{A69E1A86-55CB-4817-A853-3049791BA594}"/>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C7506D03-F9FB-42E5-818D-1EE38FD73658}"/>
    <cellStyle name="Normal 4 4 2 3 4 2 3" xfId="12838" xr:uid="{E7D071F6-1721-47FE-B493-7F37ED2F8D03}"/>
    <cellStyle name="Normal 4 4 2 3 4 3" xfId="5584" xr:uid="{00000000-0005-0000-0000-000032150000}"/>
    <cellStyle name="Normal 4 4 2 3 4 3 2" xfId="14910" xr:uid="{D970B60F-D9AE-49D3-A1A5-8C00C073993E}"/>
    <cellStyle name="Normal 4 4 2 3 4 4" xfId="10693" xr:uid="{D940F4BA-9D92-450F-A138-50B05B5FDC7C}"/>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D8D03C26-0786-4694-84DF-0C991D0F4F61}"/>
    <cellStyle name="Normal 4 4 2 3 5 2 3" xfId="13251" xr:uid="{73A6E773-96B3-4135-BB08-FA798A98A259}"/>
    <cellStyle name="Normal 4 4 2 3 5 3" xfId="5997" xr:uid="{00000000-0005-0000-0000-000036150000}"/>
    <cellStyle name="Normal 4 4 2 3 5 3 2" xfId="15323" xr:uid="{6E219EC1-7976-4079-9AD8-969BC3A26C9D}"/>
    <cellStyle name="Normal 4 4 2 3 5 4" xfId="11106" xr:uid="{FF91DBA9-EA92-46FC-A8F7-3440E681770B}"/>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35BD3C78-B0F1-443C-9374-B2EE140A8C5F}"/>
    <cellStyle name="Normal 4 4 2 3 6 2 3" xfId="13664" xr:uid="{A91E9BB4-275A-4DE7-929D-F5CD4BDCA7BB}"/>
    <cellStyle name="Normal 4 4 2 3 6 3" xfId="6410" xr:uid="{00000000-0005-0000-0000-00003A150000}"/>
    <cellStyle name="Normal 4 4 2 3 6 3 2" xfId="15736" xr:uid="{48E5EEE5-1A0E-444F-A4F1-66FA5882378D}"/>
    <cellStyle name="Normal 4 4 2 3 6 4" xfId="11519" xr:uid="{2AB04619-1EE0-43B0-AB95-DE4482BDDEFC}"/>
    <cellStyle name="Normal 4 4 2 3 7" xfId="2540" xr:uid="{00000000-0005-0000-0000-00003B150000}"/>
    <cellStyle name="Normal 4 4 2 3 7 2" xfId="6823" xr:uid="{00000000-0005-0000-0000-00003C150000}"/>
    <cellStyle name="Normal 4 4 2 3 7 2 2" xfId="16149" xr:uid="{FF70AB70-5713-4969-AC10-1ECF0CAE2AF6}"/>
    <cellStyle name="Normal 4 4 2 3 7 3" xfId="11932" xr:uid="{87DD53AD-5230-4AC2-8B3C-6E98F378CBE1}"/>
    <cellStyle name="Normal 4 4 2 3 8" xfId="4758" xr:uid="{00000000-0005-0000-0000-00003D150000}"/>
    <cellStyle name="Normal 4 4 2 3 8 2" xfId="14084" xr:uid="{5B38ACAD-7D38-49F2-B5D6-7DCC05D87962}"/>
    <cellStyle name="Normal 4 4 2 3 9" xfId="8884" xr:uid="{CBA8CCC0-D2E2-46C8-AC83-39734599F615}"/>
    <cellStyle name="Normal 4 4 2 3 9 2" xfId="18208" xr:uid="{0FF034F7-2481-4228-AF3A-20D30A2EDFD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A071C6B9-E5E8-4154-A0CE-68F4B6999DB1}"/>
    <cellStyle name="Normal 4 4 2 4 2 2 3" xfId="12427" xr:uid="{6E72E4FA-16F8-4C62-97B7-3A83B8E05AE7}"/>
    <cellStyle name="Normal 4 4 2 4 2 3" xfId="5173" xr:uid="{00000000-0005-0000-0000-000042150000}"/>
    <cellStyle name="Normal 4 4 2 4 2 3 2" xfId="14499" xr:uid="{7E30085A-4418-47B5-8998-990C770D4C63}"/>
    <cellStyle name="Normal 4 4 2 4 2 4" xfId="9413" xr:uid="{4DC092EA-7C69-4E02-9FE8-33F62D070F54}"/>
    <cellStyle name="Normal 4 4 2 4 2 4 2" xfId="18728" xr:uid="{E71CECD1-BE04-455F-A734-15366E7E1A95}"/>
    <cellStyle name="Normal 4 4 2 4 2 5" xfId="10282" xr:uid="{38DBFED8-F727-43D7-92EF-2E0B53B2A614}"/>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6634A0C0-908A-4853-87A6-B9080FCAB01B}"/>
    <cellStyle name="Normal 4 4 2 4 3 2 3" xfId="12840" xr:uid="{268DF68F-1993-4CA6-88B6-5F6B7D58FE75}"/>
    <cellStyle name="Normal 4 4 2 4 3 3" xfId="5586" xr:uid="{00000000-0005-0000-0000-000046150000}"/>
    <cellStyle name="Normal 4 4 2 4 3 3 2" xfId="14912" xr:uid="{F6E92486-CDC3-4BB4-B895-471936C0C234}"/>
    <cellStyle name="Normal 4 4 2 4 3 4" xfId="10695" xr:uid="{3BBFBC52-8D62-4275-B9EF-9DB4B1BCD2A9}"/>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FB1C56C6-660B-4550-BD16-2D42D98FF94C}"/>
    <cellStyle name="Normal 4 4 2 4 4 2 3" xfId="13253" xr:uid="{3F6FF269-05D6-440C-9325-AB635F080A72}"/>
    <cellStyle name="Normal 4 4 2 4 4 3" xfId="5999" xr:uid="{00000000-0005-0000-0000-00004A150000}"/>
    <cellStyle name="Normal 4 4 2 4 4 3 2" xfId="15325" xr:uid="{5CED6F32-55FC-45A6-B9E6-4DEE76E13AAD}"/>
    <cellStyle name="Normal 4 4 2 4 4 4" xfId="11108" xr:uid="{9E18DA8A-61A6-4355-9C43-EB0F8EFCCC72}"/>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84B838CF-1E99-4659-B965-C018E5E482A8}"/>
    <cellStyle name="Normal 4 4 2 4 5 2 3" xfId="13666" xr:uid="{0A6FDD73-38DF-4072-A7CF-27845992DA2B}"/>
    <cellStyle name="Normal 4 4 2 4 5 3" xfId="6412" xr:uid="{00000000-0005-0000-0000-00004E150000}"/>
    <cellStyle name="Normal 4 4 2 4 5 3 2" xfId="15738" xr:uid="{F44D2444-DB92-4EB1-9B31-93F3900C9C02}"/>
    <cellStyle name="Normal 4 4 2 4 5 4" xfId="11521" xr:uid="{FAEE82E5-8606-4982-B749-D64FE098F265}"/>
    <cellStyle name="Normal 4 4 2 4 6" xfId="2542" xr:uid="{00000000-0005-0000-0000-00004F150000}"/>
    <cellStyle name="Normal 4 4 2 4 6 2" xfId="6825" xr:uid="{00000000-0005-0000-0000-000050150000}"/>
    <cellStyle name="Normal 4 4 2 4 6 2 2" xfId="16151" xr:uid="{2D687964-C5D7-460B-B0C6-772C18EC98C5}"/>
    <cellStyle name="Normal 4 4 2 4 6 3" xfId="11934" xr:uid="{3FBEBCF6-0EE2-44DF-B3C4-EBF9E0649470}"/>
    <cellStyle name="Normal 4 4 2 4 7" xfId="4760" xr:uid="{00000000-0005-0000-0000-000051150000}"/>
    <cellStyle name="Normal 4 4 2 4 7 2" xfId="14086" xr:uid="{CC04135A-30C1-4B6F-9136-C6841EED3FC7}"/>
    <cellStyle name="Normal 4 4 2 4 8" xfId="8988" xr:uid="{F852E7B0-7ACD-4401-B3B6-BE989A5C8AD5}"/>
    <cellStyle name="Normal 4 4 2 4 8 2" xfId="18312" xr:uid="{EFE7BB04-3B26-4653-B04B-56CA79BF3EF5}"/>
    <cellStyle name="Normal 4 4 2 4 9" xfId="9869" xr:uid="{168083C4-B344-4A65-84D9-FCED4EBA509A}"/>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3AF9E3A5-42C9-46C4-9D8E-C83CE52F5E30}"/>
    <cellStyle name="Normal 4 4 2 5 2 3" xfId="12420" xr:uid="{DE549D38-FE78-4405-B560-CE7F6B531CA8}"/>
    <cellStyle name="Normal 4 4 2 5 3" xfId="5166" xr:uid="{00000000-0005-0000-0000-000055150000}"/>
    <cellStyle name="Normal 4 4 2 5 3 2" xfId="14492" xr:uid="{EB3365CC-06F6-4880-956E-169637358BB1}"/>
    <cellStyle name="Normal 4 4 2 5 4" xfId="9205" xr:uid="{A63DE01D-3EC8-40FC-A47E-E0EA001EED52}"/>
    <cellStyle name="Normal 4 4 2 5 4 2" xfId="18521" xr:uid="{AECB76F5-2399-4394-814E-D6290AC6AC42}"/>
    <cellStyle name="Normal 4 4 2 5 5" xfId="10275" xr:uid="{F2BF9942-FF6E-449D-A446-8CF2D5A1EC7E}"/>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67049726-C1FF-41B4-B502-CF7C43BF66EE}"/>
    <cellStyle name="Normal 4 4 2 6 2 3" xfId="12833" xr:uid="{EF4B2DD1-7782-4E52-847E-963C5024E583}"/>
    <cellStyle name="Normal 4 4 2 6 3" xfId="5579" xr:uid="{00000000-0005-0000-0000-000059150000}"/>
    <cellStyle name="Normal 4 4 2 6 3 2" xfId="14905" xr:uid="{CD4D283A-7DF7-4163-AC7B-5EBA7E497681}"/>
    <cellStyle name="Normal 4 4 2 6 4" xfId="10688" xr:uid="{F10A9FFF-AC51-4EDC-B74B-DB1838098332}"/>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5D3844FD-CDA1-4264-8788-7FCFC2C99A1E}"/>
    <cellStyle name="Normal 4 4 2 7 2 3" xfId="13246" xr:uid="{3E6B125A-D330-4681-8B97-2F27514C45E3}"/>
    <cellStyle name="Normal 4 4 2 7 3" xfId="5992" xr:uid="{00000000-0005-0000-0000-00005D150000}"/>
    <cellStyle name="Normal 4 4 2 7 3 2" xfId="15318" xr:uid="{B3E78AAB-0665-458F-993A-6A6D48F0A50C}"/>
    <cellStyle name="Normal 4 4 2 7 4" xfId="11101" xr:uid="{8D3C6C44-3AA9-4432-871E-604724A2FE4B}"/>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52C8ACD1-D352-4961-8262-F73CC0C4CAAB}"/>
    <cellStyle name="Normal 4 4 2 8 2 3" xfId="13659" xr:uid="{E92D8444-BF41-484F-BB01-DDB586EDD7B2}"/>
    <cellStyle name="Normal 4 4 2 8 3" xfId="6405" xr:uid="{00000000-0005-0000-0000-000061150000}"/>
    <cellStyle name="Normal 4 4 2 8 3 2" xfId="15731" xr:uid="{F2BB930A-A55B-4D8F-8237-0BB9F4578995}"/>
    <cellStyle name="Normal 4 4 2 8 4" xfId="11514" xr:uid="{77946E4C-3130-489A-95C3-8C0C7BD36BA2}"/>
    <cellStyle name="Normal 4 4 2 9" xfId="2535" xr:uid="{00000000-0005-0000-0000-000062150000}"/>
    <cellStyle name="Normal 4 4 2 9 2" xfId="6818" xr:uid="{00000000-0005-0000-0000-000063150000}"/>
    <cellStyle name="Normal 4 4 2 9 2 2" xfId="16144" xr:uid="{F3B8AD60-3F7E-4142-931A-1903D8FD1AA0}"/>
    <cellStyle name="Normal 4 4 2 9 3" xfId="11927" xr:uid="{BF9979FA-38C8-4A8C-B763-8EACA8BB6D96}"/>
    <cellStyle name="Normal 4 4 3" xfId="387" xr:uid="{00000000-0005-0000-0000-000064150000}"/>
    <cellStyle name="Normal 4 4 3 10" xfId="8823" xr:uid="{E623F102-F69B-4FD0-BEDA-A1480AF4D892}"/>
    <cellStyle name="Normal 4 4 3 10 2" xfId="18147" xr:uid="{203EDF69-D894-455E-8DC4-583145B11327}"/>
    <cellStyle name="Normal 4 4 3 11" xfId="9870" xr:uid="{E7A75E9B-3301-408B-AFED-386DCC708553}"/>
    <cellStyle name="Normal 4 4 3 2" xfId="388" xr:uid="{00000000-0005-0000-0000-000065150000}"/>
    <cellStyle name="Normal 4 4 3 2 10" xfId="9871" xr:uid="{0331AFF6-AD73-4630-B4D2-BCAF7A3F70EB}"/>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9A59196F-182B-4544-9207-A6BB2251AC36}"/>
    <cellStyle name="Normal 4 4 3 2 2 2 2 3" xfId="12430" xr:uid="{BB77C69D-B60B-4A57-8BE3-6E4D8A7FE287}"/>
    <cellStyle name="Normal 4 4 3 2 2 2 3" xfId="5176" xr:uid="{00000000-0005-0000-0000-00006A150000}"/>
    <cellStyle name="Normal 4 4 3 2 2 2 3 2" xfId="14502" xr:uid="{04195F8E-95C0-418D-BA24-2552189A312B}"/>
    <cellStyle name="Normal 4 4 3 2 2 2 4" xfId="9558" xr:uid="{8C9519E6-5920-473D-9749-EC61E4877632}"/>
    <cellStyle name="Normal 4 4 3 2 2 2 4 2" xfId="18873" xr:uid="{80770A4F-BDCC-4C41-9ABC-1554BCAC83A2}"/>
    <cellStyle name="Normal 4 4 3 2 2 2 5" xfId="10285" xr:uid="{8FE35552-E671-4AA4-B25E-AE6ACFEB5A9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D527D474-0A30-4D5B-8380-65C19589226B}"/>
    <cellStyle name="Normal 4 4 3 2 2 3 2 3" xfId="12843" xr:uid="{754BFA77-7DA4-4DBA-9D70-14ED1EAEB2BB}"/>
    <cellStyle name="Normal 4 4 3 2 2 3 3" xfId="5589" xr:uid="{00000000-0005-0000-0000-00006E150000}"/>
    <cellStyle name="Normal 4 4 3 2 2 3 3 2" xfId="14915" xr:uid="{DA8316F3-2471-4568-AF07-DA3315D5325E}"/>
    <cellStyle name="Normal 4 4 3 2 2 3 4" xfId="10698" xr:uid="{9485EBB4-F603-476E-B1C1-920BEAAACF76}"/>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622B66A1-4442-4F48-A042-E448DD6C7C4B}"/>
    <cellStyle name="Normal 4 4 3 2 2 4 2 3" xfId="13256" xr:uid="{8E9D6563-2F31-436F-AD9D-D5EE1FBD563D}"/>
    <cellStyle name="Normal 4 4 3 2 2 4 3" xfId="6002" xr:uid="{00000000-0005-0000-0000-000072150000}"/>
    <cellStyle name="Normal 4 4 3 2 2 4 3 2" xfId="15328" xr:uid="{F37DE8AE-E595-4513-BF9E-8264B2353714}"/>
    <cellStyle name="Normal 4 4 3 2 2 4 4" xfId="11111" xr:uid="{20A3468A-5DE7-47BC-8978-45827AD6B542}"/>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EFA2EF53-9938-4050-A8DB-CE9088B9EDAE}"/>
    <cellStyle name="Normal 4 4 3 2 2 5 2 3" xfId="13669" xr:uid="{F9215613-8E3C-4546-BC63-E540D4810F00}"/>
    <cellStyle name="Normal 4 4 3 2 2 5 3" xfId="6415" xr:uid="{00000000-0005-0000-0000-000076150000}"/>
    <cellStyle name="Normal 4 4 3 2 2 5 3 2" xfId="15741" xr:uid="{BB8165FD-AB38-46B4-962A-5C138A030E12}"/>
    <cellStyle name="Normal 4 4 3 2 2 5 4" xfId="11524" xr:uid="{3FC962B3-ED3C-4BE2-A7A9-3C8A76C24808}"/>
    <cellStyle name="Normal 4 4 3 2 2 6" xfId="2545" xr:uid="{00000000-0005-0000-0000-000077150000}"/>
    <cellStyle name="Normal 4 4 3 2 2 6 2" xfId="6828" xr:uid="{00000000-0005-0000-0000-000078150000}"/>
    <cellStyle name="Normal 4 4 3 2 2 6 2 2" xfId="16154" xr:uid="{53DB138E-2727-4CCB-83DF-980E3F8D44B3}"/>
    <cellStyle name="Normal 4 4 3 2 2 6 3" xfId="11937" xr:uid="{89D03924-4FE8-4759-AF30-21675975FD1C}"/>
    <cellStyle name="Normal 4 4 3 2 2 7" xfId="4763" xr:uid="{00000000-0005-0000-0000-000079150000}"/>
    <cellStyle name="Normal 4 4 3 2 2 7 2" xfId="14089" xr:uid="{60C59B2A-A54B-4686-9F66-78D308B71E9C}"/>
    <cellStyle name="Normal 4 4 3 2 2 8" xfId="9133" xr:uid="{37002A66-D58A-4EF9-8D22-8F1A3EE99E08}"/>
    <cellStyle name="Normal 4 4 3 2 2 8 2" xfId="18457" xr:uid="{3305D394-5A5D-438F-BEF0-6234F3EA4B27}"/>
    <cellStyle name="Normal 4 4 3 2 2 9" xfId="9872" xr:uid="{F0F22624-E000-4AA7-AD3E-300B9E81928F}"/>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935A1FC6-09DE-4040-A9D8-5E31C9CE2735}"/>
    <cellStyle name="Normal 4 4 3 2 3 2 3" xfId="12429" xr:uid="{C3C870DE-3A54-447D-9E86-90676182E2EB}"/>
    <cellStyle name="Normal 4 4 3 2 3 3" xfId="5175" xr:uid="{00000000-0005-0000-0000-00007D150000}"/>
    <cellStyle name="Normal 4 4 3 2 3 3 2" xfId="14501" xr:uid="{294265EB-FB96-4B5C-A4F0-0B040989B527}"/>
    <cellStyle name="Normal 4 4 3 2 3 4" xfId="9351" xr:uid="{51AD2B95-755A-411D-AA40-98381F5D8294}"/>
    <cellStyle name="Normal 4 4 3 2 3 4 2" xfId="18666" xr:uid="{7308360A-0D7C-4546-9E37-27D4853ECB97}"/>
    <cellStyle name="Normal 4 4 3 2 3 5" xfId="10284" xr:uid="{F8306EAA-1858-455D-982E-B3327E6828F1}"/>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FE1288EF-3B15-4F7E-BA45-5BE46874ABB7}"/>
    <cellStyle name="Normal 4 4 3 2 4 2 3" xfId="12842" xr:uid="{856A6D18-DDE1-45DC-8891-877379155BD6}"/>
    <cellStyle name="Normal 4 4 3 2 4 3" xfId="5588" xr:uid="{00000000-0005-0000-0000-000081150000}"/>
    <cellStyle name="Normal 4 4 3 2 4 3 2" xfId="14914" xr:uid="{C2C07DF5-9889-4D72-A56E-063AB0A56852}"/>
    <cellStyle name="Normal 4 4 3 2 4 4" xfId="10697" xr:uid="{C90A4353-DBA7-445E-A4A5-B562B32C4E6D}"/>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0BE028B6-7E86-4BC2-81C4-D55A3436BA91}"/>
    <cellStyle name="Normal 4 4 3 2 5 2 3" xfId="13255" xr:uid="{3E7623A2-6334-4A95-A0E9-8B4C667343F9}"/>
    <cellStyle name="Normal 4 4 3 2 5 3" xfId="6001" xr:uid="{00000000-0005-0000-0000-000085150000}"/>
    <cellStyle name="Normal 4 4 3 2 5 3 2" xfId="15327" xr:uid="{D6B5E441-6C01-4056-B236-5F5B18F5891E}"/>
    <cellStyle name="Normal 4 4 3 2 5 4" xfId="11110" xr:uid="{273D9397-0C90-424B-B23A-1BB42132F47E}"/>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FE7BDA98-B2BB-4C45-BAA2-4A19CEC2041B}"/>
    <cellStyle name="Normal 4 4 3 2 6 2 3" xfId="13668" xr:uid="{2C24B952-F5A7-49FD-B1B1-48680F16CC61}"/>
    <cellStyle name="Normal 4 4 3 2 6 3" xfId="6414" xr:uid="{00000000-0005-0000-0000-000089150000}"/>
    <cellStyle name="Normal 4 4 3 2 6 3 2" xfId="15740" xr:uid="{CEF78704-EC41-43A4-AE54-D42556CBF33B}"/>
    <cellStyle name="Normal 4 4 3 2 6 4" xfId="11523" xr:uid="{FB6C5F5D-5070-4B87-A848-BAFC2973B61B}"/>
    <cellStyle name="Normal 4 4 3 2 7" xfId="2544" xr:uid="{00000000-0005-0000-0000-00008A150000}"/>
    <cellStyle name="Normal 4 4 3 2 7 2" xfId="6827" xr:uid="{00000000-0005-0000-0000-00008B150000}"/>
    <cellStyle name="Normal 4 4 3 2 7 2 2" xfId="16153" xr:uid="{1BCDA09B-FF39-4D02-BEBA-0358D3E0EC72}"/>
    <cellStyle name="Normal 4 4 3 2 7 3" xfId="11936" xr:uid="{210A29E5-72C8-42AA-9903-DE42694E616C}"/>
    <cellStyle name="Normal 4 4 3 2 8" xfId="4762" xr:uid="{00000000-0005-0000-0000-00008C150000}"/>
    <cellStyle name="Normal 4 4 3 2 8 2" xfId="14088" xr:uid="{EB61E6C3-B8F8-4D09-82F2-F0B497439706}"/>
    <cellStyle name="Normal 4 4 3 2 9" xfId="8926" xr:uid="{821D1F47-EF8D-4C64-BA70-5606A81A57B5}"/>
    <cellStyle name="Normal 4 4 3 2 9 2" xfId="18250" xr:uid="{C8A09454-DE14-4D08-A704-7DB099AA2789}"/>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59E31A52-9910-4286-9519-218A88D3736F}"/>
    <cellStyle name="Normal 4 4 3 3 2 2 3" xfId="12431" xr:uid="{E1A8CD10-F65A-4C25-9BB6-393EDC76E1CC}"/>
    <cellStyle name="Normal 4 4 3 3 2 3" xfId="5177" xr:uid="{00000000-0005-0000-0000-000091150000}"/>
    <cellStyle name="Normal 4 4 3 3 2 3 2" xfId="14503" xr:uid="{6748E8D7-03BF-4537-B659-36147254D114}"/>
    <cellStyle name="Normal 4 4 3 3 2 4" xfId="9455" xr:uid="{E39EB3A2-D99A-426C-AFEC-E4C90C85BE02}"/>
    <cellStyle name="Normal 4 4 3 3 2 4 2" xfId="18770" xr:uid="{A412C8B4-6B8D-4169-9056-236B0DB4C174}"/>
    <cellStyle name="Normal 4 4 3 3 2 5" xfId="10286" xr:uid="{CD554DB2-F75D-4B04-AADF-57DDE364731E}"/>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865B9C6D-B73D-411B-B0BE-6E8076D46A54}"/>
    <cellStyle name="Normal 4 4 3 3 3 2 3" xfId="12844" xr:uid="{5C5C9FBA-BD1F-41E5-AE05-9D899FAD687A}"/>
    <cellStyle name="Normal 4 4 3 3 3 3" xfId="5590" xr:uid="{00000000-0005-0000-0000-000095150000}"/>
    <cellStyle name="Normal 4 4 3 3 3 3 2" xfId="14916" xr:uid="{BA69539D-F019-4399-9707-C58639911E8B}"/>
    <cellStyle name="Normal 4 4 3 3 3 4" xfId="10699" xr:uid="{C0F239D8-1815-43E7-887B-1F376A478B1B}"/>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968EDE8D-E967-47D9-B220-470D7A58E62F}"/>
    <cellStyle name="Normal 4 4 3 3 4 2 3" xfId="13257" xr:uid="{2B02A823-8C22-4432-9306-728D43945A0C}"/>
    <cellStyle name="Normal 4 4 3 3 4 3" xfId="6003" xr:uid="{00000000-0005-0000-0000-000099150000}"/>
    <cellStyle name="Normal 4 4 3 3 4 3 2" xfId="15329" xr:uid="{47D5B035-172A-4B69-9C09-F392F7C234B9}"/>
    <cellStyle name="Normal 4 4 3 3 4 4" xfId="11112" xr:uid="{19A6209B-655A-4CCD-B483-B3FDA688E9A4}"/>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343AA65A-A9AF-4793-A717-BD5733F4DF10}"/>
    <cellStyle name="Normal 4 4 3 3 5 2 3" xfId="13670" xr:uid="{A6962588-3BD7-4993-B077-D3F6CCBDFC78}"/>
    <cellStyle name="Normal 4 4 3 3 5 3" xfId="6416" xr:uid="{00000000-0005-0000-0000-00009D150000}"/>
    <cellStyle name="Normal 4 4 3 3 5 3 2" xfId="15742" xr:uid="{9B782867-A12A-4859-938F-12C059DAD02A}"/>
    <cellStyle name="Normal 4 4 3 3 5 4" xfId="11525" xr:uid="{B2151772-BBBE-40AF-9F11-A5E0B95A44ED}"/>
    <cellStyle name="Normal 4 4 3 3 6" xfId="2546" xr:uid="{00000000-0005-0000-0000-00009E150000}"/>
    <cellStyle name="Normal 4 4 3 3 6 2" xfId="6829" xr:uid="{00000000-0005-0000-0000-00009F150000}"/>
    <cellStyle name="Normal 4 4 3 3 6 2 2" xfId="16155" xr:uid="{48DB16E3-07E2-4E00-84A1-61B6A669B0EB}"/>
    <cellStyle name="Normal 4 4 3 3 6 3" xfId="11938" xr:uid="{59D034A2-323D-47E6-8921-69810EE28437}"/>
    <cellStyle name="Normal 4 4 3 3 7" xfId="4764" xr:uid="{00000000-0005-0000-0000-0000A0150000}"/>
    <cellStyle name="Normal 4 4 3 3 7 2" xfId="14090" xr:uid="{F36FF199-B652-4E96-8416-1C69FE346073}"/>
    <cellStyle name="Normal 4 4 3 3 8" xfId="9030" xr:uid="{F975DAAD-4546-4770-9976-5C5C66DA227B}"/>
    <cellStyle name="Normal 4 4 3 3 8 2" xfId="18354" xr:uid="{3C25F6E3-ADCB-48F2-94B4-62C384F7DD9A}"/>
    <cellStyle name="Normal 4 4 3 3 9" xfId="9873" xr:uid="{403B7088-E631-4B2A-9DF7-11B5BFDC897F}"/>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0EC60200-0BE7-4146-9EDE-60F90BB66859}"/>
    <cellStyle name="Normal 4 4 3 4 2 3" xfId="12428" xr:uid="{C51E63F2-B1F1-4BF7-A082-4BBF466BD501}"/>
    <cellStyle name="Normal 4 4 3 4 3" xfId="5174" xr:uid="{00000000-0005-0000-0000-0000A4150000}"/>
    <cellStyle name="Normal 4 4 3 4 3 2" xfId="14500" xr:uid="{B8A1C70A-3027-4CE4-9D13-29859A2A3230}"/>
    <cellStyle name="Normal 4 4 3 4 4" xfId="9248" xr:uid="{6C5F877B-48E6-47C2-B849-E53F373D5A86}"/>
    <cellStyle name="Normal 4 4 3 4 4 2" xfId="18563" xr:uid="{1F960537-CDB5-41D6-A90C-0043DD6B903C}"/>
    <cellStyle name="Normal 4 4 3 4 5" xfId="10283" xr:uid="{5AEBE5C9-8EF9-4112-B1E2-B1DD813529AB}"/>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F6A2EB2E-8515-4A1A-B797-30E47A83299F}"/>
    <cellStyle name="Normal 4 4 3 5 2 3" xfId="12841" xr:uid="{E6F604EB-368E-4A0B-AD05-93CE19245FB1}"/>
    <cellStyle name="Normal 4 4 3 5 3" xfId="5587" xr:uid="{00000000-0005-0000-0000-0000A8150000}"/>
    <cellStyle name="Normal 4 4 3 5 3 2" xfId="14913" xr:uid="{BAC54136-744A-4465-9B99-603F74872390}"/>
    <cellStyle name="Normal 4 4 3 5 4" xfId="10696" xr:uid="{7D1A5234-080C-4014-858E-912E6AF91C68}"/>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AD724B24-8418-4400-BD73-DB8F1DF53AE8}"/>
    <cellStyle name="Normal 4 4 3 6 2 3" xfId="13254" xr:uid="{0421BEBA-9B6F-4126-924C-B6A58D84517E}"/>
    <cellStyle name="Normal 4 4 3 6 3" xfId="6000" xr:uid="{00000000-0005-0000-0000-0000AC150000}"/>
    <cellStyle name="Normal 4 4 3 6 3 2" xfId="15326" xr:uid="{439F2223-64D2-43CC-AFFA-427358261C52}"/>
    <cellStyle name="Normal 4 4 3 6 4" xfId="11109" xr:uid="{CD0F5B5D-43D0-484C-90A2-275FA849B5C4}"/>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3046F348-1B41-4CA3-B450-DB77433D9E3C}"/>
    <cellStyle name="Normal 4 4 3 7 2 3" xfId="13667" xr:uid="{5F61D5E3-0769-4B52-8290-F6F1172D0123}"/>
    <cellStyle name="Normal 4 4 3 7 3" xfId="6413" xr:uid="{00000000-0005-0000-0000-0000B0150000}"/>
    <cellStyle name="Normal 4 4 3 7 3 2" xfId="15739" xr:uid="{4C6D70AD-60CE-4344-A901-FE44DDC09259}"/>
    <cellStyle name="Normal 4 4 3 7 4" xfId="11522" xr:uid="{A515C096-FA3A-4770-A492-0DB90E035DEE}"/>
    <cellStyle name="Normal 4 4 3 8" xfId="2543" xr:uid="{00000000-0005-0000-0000-0000B1150000}"/>
    <cellStyle name="Normal 4 4 3 8 2" xfId="6826" xr:uid="{00000000-0005-0000-0000-0000B2150000}"/>
    <cellStyle name="Normal 4 4 3 8 2 2" xfId="16152" xr:uid="{BDA2687D-D7C7-4D88-B920-C4DE4F4AA639}"/>
    <cellStyle name="Normal 4 4 3 8 3" xfId="11935" xr:uid="{6B211DF5-7209-4159-9545-CEE6AAC34FCB}"/>
    <cellStyle name="Normal 4 4 3 9" xfId="4761" xr:uid="{00000000-0005-0000-0000-0000B3150000}"/>
    <cellStyle name="Normal 4 4 3 9 2" xfId="14087" xr:uid="{011AED90-FB2D-4571-9F6D-6C38480AD3F6}"/>
    <cellStyle name="Normal 4 4 4" xfId="391" xr:uid="{00000000-0005-0000-0000-0000B4150000}"/>
    <cellStyle name="Normal 4 4 4 10" xfId="9874" xr:uid="{6989904F-0186-464F-8697-45D0D23570FA}"/>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1DAAA533-BFCD-4BD0-857F-B7BF05B031A0}"/>
    <cellStyle name="Normal 4 4 4 2 2 2 3" xfId="12433" xr:uid="{321151F3-C37B-4EDE-AD45-5C0C6CF1565A}"/>
    <cellStyle name="Normal 4 4 4 2 2 3" xfId="5179" xr:uid="{00000000-0005-0000-0000-0000B9150000}"/>
    <cellStyle name="Normal 4 4 4 2 2 3 2" xfId="14505" xr:uid="{5EA6C887-2392-4FA2-BD76-A697F35E15EF}"/>
    <cellStyle name="Normal 4 4 4 2 2 4" xfId="9484" xr:uid="{69910E0C-08C8-41C5-A6FC-61B52F6CD538}"/>
    <cellStyle name="Normal 4 4 4 2 2 4 2" xfId="18799" xr:uid="{23D4F918-9993-4854-8A02-5E7C50538D80}"/>
    <cellStyle name="Normal 4 4 4 2 2 5" xfId="10288" xr:uid="{04ED530F-A494-40C8-9D76-030EFEE0EDE3}"/>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4ABF3358-338F-41CD-BC45-89E361E088D9}"/>
    <cellStyle name="Normal 4 4 4 2 3 2 3" xfId="12846" xr:uid="{81C21979-5851-44D6-A69E-62CB62221694}"/>
    <cellStyle name="Normal 4 4 4 2 3 3" xfId="5592" xr:uid="{00000000-0005-0000-0000-0000BD150000}"/>
    <cellStyle name="Normal 4 4 4 2 3 3 2" xfId="14918" xr:uid="{8A2A30C9-E550-4EB0-A674-1FEA8B623ED7}"/>
    <cellStyle name="Normal 4 4 4 2 3 4" xfId="10701" xr:uid="{20D04579-3057-436C-8A60-AA11F653BC7E}"/>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EDFA7BA7-1DA7-46E9-9A33-8126C018E2F8}"/>
    <cellStyle name="Normal 4 4 4 2 4 2 3" xfId="13259" xr:uid="{B9BB3509-0BB0-4419-9BF2-8022B133B1A0}"/>
    <cellStyle name="Normal 4 4 4 2 4 3" xfId="6005" xr:uid="{00000000-0005-0000-0000-0000C1150000}"/>
    <cellStyle name="Normal 4 4 4 2 4 3 2" xfId="15331" xr:uid="{D328BD98-1328-48AE-B43C-414716F693E2}"/>
    <cellStyle name="Normal 4 4 4 2 4 4" xfId="11114" xr:uid="{66377158-EDEC-43D6-A500-1B89CCB9D78E}"/>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42E1C10D-DAA8-4FD1-A467-1375B74FCE3D}"/>
    <cellStyle name="Normal 4 4 4 2 5 2 3" xfId="13672" xr:uid="{7F2B8085-7F23-4DFA-A2E0-9568957A922B}"/>
    <cellStyle name="Normal 4 4 4 2 5 3" xfId="6418" xr:uid="{00000000-0005-0000-0000-0000C5150000}"/>
    <cellStyle name="Normal 4 4 4 2 5 3 2" xfId="15744" xr:uid="{AF1F783E-B86D-499E-8AA7-6A8B3BC80568}"/>
    <cellStyle name="Normal 4 4 4 2 5 4" xfId="11527" xr:uid="{62EE067E-4EA8-4296-A151-759ED2CC2A68}"/>
    <cellStyle name="Normal 4 4 4 2 6" xfId="2548" xr:uid="{00000000-0005-0000-0000-0000C6150000}"/>
    <cellStyle name="Normal 4 4 4 2 6 2" xfId="6831" xr:uid="{00000000-0005-0000-0000-0000C7150000}"/>
    <cellStyle name="Normal 4 4 4 2 6 2 2" xfId="16157" xr:uid="{7C89CB35-6A60-4A35-9A10-75A1F13CDDDD}"/>
    <cellStyle name="Normal 4 4 4 2 6 3" xfId="11940" xr:uid="{33F98341-47F7-4B10-8D01-8438D38E1EEE}"/>
    <cellStyle name="Normal 4 4 4 2 7" xfId="4766" xr:uid="{00000000-0005-0000-0000-0000C8150000}"/>
    <cellStyle name="Normal 4 4 4 2 7 2" xfId="14092" xr:uid="{62AE33A0-FFED-4CD5-9B26-7812D7A143F4}"/>
    <cellStyle name="Normal 4 4 4 2 8" xfId="9059" xr:uid="{76617FCA-DBA6-4291-BD32-6340A19903F7}"/>
    <cellStyle name="Normal 4 4 4 2 8 2" xfId="18383" xr:uid="{4E66DD67-04EF-4EB5-80C1-543DE3CF3BA5}"/>
    <cellStyle name="Normal 4 4 4 2 9" xfId="9875" xr:uid="{7EA0614A-DF5C-4A52-BB2A-29C1F169DE57}"/>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5E606A42-CAE0-47A4-AD34-8749AB20E910}"/>
    <cellStyle name="Normal 4 4 4 3 2 3" xfId="12432" xr:uid="{C1003E2C-F0B7-4629-9BC5-114E4CC642D7}"/>
    <cellStyle name="Normal 4 4 4 3 3" xfId="5178" xr:uid="{00000000-0005-0000-0000-0000CC150000}"/>
    <cellStyle name="Normal 4 4 4 3 3 2" xfId="14504" xr:uid="{FF60877B-A4B3-4223-9F44-C8470C5A89A7}"/>
    <cellStyle name="Normal 4 4 4 3 4" xfId="9277" xr:uid="{DD01CD29-2559-4BCC-919C-99D1D75C445F}"/>
    <cellStyle name="Normal 4 4 4 3 4 2" xfId="18592" xr:uid="{A943724B-780C-45FB-9423-B07FEDEF26DE}"/>
    <cellStyle name="Normal 4 4 4 3 5" xfId="10287" xr:uid="{258BD5A2-3E4A-4179-B278-F3C5460A22C6}"/>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056FCB2F-1C06-4D93-B9BF-AB768FE56886}"/>
    <cellStyle name="Normal 4 4 4 4 2 3" xfId="12845" xr:uid="{A43169EE-34E9-4F74-B98A-AFF21D806708}"/>
    <cellStyle name="Normal 4 4 4 4 3" xfId="5591" xr:uid="{00000000-0005-0000-0000-0000D0150000}"/>
    <cellStyle name="Normal 4 4 4 4 3 2" xfId="14917" xr:uid="{B3E13E48-CD5A-466F-BE4A-7E39D8613A5C}"/>
    <cellStyle name="Normal 4 4 4 4 4" xfId="10700" xr:uid="{0399EC47-9AB9-49FF-A9A0-67DF24C74963}"/>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4D144A88-982C-4F8C-8772-7C88E42ADE71}"/>
    <cellStyle name="Normal 4 4 4 5 2 3" xfId="13258" xr:uid="{902E2B61-8530-49FB-B792-90103D28FB89}"/>
    <cellStyle name="Normal 4 4 4 5 3" xfId="6004" xr:uid="{00000000-0005-0000-0000-0000D4150000}"/>
    <cellStyle name="Normal 4 4 4 5 3 2" xfId="15330" xr:uid="{7BE3C23F-968A-4D82-8C4C-EFE09CBF0B05}"/>
    <cellStyle name="Normal 4 4 4 5 4" xfId="11113" xr:uid="{0164FBF8-4251-4319-B16E-9DA9C9AF3F55}"/>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B7D8CA8B-BDEF-43F7-AFC0-D58294DBBD29}"/>
    <cellStyle name="Normal 4 4 4 6 2 3" xfId="13671" xr:uid="{4988FB7F-E9FD-4005-A2BF-7F516CB30347}"/>
    <cellStyle name="Normal 4 4 4 6 3" xfId="6417" xr:uid="{00000000-0005-0000-0000-0000D8150000}"/>
    <cellStyle name="Normal 4 4 4 6 3 2" xfId="15743" xr:uid="{0601CDA2-62F0-404E-81B5-595DC62F641C}"/>
    <cellStyle name="Normal 4 4 4 6 4" xfId="11526" xr:uid="{24CDEF64-FDCA-426D-AF37-127AF7174F9F}"/>
    <cellStyle name="Normal 4 4 4 7" xfId="2547" xr:uid="{00000000-0005-0000-0000-0000D9150000}"/>
    <cellStyle name="Normal 4 4 4 7 2" xfId="6830" xr:uid="{00000000-0005-0000-0000-0000DA150000}"/>
    <cellStyle name="Normal 4 4 4 7 2 2" xfId="16156" xr:uid="{89F196C9-94D0-406B-84F7-DF361C1C1EF8}"/>
    <cellStyle name="Normal 4 4 4 7 3" xfId="11939" xr:uid="{C5762ADF-F8EE-45CD-AF16-D9B5233FA0F8}"/>
    <cellStyle name="Normal 4 4 4 8" xfId="4765" xr:uid="{00000000-0005-0000-0000-0000DB150000}"/>
    <cellStyle name="Normal 4 4 4 8 2" xfId="14091" xr:uid="{A30CF7A6-AF6F-4C27-8AF0-A3B526ABD1C4}"/>
    <cellStyle name="Normal 4 4 4 9" xfId="8852" xr:uid="{DF4BB962-85B1-44B5-A0FE-735796672772}"/>
    <cellStyle name="Normal 4 4 4 9 2" xfId="18176" xr:uid="{87A28D8A-1247-423A-B30D-D713EA28089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E7472C0F-4AF1-4636-99A3-58870B9A980A}"/>
    <cellStyle name="Normal 4 4 5 2 2 3" xfId="12434" xr:uid="{A454ED7F-5C02-475A-9654-761F32429642}"/>
    <cellStyle name="Normal 4 4 5 2 3" xfId="5180" xr:uid="{00000000-0005-0000-0000-0000E0150000}"/>
    <cellStyle name="Normal 4 4 5 2 3 2" xfId="14506" xr:uid="{6B7E0761-6B25-4576-A80B-F1D651697D03}"/>
    <cellStyle name="Normal 4 4 5 2 4" xfId="9393" xr:uid="{C2991CC4-4E0B-46C4-B338-C6A1C9BA2DE9}"/>
    <cellStyle name="Normal 4 4 5 2 4 2" xfId="18708" xr:uid="{9C48A485-ACCA-4EF5-8C94-A89CE9F7E7F4}"/>
    <cellStyle name="Normal 4 4 5 2 5" xfId="10289" xr:uid="{F96F9AC2-A7C4-4494-9C4D-8E713BBEEE52}"/>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D924146B-1812-4B85-8994-3A732CB0E547}"/>
    <cellStyle name="Normal 4 4 5 3 2 3" xfId="12847" xr:uid="{8128C1F8-57BE-47FE-815A-979E996DC065}"/>
    <cellStyle name="Normal 4 4 5 3 3" xfId="5593" xr:uid="{00000000-0005-0000-0000-0000E4150000}"/>
    <cellStyle name="Normal 4 4 5 3 3 2" xfId="14919" xr:uid="{DC33F116-E78B-4299-8E4E-A083429DA3A6}"/>
    <cellStyle name="Normal 4 4 5 3 4" xfId="10702" xr:uid="{8FE25C60-7984-4E29-86E2-443FA30ED72C}"/>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35264EDE-4E59-4955-BFCE-BE6CE8B6E9E0}"/>
    <cellStyle name="Normal 4 4 5 4 2 3" xfId="13260" xr:uid="{4C6C6576-61A2-4151-B19D-B4C4ACAE691B}"/>
    <cellStyle name="Normal 4 4 5 4 3" xfId="6006" xr:uid="{00000000-0005-0000-0000-0000E8150000}"/>
    <cellStyle name="Normal 4 4 5 4 3 2" xfId="15332" xr:uid="{AD0B3129-FD1E-4C4C-8F12-F3B62A5F0967}"/>
    <cellStyle name="Normal 4 4 5 4 4" xfId="11115" xr:uid="{5C8CD532-713A-4203-BB9D-CF1FFD98234F}"/>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EC5CA3AE-FFE7-4D4A-8D5D-D1EDB63C79C8}"/>
    <cellStyle name="Normal 4 4 5 5 2 3" xfId="13673" xr:uid="{7902E211-D1E8-43E6-BFD5-E025B2BE602D}"/>
    <cellStyle name="Normal 4 4 5 5 3" xfId="6419" xr:uid="{00000000-0005-0000-0000-0000EC150000}"/>
    <cellStyle name="Normal 4 4 5 5 3 2" xfId="15745" xr:uid="{D89CD87E-EF39-4122-A5E0-31CF18616E9D}"/>
    <cellStyle name="Normal 4 4 5 5 4" xfId="11528" xr:uid="{5EA38B6B-DEAB-4276-A551-27C6C0E3993D}"/>
    <cellStyle name="Normal 4 4 5 6" xfId="2549" xr:uid="{00000000-0005-0000-0000-0000ED150000}"/>
    <cellStyle name="Normal 4 4 5 6 2" xfId="6832" xr:uid="{00000000-0005-0000-0000-0000EE150000}"/>
    <cellStyle name="Normal 4 4 5 6 2 2" xfId="16158" xr:uid="{6F71D675-A124-4F85-91A3-BD284DC227D7}"/>
    <cellStyle name="Normal 4 4 5 6 3" xfId="11941" xr:uid="{331DE4FE-9939-4052-9520-E8D0A3735C0B}"/>
    <cellStyle name="Normal 4 4 5 7" xfId="4767" xr:uid="{00000000-0005-0000-0000-0000EF150000}"/>
    <cellStyle name="Normal 4 4 5 7 2" xfId="14093" xr:uid="{124A3F9C-0C5B-4B99-BF55-20ACDE4BD9C4}"/>
    <cellStyle name="Normal 4 4 5 8" xfId="8968" xr:uid="{BE877DDE-435D-4CBA-84F2-0372D1DDE771}"/>
    <cellStyle name="Normal 4 4 5 8 2" xfId="18292" xr:uid="{87DDEFE7-A44E-4DFB-9926-28383DEB343D}"/>
    <cellStyle name="Normal 4 4 5 9" xfId="9876" xr:uid="{150CC488-CF74-4A1E-B95C-70FD0C3A907B}"/>
    <cellStyle name="Normal 4 4 6" xfId="853" xr:uid="{00000000-0005-0000-0000-0000F0150000}"/>
    <cellStyle name="Normal 4 4 6 2" xfId="3088" xr:uid="{00000000-0005-0000-0000-0000F1150000}"/>
    <cellStyle name="Normal 4 4 6 2 2" xfId="7310" xr:uid="{00000000-0005-0000-0000-0000F2150000}"/>
    <cellStyle name="Normal 4 4 6 2 2 2" xfId="16636" xr:uid="{440E3799-8C6F-4E97-AEC5-D956813A4EEF}"/>
    <cellStyle name="Normal 4 4 6 2 3" xfId="12419" xr:uid="{94EA8502-491D-489C-AA6F-B506356DFA36}"/>
    <cellStyle name="Normal 4 4 6 3" xfId="5165" xr:uid="{00000000-0005-0000-0000-0000F3150000}"/>
    <cellStyle name="Normal 4 4 6 3 2" xfId="14491" xr:uid="{B4D0F19B-C870-40D2-80C3-6E0A6E4AEED9}"/>
    <cellStyle name="Normal 4 4 6 4" xfId="9171" xr:uid="{C474601B-95F0-4C9E-AB77-B3E61D2A21D7}"/>
    <cellStyle name="Normal 4 4 6 4 2" xfId="18489" xr:uid="{899186DF-5873-4EE6-A270-B4946FAE2193}"/>
    <cellStyle name="Normal 4 4 6 5" xfId="10274" xr:uid="{BEE86CAB-4EA8-4FA5-A80D-36E4F2B350FC}"/>
    <cellStyle name="Normal 4 4 7" xfId="1271" xr:uid="{00000000-0005-0000-0000-0000F4150000}"/>
    <cellStyle name="Normal 4 4 7 2" xfId="3501" xr:uid="{00000000-0005-0000-0000-0000F5150000}"/>
    <cellStyle name="Normal 4 4 7 2 2" xfId="7723" xr:uid="{00000000-0005-0000-0000-0000F6150000}"/>
    <cellStyle name="Normal 4 4 7 2 2 2" xfId="17049" xr:uid="{F17D8312-7C7F-4B85-B5C9-1259B5226B97}"/>
    <cellStyle name="Normal 4 4 7 2 3" xfId="12832" xr:uid="{DD67B054-152E-4B06-A621-D079A7FCEE51}"/>
    <cellStyle name="Normal 4 4 7 3" xfId="5578" xr:uid="{00000000-0005-0000-0000-0000F7150000}"/>
    <cellStyle name="Normal 4 4 7 3 2" xfId="14904" xr:uid="{B08E2256-D238-4861-8B90-3AB21C31578F}"/>
    <cellStyle name="Normal 4 4 7 4" xfId="10687" xr:uid="{C8FB4184-8E4C-40EE-990B-BBB859D29B53}"/>
    <cellStyle name="Normal 4 4 8" xfId="1684" xr:uid="{00000000-0005-0000-0000-0000F8150000}"/>
    <cellStyle name="Normal 4 4 8 2" xfId="3914" xr:uid="{00000000-0005-0000-0000-0000F9150000}"/>
    <cellStyle name="Normal 4 4 8 2 2" xfId="8136" xr:uid="{00000000-0005-0000-0000-0000FA150000}"/>
    <cellStyle name="Normal 4 4 8 2 2 2" xfId="17462" xr:uid="{550FF1C2-7646-43BC-A804-5B2838A7D1D3}"/>
    <cellStyle name="Normal 4 4 8 2 3" xfId="13245" xr:uid="{AD4E7F17-3EEC-4F25-9B07-CA00A8FBED07}"/>
    <cellStyle name="Normal 4 4 8 3" xfId="5991" xr:uid="{00000000-0005-0000-0000-0000FB150000}"/>
    <cellStyle name="Normal 4 4 8 3 2" xfId="15317" xr:uid="{DE0BE1CD-7909-4FAB-9030-56D31F085D41}"/>
    <cellStyle name="Normal 4 4 8 4" xfId="11100" xr:uid="{FC8C53F3-41E9-4523-A409-07F11700FB88}"/>
    <cellStyle name="Normal 4 4 9" xfId="2098" xr:uid="{00000000-0005-0000-0000-0000FC150000}"/>
    <cellStyle name="Normal 4 4 9 2" xfId="4327" xr:uid="{00000000-0005-0000-0000-0000FD150000}"/>
    <cellStyle name="Normal 4 4 9 2 2" xfId="8549" xr:uid="{00000000-0005-0000-0000-0000FE150000}"/>
    <cellStyle name="Normal 4 4 9 2 2 2" xfId="17875" xr:uid="{CD3E9DC1-319A-4B9A-A924-238C459FCA73}"/>
    <cellStyle name="Normal 4 4 9 2 3" xfId="13658" xr:uid="{33491B05-C25F-4959-9F37-70C4BA01549E}"/>
    <cellStyle name="Normal 4 4 9 3" xfId="6404" xr:uid="{00000000-0005-0000-0000-0000FF150000}"/>
    <cellStyle name="Normal 4 4 9 3 2" xfId="15730" xr:uid="{9A07055F-DFCF-47F1-B262-5A2897CE5EDE}"/>
    <cellStyle name="Normal 4 4 9 4" xfId="11513" xr:uid="{E7BFA8CF-DDBA-4D9A-B316-863742C05279}"/>
    <cellStyle name="Normal 4 5" xfId="394" xr:uid="{00000000-0005-0000-0000-000000160000}"/>
    <cellStyle name="Normal 4 6" xfId="395" xr:uid="{00000000-0005-0000-0000-000001160000}"/>
    <cellStyle name="Normal 4 6 10" xfId="4768" xr:uid="{00000000-0005-0000-0000-000002160000}"/>
    <cellStyle name="Normal 4 6 10 2" xfId="14094" xr:uid="{121D3778-7E9C-43A5-904E-D84E78F1FB9E}"/>
    <cellStyle name="Normal 4 6 11" xfId="8772" xr:uid="{23628FEE-4113-4B2C-B2A0-0106FC7F55C2}"/>
    <cellStyle name="Normal 4 6 11 2" xfId="18096" xr:uid="{A21E2B9B-8131-4DCE-A85C-68CB9876AF1C}"/>
    <cellStyle name="Normal 4 6 12" xfId="9877" xr:uid="{D51CD0FB-AA4C-4263-81D3-559A11F8D755}"/>
    <cellStyle name="Normal 4 6 2" xfId="396" xr:uid="{00000000-0005-0000-0000-000003160000}"/>
    <cellStyle name="Normal 4 6 2 10" xfId="8825" xr:uid="{C3062495-9D56-441B-95F6-B73E7DAC524C}"/>
    <cellStyle name="Normal 4 6 2 10 2" xfId="18149" xr:uid="{9C6A3C30-868D-4025-BF65-AD72F20BB901}"/>
    <cellStyle name="Normal 4 6 2 11" xfId="9878" xr:uid="{476F7647-BE44-49F1-A64E-3504730577D1}"/>
    <cellStyle name="Normal 4 6 2 2" xfId="397" xr:uid="{00000000-0005-0000-0000-000004160000}"/>
    <cellStyle name="Normal 4 6 2 2 10" xfId="9879" xr:uid="{24BF69E2-DF36-4CCC-998B-9D143B30EB79}"/>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42832BE1-261D-457F-ACA1-25603F462EF9}"/>
    <cellStyle name="Normal 4 6 2 2 2 2 2 3" xfId="12438" xr:uid="{22E1242E-C641-4E89-BBC8-AAC82AEFD986}"/>
    <cellStyle name="Normal 4 6 2 2 2 2 3" xfId="5184" xr:uid="{00000000-0005-0000-0000-000009160000}"/>
    <cellStyle name="Normal 4 6 2 2 2 2 3 2" xfId="14510" xr:uid="{069F4928-53D0-4A23-8584-D05306E3EC15}"/>
    <cellStyle name="Normal 4 6 2 2 2 2 4" xfId="9560" xr:uid="{04DAEE11-A96E-4522-8546-8A0C107E12B9}"/>
    <cellStyle name="Normal 4 6 2 2 2 2 4 2" xfId="18875" xr:uid="{6D422750-FE96-46CE-BF45-BBDFF410DD28}"/>
    <cellStyle name="Normal 4 6 2 2 2 2 5" xfId="10293" xr:uid="{D109D9D6-AFFA-44F6-8940-136E795E0A7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7F240356-34E0-4C3A-ADBE-29F36902FB08}"/>
    <cellStyle name="Normal 4 6 2 2 2 3 2 3" xfId="12851" xr:uid="{FAB2BA06-16C0-4642-9E30-B14CF657645A}"/>
    <cellStyle name="Normal 4 6 2 2 2 3 3" xfId="5597" xr:uid="{00000000-0005-0000-0000-00000D160000}"/>
    <cellStyle name="Normal 4 6 2 2 2 3 3 2" xfId="14923" xr:uid="{534FC900-CEDA-46EF-B397-944FB8C75CA9}"/>
    <cellStyle name="Normal 4 6 2 2 2 3 4" xfId="10706" xr:uid="{6FF0A836-CD64-4173-860B-F5976F966879}"/>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4CA1C4D6-6B91-4BDA-A672-BBE82166677B}"/>
    <cellStyle name="Normal 4 6 2 2 2 4 2 3" xfId="13264" xr:uid="{A5C0C0CE-E3B8-4039-9F4A-9F97ACC6B7A2}"/>
    <cellStyle name="Normal 4 6 2 2 2 4 3" xfId="6010" xr:uid="{00000000-0005-0000-0000-000011160000}"/>
    <cellStyle name="Normal 4 6 2 2 2 4 3 2" xfId="15336" xr:uid="{3874C312-F5C2-4DF5-98AC-8B2AB32A5720}"/>
    <cellStyle name="Normal 4 6 2 2 2 4 4" xfId="11119" xr:uid="{2015F04F-B943-431B-AC15-3AAE6B6A0E57}"/>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B1289F24-0AF9-4D69-BCB5-277F6EC20321}"/>
    <cellStyle name="Normal 4 6 2 2 2 5 2 3" xfId="13677" xr:uid="{51915FAC-C122-4CA8-BA33-4F4FF0FC8EF4}"/>
    <cellStyle name="Normal 4 6 2 2 2 5 3" xfId="6423" xr:uid="{00000000-0005-0000-0000-000015160000}"/>
    <cellStyle name="Normal 4 6 2 2 2 5 3 2" xfId="15749" xr:uid="{C4D6E9B8-CFF9-45EE-9D39-86FCAB24E775}"/>
    <cellStyle name="Normal 4 6 2 2 2 5 4" xfId="11532" xr:uid="{25C1F0DD-33AB-4C4A-B8A6-E661F37D6576}"/>
    <cellStyle name="Normal 4 6 2 2 2 6" xfId="2553" xr:uid="{00000000-0005-0000-0000-000016160000}"/>
    <cellStyle name="Normal 4 6 2 2 2 6 2" xfId="6836" xr:uid="{00000000-0005-0000-0000-000017160000}"/>
    <cellStyle name="Normal 4 6 2 2 2 6 2 2" xfId="16162" xr:uid="{6F392D24-0808-4837-B6E0-5717D0F7CBFA}"/>
    <cellStyle name="Normal 4 6 2 2 2 6 3" xfId="11945" xr:uid="{F8D578EB-81C8-4893-ABB7-1DE88932259B}"/>
    <cellStyle name="Normal 4 6 2 2 2 7" xfId="4771" xr:uid="{00000000-0005-0000-0000-000018160000}"/>
    <cellStyle name="Normal 4 6 2 2 2 7 2" xfId="14097" xr:uid="{EE2420CD-4FCC-4C40-AFB6-E223B7D1A3DB}"/>
    <cellStyle name="Normal 4 6 2 2 2 8" xfId="9135" xr:uid="{2F4C420F-13DD-45DD-99DD-C7AFF7CD7823}"/>
    <cellStyle name="Normal 4 6 2 2 2 8 2" xfId="18459" xr:uid="{8E743B35-65C3-440D-B336-40B54EE20379}"/>
    <cellStyle name="Normal 4 6 2 2 2 9" xfId="9880" xr:uid="{28ADC457-FECE-4C3C-8769-65CCC7E1D6FA}"/>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40C6D3AC-2771-4C4B-81F7-2CDAE1E261E3}"/>
    <cellStyle name="Normal 4 6 2 2 3 2 3" xfId="12437" xr:uid="{B8FB634B-92F2-4811-8431-AB4D0404DD28}"/>
    <cellStyle name="Normal 4 6 2 2 3 3" xfId="5183" xr:uid="{00000000-0005-0000-0000-00001C160000}"/>
    <cellStyle name="Normal 4 6 2 2 3 3 2" xfId="14509" xr:uid="{B0F175B2-E697-4482-BE79-A10003E51406}"/>
    <cellStyle name="Normal 4 6 2 2 3 4" xfId="9353" xr:uid="{60C7EC16-17DE-43AF-A246-41C667B376B7}"/>
    <cellStyle name="Normal 4 6 2 2 3 4 2" xfId="18668" xr:uid="{DA2BF06B-4952-4775-AC03-50FFB26A3E4D}"/>
    <cellStyle name="Normal 4 6 2 2 3 5" xfId="10292" xr:uid="{38CF66E5-1F9A-4720-A266-C78E91407584}"/>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CDF5AADE-E3CC-490E-B6AC-6DEA03C18081}"/>
    <cellStyle name="Normal 4 6 2 2 4 2 3" xfId="12850" xr:uid="{D7D5BB0E-4E35-4FC1-9613-F89F0061D208}"/>
    <cellStyle name="Normal 4 6 2 2 4 3" xfId="5596" xr:uid="{00000000-0005-0000-0000-000020160000}"/>
    <cellStyle name="Normal 4 6 2 2 4 3 2" xfId="14922" xr:uid="{11D691F2-F840-48DA-A245-F7A692999805}"/>
    <cellStyle name="Normal 4 6 2 2 4 4" xfId="10705" xr:uid="{0B5DD5C0-41F9-4C99-A955-0EF47B93386F}"/>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F9BD5F5D-DAD6-4E62-BE75-0323D6A6C3CA}"/>
    <cellStyle name="Normal 4 6 2 2 5 2 3" xfId="13263" xr:uid="{D4034344-0BCB-49D1-B871-C53AF30AC50F}"/>
    <cellStyle name="Normal 4 6 2 2 5 3" xfId="6009" xr:uid="{00000000-0005-0000-0000-000024160000}"/>
    <cellStyle name="Normal 4 6 2 2 5 3 2" xfId="15335" xr:uid="{F77A352C-7C8F-447C-8ADC-379E80D89D19}"/>
    <cellStyle name="Normal 4 6 2 2 5 4" xfId="11118" xr:uid="{25225732-6C34-4548-B7E3-D79D545B1C0D}"/>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D89AACF4-69CE-4B93-939B-3CD6FAE78B91}"/>
    <cellStyle name="Normal 4 6 2 2 6 2 3" xfId="13676" xr:uid="{A9A284D1-45E1-4B70-8E7D-3459452BE276}"/>
    <cellStyle name="Normal 4 6 2 2 6 3" xfId="6422" xr:uid="{00000000-0005-0000-0000-000028160000}"/>
    <cellStyle name="Normal 4 6 2 2 6 3 2" xfId="15748" xr:uid="{1AF855ED-D8FA-4303-98B2-5BED3D368E73}"/>
    <cellStyle name="Normal 4 6 2 2 6 4" xfId="11531" xr:uid="{B3408970-8EF9-42A5-BD9A-2C6DCAF30D3C}"/>
    <cellStyle name="Normal 4 6 2 2 7" xfId="2552" xr:uid="{00000000-0005-0000-0000-000029160000}"/>
    <cellStyle name="Normal 4 6 2 2 7 2" xfId="6835" xr:uid="{00000000-0005-0000-0000-00002A160000}"/>
    <cellStyle name="Normal 4 6 2 2 7 2 2" xfId="16161" xr:uid="{B42FB6A5-98D6-4778-98DD-E9B997FE8FA3}"/>
    <cellStyle name="Normal 4 6 2 2 7 3" xfId="11944" xr:uid="{6CBA1A8C-AD47-4301-86D6-BE565330627F}"/>
    <cellStyle name="Normal 4 6 2 2 8" xfId="4770" xr:uid="{00000000-0005-0000-0000-00002B160000}"/>
    <cellStyle name="Normal 4 6 2 2 8 2" xfId="14096" xr:uid="{B807BD69-116D-4C9E-9987-24DFC858127B}"/>
    <cellStyle name="Normal 4 6 2 2 9" xfId="8928" xr:uid="{EC58FE5E-68BA-4864-AD86-0F9D1DB17AD0}"/>
    <cellStyle name="Normal 4 6 2 2 9 2" xfId="18252" xr:uid="{66B01944-2533-46D4-94D3-38CB63CE55A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948CBCC3-4818-438B-A35C-857538082D0F}"/>
    <cellStyle name="Normal 4 6 2 3 2 2 3" xfId="12439" xr:uid="{A05341E2-1A98-43AF-B004-FE6296025D2D}"/>
    <cellStyle name="Normal 4 6 2 3 2 3" xfId="5185" xr:uid="{00000000-0005-0000-0000-000030160000}"/>
    <cellStyle name="Normal 4 6 2 3 2 3 2" xfId="14511" xr:uid="{226EABFA-7621-4521-BF04-FFB74BEDD374}"/>
    <cellStyle name="Normal 4 6 2 3 2 4" xfId="9457" xr:uid="{E86AED2D-42AD-49DE-9461-1FA72B82C89E}"/>
    <cellStyle name="Normal 4 6 2 3 2 4 2" xfId="18772" xr:uid="{221C70C9-4A60-418E-B58A-AFA723D6D87A}"/>
    <cellStyle name="Normal 4 6 2 3 2 5" xfId="10294" xr:uid="{949FFD16-D27A-4B15-A648-846582E316BF}"/>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3165D1F5-21C3-4117-A83E-AC6B82C334E6}"/>
    <cellStyle name="Normal 4 6 2 3 3 2 3" xfId="12852" xr:uid="{82976871-C71E-43D6-B726-01AE24FAFC09}"/>
    <cellStyle name="Normal 4 6 2 3 3 3" xfId="5598" xr:uid="{00000000-0005-0000-0000-000034160000}"/>
    <cellStyle name="Normal 4 6 2 3 3 3 2" xfId="14924" xr:uid="{01EE4C84-CA29-4757-A85A-8CF1E77F791A}"/>
    <cellStyle name="Normal 4 6 2 3 3 4" xfId="10707" xr:uid="{62F5A158-A916-4B25-B5AB-78C849C1B49B}"/>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7AD8B1BE-9AAD-4D2F-AB75-743863CFE2AA}"/>
    <cellStyle name="Normal 4 6 2 3 4 2 3" xfId="13265" xr:uid="{8CC78313-B933-481C-8406-F1139E22A341}"/>
    <cellStyle name="Normal 4 6 2 3 4 3" xfId="6011" xr:uid="{00000000-0005-0000-0000-000038160000}"/>
    <cellStyle name="Normal 4 6 2 3 4 3 2" xfId="15337" xr:uid="{5716F94F-503C-412C-B489-329A744E958D}"/>
    <cellStyle name="Normal 4 6 2 3 4 4" xfId="11120" xr:uid="{FA9D253C-4C57-40E0-B1CF-E1EDC4BB503E}"/>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396792C4-77AF-47A2-BB72-B4811D6AAA58}"/>
    <cellStyle name="Normal 4 6 2 3 5 2 3" xfId="13678" xr:uid="{7B156E94-91C3-4FE2-8A37-413A9B230B91}"/>
    <cellStyle name="Normal 4 6 2 3 5 3" xfId="6424" xr:uid="{00000000-0005-0000-0000-00003C160000}"/>
    <cellStyle name="Normal 4 6 2 3 5 3 2" xfId="15750" xr:uid="{CDD9D58B-97AF-49F3-B87C-AD0CE6BF2139}"/>
    <cellStyle name="Normal 4 6 2 3 5 4" xfId="11533" xr:uid="{80F4648D-7FC4-493E-B8A9-78A0DE41D67B}"/>
    <cellStyle name="Normal 4 6 2 3 6" xfId="2554" xr:uid="{00000000-0005-0000-0000-00003D160000}"/>
    <cellStyle name="Normal 4 6 2 3 6 2" xfId="6837" xr:uid="{00000000-0005-0000-0000-00003E160000}"/>
    <cellStyle name="Normal 4 6 2 3 6 2 2" xfId="16163" xr:uid="{DF57A7A2-23B3-4D57-8CEB-B613DAEBC1C1}"/>
    <cellStyle name="Normal 4 6 2 3 6 3" xfId="11946" xr:uid="{3689981F-DE96-410E-A5F4-B4F5CA40394D}"/>
    <cellStyle name="Normal 4 6 2 3 7" xfId="4772" xr:uid="{00000000-0005-0000-0000-00003F160000}"/>
    <cellStyle name="Normal 4 6 2 3 7 2" xfId="14098" xr:uid="{40A080B1-022B-449A-81E3-0C98883A1590}"/>
    <cellStyle name="Normal 4 6 2 3 8" xfId="9032" xr:uid="{576A1DC5-5971-4772-803F-0A60F80D4C41}"/>
    <cellStyle name="Normal 4 6 2 3 8 2" xfId="18356" xr:uid="{0A576ABB-778E-4083-9197-2354E5304CF7}"/>
    <cellStyle name="Normal 4 6 2 3 9" xfId="9881" xr:uid="{0C6DD88C-E3E1-49E7-9DB9-6EC6B99E483A}"/>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BA97C4DF-EB5C-40ED-9DD4-1305774DB856}"/>
    <cellStyle name="Normal 4 6 2 4 2 3" xfId="12436" xr:uid="{0764C93C-7CFF-4C17-AD85-D56F675E57AB}"/>
    <cellStyle name="Normal 4 6 2 4 3" xfId="5182" xr:uid="{00000000-0005-0000-0000-000043160000}"/>
    <cellStyle name="Normal 4 6 2 4 3 2" xfId="14508" xr:uid="{333F2F34-E8DA-41B8-8645-19ECA34C32F5}"/>
    <cellStyle name="Normal 4 6 2 4 4" xfId="9250" xr:uid="{CBBC9A51-5203-4C00-93C7-FE7C973DCDD1}"/>
    <cellStyle name="Normal 4 6 2 4 4 2" xfId="18565" xr:uid="{32FAAC3F-2A35-4553-89AF-CC2D2DD477A8}"/>
    <cellStyle name="Normal 4 6 2 4 5" xfId="10291" xr:uid="{3F14159C-5D46-4152-BF20-E84E1EF043B4}"/>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FA0ADCE0-9D59-4619-85DD-D1F7018510D2}"/>
    <cellStyle name="Normal 4 6 2 5 2 3" xfId="12849" xr:uid="{654C17D6-4AB5-4463-8E9D-5F67CC5D9CD3}"/>
    <cellStyle name="Normal 4 6 2 5 3" xfId="5595" xr:uid="{00000000-0005-0000-0000-000047160000}"/>
    <cellStyle name="Normal 4 6 2 5 3 2" xfId="14921" xr:uid="{99E91382-38A9-4718-84B5-646DF177EBF3}"/>
    <cellStyle name="Normal 4 6 2 5 4" xfId="10704" xr:uid="{5E95896E-F820-4E37-9041-3F53C91CE4C1}"/>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1A37752F-FBF9-4EB2-9D59-E7B58122D16D}"/>
    <cellStyle name="Normal 4 6 2 6 2 3" xfId="13262" xr:uid="{8BAB8505-40AB-4A2F-8EFB-58B720B5B775}"/>
    <cellStyle name="Normal 4 6 2 6 3" xfId="6008" xr:uid="{00000000-0005-0000-0000-00004B160000}"/>
    <cellStyle name="Normal 4 6 2 6 3 2" xfId="15334" xr:uid="{4F9D998F-1076-40F6-B68E-A7D589A8842A}"/>
    <cellStyle name="Normal 4 6 2 6 4" xfId="11117" xr:uid="{4FD5AF48-F543-48C8-A191-0B5EF3DD7F39}"/>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86F742A2-391F-4740-B341-B9A26EA527DE}"/>
    <cellStyle name="Normal 4 6 2 7 2 3" xfId="13675" xr:uid="{E399D47B-A889-4317-9694-00582216772C}"/>
    <cellStyle name="Normal 4 6 2 7 3" xfId="6421" xr:uid="{00000000-0005-0000-0000-00004F160000}"/>
    <cellStyle name="Normal 4 6 2 7 3 2" xfId="15747" xr:uid="{65340797-9BD4-4BF8-881D-DE67527E0002}"/>
    <cellStyle name="Normal 4 6 2 7 4" xfId="11530" xr:uid="{A4513DB0-3FF6-4BDA-9C34-86A4EB2514AD}"/>
    <cellStyle name="Normal 4 6 2 8" xfId="2551" xr:uid="{00000000-0005-0000-0000-000050160000}"/>
    <cellStyle name="Normal 4 6 2 8 2" xfId="6834" xr:uid="{00000000-0005-0000-0000-000051160000}"/>
    <cellStyle name="Normal 4 6 2 8 2 2" xfId="16160" xr:uid="{7CD1AC25-B263-4F07-9B1C-1590F68483E6}"/>
    <cellStyle name="Normal 4 6 2 8 3" xfId="11943" xr:uid="{44720E81-6C12-44AC-BD4B-2020D8D6C966}"/>
    <cellStyle name="Normal 4 6 2 9" xfId="4769" xr:uid="{00000000-0005-0000-0000-000052160000}"/>
    <cellStyle name="Normal 4 6 2 9 2" xfId="14095" xr:uid="{D28E0B69-B5BA-4A43-B5B8-B22A9E645304}"/>
    <cellStyle name="Normal 4 6 3" xfId="400" xr:uid="{00000000-0005-0000-0000-000053160000}"/>
    <cellStyle name="Normal 4 6 3 10" xfId="9882" xr:uid="{7ED79285-46B0-41FA-A0BD-8DAC5A09FF06}"/>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B01420DC-0F3D-4B50-8A12-B7B0C1B38F00}"/>
    <cellStyle name="Normal 4 6 3 2 2 2 3" xfId="12441" xr:uid="{4044ADBB-6EDD-4288-A4E9-3F3F51F0B60A}"/>
    <cellStyle name="Normal 4 6 3 2 2 3" xfId="5187" xr:uid="{00000000-0005-0000-0000-000058160000}"/>
    <cellStyle name="Normal 4 6 3 2 2 3 2" xfId="14513" xr:uid="{E1554F4F-25C1-49D2-95E2-80DD82DBB019}"/>
    <cellStyle name="Normal 4 6 3 2 2 4" xfId="9507" xr:uid="{63E4C3EA-8BE6-4CDE-9E44-1D64049D4CF5}"/>
    <cellStyle name="Normal 4 6 3 2 2 4 2" xfId="18822" xr:uid="{9AA5B64A-A098-493F-926E-E00EEF62E6CD}"/>
    <cellStyle name="Normal 4 6 3 2 2 5" xfId="10296" xr:uid="{D2884B8D-A7BC-4173-A7CA-79CFC7438A0A}"/>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AF77C24C-8F37-438C-925B-86839E56D024}"/>
    <cellStyle name="Normal 4 6 3 2 3 2 3" xfId="12854" xr:uid="{510E859D-6B3A-4892-A2B8-1B09604A8F4E}"/>
    <cellStyle name="Normal 4 6 3 2 3 3" xfId="5600" xr:uid="{00000000-0005-0000-0000-00005C160000}"/>
    <cellStyle name="Normal 4 6 3 2 3 3 2" xfId="14926" xr:uid="{C47B2464-D27A-4974-BF67-1C4984683077}"/>
    <cellStyle name="Normal 4 6 3 2 3 4" xfId="10709" xr:uid="{F4BBC87C-F3BA-4EA7-AEA5-B044C759BF24}"/>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A1740490-6273-4019-81DB-6FD5883ADE27}"/>
    <cellStyle name="Normal 4 6 3 2 4 2 3" xfId="13267" xr:uid="{746A8F40-46C3-4B51-8D09-36C7D869307E}"/>
    <cellStyle name="Normal 4 6 3 2 4 3" xfId="6013" xr:uid="{00000000-0005-0000-0000-000060160000}"/>
    <cellStyle name="Normal 4 6 3 2 4 3 2" xfId="15339" xr:uid="{8F6AEC58-B16E-4773-BA2B-27F3A7DB6218}"/>
    <cellStyle name="Normal 4 6 3 2 4 4" xfId="11122" xr:uid="{12741E53-A2D6-4FAF-9C63-0B05F94602B5}"/>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88D97516-0987-4950-B5B1-B65D8F3F8B3A}"/>
    <cellStyle name="Normal 4 6 3 2 5 2 3" xfId="13680" xr:uid="{4E111163-B257-425B-866F-8C467E164FEE}"/>
    <cellStyle name="Normal 4 6 3 2 5 3" xfId="6426" xr:uid="{00000000-0005-0000-0000-000064160000}"/>
    <cellStyle name="Normal 4 6 3 2 5 3 2" xfId="15752" xr:uid="{6DA42A69-C77C-40AB-91A0-C731B0255F44}"/>
    <cellStyle name="Normal 4 6 3 2 5 4" xfId="11535" xr:uid="{D7612FC0-0708-4361-8C49-442838767944}"/>
    <cellStyle name="Normal 4 6 3 2 6" xfId="2556" xr:uid="{00000000-0005-0000-0000-000065160000}"/>
    <cellStyle name="Normal 4 6 3 2 6 2" xfId="6839" xr:uid="{00000000-0005-0000-0000-000066160000}"/>
    <cellStyle name="Normal 4 6 3 2 6 2 2" xfId="16165" xr:uid="{0EECC6A1-9C74-48A3-A481-07A2E0041D9B}"/>
    <cellStyle name="Normal 4 6 3 2 6 3" xfId="11948" xr:uid="{AC7B44A3-F430-4610-961B-0D5DEF6F23AD}"/>
    <cellStyle name="Normal 4 6 3 2 7" xfId="4774" xr:uid="{00000000-0005-0000-0000-000067160000}"/>
    <cellStyle name="Normal 4 6 3 2 7 2" xfId="14100" xr:uid="{0FD584C5-DBA0-41BA-A4EA-7A709264F648}"/>
    <cellStyle name="Normal 4 6 3 2 8" xfId="9082" xr:uid="{B272D1AE-3713-4AD0-AE3F-D1A7344AD432}"/>
    <cellStyle name="Normal 4 6 3 2 8 2" xfId="18406" xr:uid="{481C57E4-4D89-45CB-9216-9AF6AC41DA5E}"/>
    <cellStyle name="Normal 4 6 3 2 9" xfId="9883" xr:uid="{DDDACE65-2FA8-429F-AD7C-0469C4BD9501}"/>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108A99C7-B609-408A-B2E4-02D514F78059}"/>
    <cellStyle name="Normal 4 6 3 3 2 3" xfId="12440" xr:uid="{AD686C26-9950-4E32-9B4A-37F1F5B4FA50}"/>
    <cellStyle name="Normal 4 6 3 3 3" xfId="5186" xr:uid="{00000000-0005-0000-0000-00006B160000}"/>
    <cellStyle name="Normal 4 6 3 3 3 2" xfId="14512" xr:uid="{9EDB0984-9B1B-456A-9968-3982EB739A63}"/>
    <cellStyle name="Normal 4 6 3 3 4" xfId="9300" xr:uid="{955A2E97-C871-4115-A4F5-A642AE2D2C4B}"/>
    <cellStyle name="Normal 4 6 3 3 4 2" xfId="18615" xr:uid="{090E8A16-6394-4A0C-9F31-ADD133BEEFB0}"/>
    <cellStyle name="Normal 4 6 3 3 5" xfId="10295" xr:uid="{1C994168-9C81-4AA8-925C-0EEC9DFADDCF}"/>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08F4211D-96E6-4A9D-921F-2F4D0B3FA292}"/>
    <cellStyle name="Normal 4 6 3 4 2 3" xfId="12853" xr:uid="{0D00E9B5-106C-4B3E-97D5-4EAAFE383828}"/>
    <cellStyle name="Normal 4 6 3 4 3" xfId="5599" xr:uid="{00000000-0005-0000-0000-00006F160000}"/>
    <cellStyle name="Normal 4 6 3 4 3 2" xfId="14925" xr:uid="{CC58007D-81A4-47D5-A4C6-54B516696AEB}"/>
    <cellStyle name="Normal 4 6 3 4 4" xfId="10708" xr:uid="{4DE01932-7564-41E5-95F7-2B97865ECC4E}"/>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D6AF3E20-7A97-4979-876D-4551397E319F}"/>
    <cellStyle name="Normal 4 6 3 5 2 3" xfId="13266" xr:uid="{56319059-502B-44BA-BD3D-224F018FA1EB}"/>
    <cellStyle name="Normal 4 6 3 5 3" xfId="6012" xr:uid="{00000000-0005-0000-0000-000073160000}"/>
    <cellStyle name="Normal 4 6 3 5 3 2" xfId="15338" xr:uid="{E5B71DA9-FE6E-4B34-9611-AA9A8EB23376}"/>
    <cellStyle name="Normal 4 6 3 5 4" xfId="11121" xr:uid="{4939D85E-D4D4-4366-A790-9B37A956E5D5}"/>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E846D6BE-D08E-4F7E-848E-A3483E7FE3AA}"/>
    <cellStyle name="Normal 4 6 3 6 2 3" xfId="13679" xr:uid="{BACA6919-FE5E-4A15-BBA3-3221234EB300}"/>
    <cellStyle name="Normal 4 6 3 6 3" xfId="6425" xr:uid="{00000000-0005-0000-0000-000077160000}"/>
    <cellStyle name="Normal 4 6 3 6 3 2" xfId="15751" xr:uid="{0F344DDD-AF71-41EB-B58A-47714E7E1FD0}"/>
    <cellStyle name="Normal 4 6 3 6 4" xfId="11534" xr:uid="{7B308C2E-E4F5-4C64-A340-0988BEF83F85}"/>
    <cellStyle name="Normal 4 6 3 7" xfId="2555" xr:uid="{00000000-0005-0000-0000-000078160000}"/>
    <cellStyle name="Normal 4 6 3 7 2" xfId="6838" xr:uid="{00000000-0005-0000-0000-000079160000}"/>
    <cellStyle name="Normal 4 6 3 7 2 2" xfId="16164" xr:uid="{BBCB5DDD-A037-4690-AEC2-6E034BBC5248}"/>
    <cellStyle name="Normal 4 6 3 7 3" xfId="11947" xr:uid="{46E5AC2E-FD16-4929-A207-3C2282937A5F}"/>
    <cellStyle name="Normal 4 6 3 8" xfId="4773" xr:uid="{00000000-0005-0000-0000-00007A160000}"/>
    <cellStyle name="Normal 4 6 3 8 2" xfId="14099" xr:uid="{FA53373C-2817-49EF-A239-4DB06D2A8BC3}"/>
    <cellStyle name="Normal 4 6 3 9" xfId="8875" xr:uid="{DFD24C28-B729-444D-A0F6-B5522ED354D5}"/>
    <cellStyle name="Normal 4 6 3 9 2" xfId="18199" xr:uid="{A9C4C96B-2BAF-4A09-891C-0D390E02866F}"/>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994442AC-B837-41A4-9582-8E32EB2A90B9}"/>
    <cellStyle name="Normal 4 6 4 2 2 3" xfId="12442" xr:uid="{FCB82A9A-6337-4687-8603-07BABB2232D5}"/>
    <cellStyle name="Normal 4 6 4 2 3" xfId="5188" xr:uid="{00000000-0005-0000-0000-00007F160000}"/>
    <cellStyle name="Normal 4 6 4 2 3 2" xfId="14514" xr:uid="{969FBBAE-D8A1-4414-9948-57A3E2AE886A}"/>
    <cellStyle name="Normal 4 6 4 2 4" xfId="9404" xr:uid="{D1BAB6D6-35EF-4C34-91EA-2EB17352CDF9}"/>
    <cellStyle name="Normal 4 6 4 2 4 2" xfId="18719" xr:uid="{D0AE9496-C25D-4AE5-8ECB-359EA3C0CC28}"/>
    <cellStyle name="Normal 4 6 4 2 5" xfId="10297" xr:uid="{A69EF357-BBC5-4776-BAD4-34F36122279E}"/>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AE283569-4D0E-40B8-BEEA-5EECB4547F8D}"/>
    <cellStyle name="Normal 4 6 4 3 2 3" xfId="12855" xr:uid="{1D8B7600-5C43-443A-B72B-872F6E463759}"/>
    <cellStyle name="Normal 4 6 4 3 3" xfId="5601" xr:uid="{00000000-0005-0000-0000-000083160000}"/>
    <cellStyle name="Normal 4 6 4 3 3 2" xfId="14927" xr:uid="{7B26F34F-07D3-4138-BDBA-7F1A27D0DF82}"/>
    <cellStyle name="Normal 4 6 4 3 4" xfId="10710" xr:uid="{AEDB3E7A-4251-441D-88FB-37E91205E375}"/>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A44C82BA-E6BA-4D45-BF80-AD79AF47FEAE}"/>
    <cellStyle name="Normal 4 6 4 4 2 3" xfId="13268" xr:uid="{CF112453-118C-4FAC-BE0C-6D88DDEEC5BE}"/>
    <cellStyle name="Normal 4 6 4 4 3" xfId="6014" xr:uid="{00000000-0005-0000-0000-000087160000}"/>
    <cellStyle name="Normal 4 6 4 4 3 2" xfId="15340" xr:uid="{36818182-5147-4457-BDE4-1F490F893490}"/>
    <cellStyle name="Normal 4 6 4 4 4" xfId="11123" xr:uid="{5DF0609E-979A-46DF-B027-99D9D529F614}"/>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22A266DF-7A12-40CE-8679-01D8A5DFB27F}"/>
    <cellStyle name="Normal 4 6 4 5 2 3" xfId="13681" xr:uid="{BE7E1134-83C8-49A4-959B-78AB955CC9EC}"/>
    <cellStyle name="Normal 4 6 4 5 3" xfId="6427" xr:uid="{00000000-0005-0000-0000-00008B160000}"/>
    <cellStyle name="Normal 4 6 4 5 3 2" xfId="15753" xr:uid="{5109F1FF-1932-41CD-B975-D18419FE08C2}"/>
    <cellStyle name="Normal 4 6 4 5 4" xfId="11536" xr:uid="{3A60D3A1-7C8A-4418-A68F-83FE61923FFC}"/>
    <cellStyle name="Normal 4 6 4 6" xfId="2557" xr:uid="{00000000-0005-0000-0000-00008C160000}"/>
    <cellStyle name="Normal 4 6 4 6 2" xfId="6840" xr:uid="{00000000-0005-0000-0000-00008D160000}"/>
    <cellStyle name="Normal 4 6 4 6 2 2" xfId="16166" xr:uid="{80E04A0E-B4B0-40C9-B46D-199DB016563F}"/>
    <cellStyle name="Normal 4 6 4 6 3" xfId="11949" xr:uid="{37AE9A4E-32CB-49D3-944D-CE89238F3053}"/>
    <cellStyle name="Normal 4 6 4 7" xfId="4775" xr:uid="{00000000-0005-0000-0000-00008E160000}"/>
    <cellStyle name="Normal 4 6 4 7 2" xfId="14101" xr:uid="{E3B9E10B-B834-410A-AB77-1B9B06DB0E5D}"/>
    <cellStyle name="Normal 4 6 4 8" xfId="8979" xr:uid="{358D1440-F461-4509-8416-8F78F7D13FF4}"/>
    <cellStyle name="Normal 4 6 4 8 2" xfId="18303" xr:uid="{3CCE12AE-22F4-4521-B588-DD001880CA49}"/>
    <cellStyle name="Normal 4 6 4 9" xfId="9884" xr:uid="{CDBE0C68-D032-44A6-940D-4D5B186BE70A}"/>
    <cellStyle name="Normal 4 6 5" xfId="869" xr:uid="{00000000-0005-0000-0000-00008F160000}"/>
    <cellStyle name="Normal 4 6 5 2" xfId="3104" xr:uid="{00000000-0005-0000-0000-000090160000}"/>
    <cellStyle name="Normal 4 6 5 2 2" xfId="7326" xr:uid="{00000000-0005-0000-0000-000091160000}"/>
    <cellStyle name="Normal 4 6 5 2 2 2" xfId="16652" xr:uid="{E803A3D8-66B6-4D95-9631-26DD7FFA2EA3}"/>
    <cellStyle name="Normal 4 6 5 2 3" xfId="12435" xr:uid="{9DFB2ED3-B87B-4EC5-AFF6-A16C39C4DF45}"/>
    <cellStyle name="Normal 4 6 5 3" xfId="5181" xr:uid="{00000000-0005-0000-0000-000092160000}"/>
    <cellStyle name="Normal 4 6 5 3 2" xfId="14507" xr:uid="{39072348-96BC-4248-9999-ED91B2C85E8F}"/>
    <cellStyle name="Normal 4 6 5 4" xfId="9196" xr:uid="{8DF5D81E-BEC3-4373-A99C-2D9CDEEBBA3C}"/>
    <cellStyle name="Normal 4 6 5 4 2" xfId="18512" xr:uid="{ABC4998A-E543-4D4A-A14C-32E443B3A39B}"/>
    <cellStyle name="Normal 4 6 5 5" xfId="10290" xr:uid="{CA77C085-86BC-4652-B4DE-06841C87FA03}"/>
    <cellStyle name="Normal 4 6 6" xfId="1287" xr:uid="{00000000-0005-0000-0000-000093160000}"/>
    <cellStyle name="Normal 4 6 6 2" xfId="3517" xr:uid="{00000000-0005-0000-0000-000094160000}"/>
    <cellStyle name="Normal 4 6 6 2 2" xfId="7739" xr:uid="{00000000-0005-0000-0000-000095160000}"/>
    <cellStyle name="Normal 4 6 6 2 2 2" xfId="17065" xr:uid="{B1063C11-5AE8-4553-83DF-1A97AC2A9E37}"/>
    <cellStyle name="Normal 4 6 6 2 3" xfId="12848" xr:uid="{CAFFFD88-525F-463C-9D3C-C800EFE5C6FF}"/>
    <cellStyle name="Normal 4 6 6 3" xfId="5594" xr:uid="{00000000-0005-0000-0000-000096160000}"/>
    <cellStyle name="Normal 4 6 6 3 2" xfId="14920" xr:uid="{B1AAEDB1-2652-4841-958A-390F0DED5946}"/>
    <cellStyle name="Normal 4 6 6 4" xfId="10703" xr:uid="{2DDCF070-D85E-4346-9BC1-05F734A3A8FF}"/>
    <cellStyle name="Normal 4 6 7" xfId="1700" xr:uid="{00000000-0005-0000-0000-000097160000}"/>
    <cellStyle name="Normal 4 6 7 2" xfId="3930" xr:uid="{00000000-0005-0000-0000-000098160000}"/>
    <cellStyle name="Normal 4 6 7 2 2" xfId="8152" xr:uid="{00000000-0005-0000-0000-000099160000}"/>
    <cellStyle name="Normal 4 6 7 2 2 2" xfId="17478" xr:uid="{3C5270D9-E569-49AB-9EF3-FE05247EBCB4}"/>
    <cellStyle name="Normal 4 6 7 2 3" xfId="13261" xr:uid="{69FB06C4-4B65-4E20-8AA4-75D40C7D41F0}"/>
    <cellStyle name="Normal 4 6 7 3" xfId="6007" xr:uid="{00000000-0005-0000-0000-00009A160000}"/>
    <cellStyle name="Normal 4 6 7 3 2" xfId="15333" xr:uid="{6138EF14-49FC-4E3D-9106-A2E98D68A1A9}"/>
    <cellStyle name="Normal 4 6 7 4" xfId="11116" xr:uid="{BA052D59-E034-4226-9B5F-CE42001D2D5E}"/>
    <cellStyle name="Normal 4 6 8" xfId="2114" xr:uid="{00000000-0005-0000-0000-00009B160000}"/>
    <cellStyle name="Normal 4 6 8 2" xfId="4343" xr:uid="{00000000-0005-0000-0000-00009C160000}"/>
    <cellStyle name="Normal 4 6 8 2 2" xfId="8565" xr:uid="{00000000-0005-0000-0000-00009D160000}"/>
    <cellStyle name="Normal 4 6 8 2 2 2" xfId="17891" xr:uid="{893DEFB9-83B4-4643-A0BC-DD72F225B879}"/>
    <cellStyle name="Normal 4 6 8 2 3" xfId="13674" xr:uid="{FF3538D6-7B1F-402B-A6E1-AB0ED2998CCF}"/>
    <cellStyle name="Normal 4 6 8 3" xfId="6420" xr:uid="{00000000-0005-0000-0000-00009E160000}"/>
    <cellStyle name="Normal 4 6 8 3 2" xfId="15746" xr:uid="{76C8E8F9-E50C-4822-AAE4-CE38586BCC4D}"/>
    <cellStyle name="Normal 4 6 8 4" xfId="11529" xr:uid="{08B70171-52E6-4F1B-847A-FCD0AE409C30}"/>
    <cellStyle name="Normal 4 6 9" xfId="2550" xr:uid="{00000000-0005-0000-0000-00009F160000}"/>
    <cellStyle name="Normal 4 6 9 2" xfId="6833" xr:uid="{00000000-0005-0000-0000-0000A0160000}"/>
    <cellStyle name="Normal 4 6 9 2 2" xfId="16159" xr:uid="{3C9026EE-6CBA-478F-A154-C175B3F8FED7}"/>
    <cellStyle name="Normal 4 6 9 3" xfId="11942" xr:uid="{4C70FC6D-67E5-41D5-B007-4058046FC8AF}"/>
    <cellStyle name="Normal 4 7" xfId="403" xr:uid="{00000000-0005-0000-0000-0000A1160000}"/>
    <cellStyle name="Normal 4 7 10" xfId="9885" xr:uid="{E1C728B8-AC3E-4D22-B9AF-40E7273CE537}"/>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AE0D634F-D9BD-4698-B9AB-B5F4B3CB7E9D}"/>
    <cellStyle name="Normal 4 7 2 2 2 3" xfId="12444" xr:uid="{B0888E35-0C4C-40E2-8103-0199D2B779F3}"/>
    <cellStyle name="Normal 4 7 2 2 3" xfId="5190" xr:uid="{00000000-0005-0000-0000-0000A6160000}"/>
    <cellStyle name="Normal 4 7 2 2 3 2" xfId="14516" xr:uid="{2778CF9A-6FFF-41DA-BCD1-7B7A9C73F85A}"/>
    <cellStyle name="Normal 4 7 2 2 4" xfId="9475" xr:uid="{1E309EF6-7D7C-4A4D-B2F1-E00D0CF6E167}"/>
    <cellStyle name="Normal 4 7 2 2 4 2" xfId="18790" xr:uid="{3E76CFC2-D992-4C30-A5C3-EF95ED732C9C}"/>
    <cellStyle name="Normal 4 7 2 2 5" xfId="10299" xr:uid="{2E2AE8F7-82E4-427A-9C9A-5DCD85B827D0}"/>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85F3CFC8-400B-4BBC-9BEB-4467B553D5D8}"/>
    <cellStyle name="Normal 4 7 2 3 2 3" xfId="12857" xr:uid="{BE6C40F8-D49C-4FEB-8B1A-B802A1A4DE9D}"/>
    <cellStyle name="Normal 4 7 2 3 3" xfId="5603" xr:uid="{00000000-0005-0000-0000-0000AA160000}"/>
    <cellStyle name="Normal 4 7 2 3 3 2" xfId="14929" xr:uid="{7A090986-1E5D-4475-925D-5CB269621664}"/>
    <cellStyle name="Normal 4 7 2 3 4" xfId="10712" xr:uid="{F39E0106-08C6-404B-BFD3-6AF237C5798F}"/>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84F9A65E-5B90-4FA2-83AC-91FD61753900}"/>
    <cellStyle name="Normal 4 7 2 4 2 3" xfId="13270" xr:uid="{9123E7A5-8947-4AF7-AD66-7DA22F7CA82D}"/>
    <cellStyle name="Normal 4 7 2 4 3" xfId="6016" xr:uid="{00000000-0005-0000-0000-0000AE160000}"/>
    <cellStyle name="Normal 4 7 2 4 3 2" xfId="15342" xr:uid="{1E9F6E99-B874-48AD-A013-A843C0EE980B}"/>
    <cellStyle name="Normal 4 7 2 4 4" xfId="11125" xr:uid="{DE2FE9AD-EAC5-48F2-A5D3-2430A9229405}"/>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98B2855C-3800-4DAE-832B-9D955D4F9699}"/>
    <cellStyle name="Normal 4 7 2 5 2 3" xfId="13683" xr:uid="{F3FF71C9-3FB6-4386-AB32-4933C6FCEBFB}"/>
    <cellStyle name="Normal 4 7 2 5 3" xfId="6429" xr:uid="{00000000-0005-0000-0000-0000B2160000}"/>
    <cellStyle name="Normal 4 7 2 5 3 2" xfId="15755" xr:uid="{A63A02BB-BA1E-4540-AEE6-31455CCF7769}"/>
    <cellStyle name="Normal 4 7 2 5 4" xfId="11538" xr:uid="{AC496466-CE8F-469B-8521-96C60450495E}"/>
    <cellStyle name="Normal 4 7 2 6" xfId="2559" xr:uid="{00000000-0005-0000-0000-0000B3160000}"/>
    <cellStyle name="Normal 4 7 2 6 2" xfId="6842" xr:uid="{00000000-0005-0000-0000-0000B4160000}"/>
    <cellStyle name="Normal 4 7 2 6 2 2" xfId="16168" xr:uid="{151C33F8-A890-4965-9EB0-F64A1E59A249}"/>
    <cellStyle name="Normal 4 7 2 6 3" xfId="11951" xr:uid="{86A8563B-7FC2-4C18-BF9A-9A55F3476A46}"/>
    <cellStyle name="Normal 4 7 2 7" xfId="4777" xr:uid="{00000000-0005-0000-0000-0000B5160000}"/>
    <cellStyle name="Normal 4 7 2 7 2" xfId="14103" xr:uid="{E90A8AE8-D178-468E-8742-37D676951F5D}"/>
    <cellStyle name="Normal 4 7 2 8" xfId="9050" xr:uid="{C18A0BCD-6C40-47C4-AC72-E06914F008F6}"/>
    <cellStyle name="Normal 4 7 2 8 2" xfId="18374" xr:uid="{A59B7265-C5D0-41C3-9BCA-D6B135B6FACB}"/>
    <cellStyle name="Normal 4 7 2 9" xfId="9886" xr:uid="{0D7AAC3E-797B-491B-8E5C-3EC0C106CC7C}"/>
    <cellStyle name="Normal 4 7 3" xfId="877" xr:uid="{00000000-0005-0000-0000-0000B6160000}"/>
    <cellStyle name="Normal 4 7 3 2" xfId="3112" xr:uid="{00000000-0005-0000-0000-0000B7160000}"/>
    <cellStyle name="Normal 4 7 3 2 2" xfId="7334" xr:uid="{00000000-0005-0000-0000-0000B8160000}"/>
    <cellStyle name="Normal 4 7 3 2 2 2" xfId="16660" xr:uid="{9768F6B5-E0E4-42B3-BD85-308F0D29F2AD}"/>
    <cellStyle name="Normal 4 7 3 2 3" xfId="12443" xr:uid="{9B270B1D-0212-4609-9B0E-825FE5E5D6B9}"/>
    <cellStyle name="Normal 4 7 3 3" xfId="5189" xr:uid="{00000000-0005-0000-0000-0000B9160000}"/>
    <cellStyle name="Normal 4 7 3 3 2" xfId="14515" xr:uid="{2DD3F663-9EB8-4B47-A9C1-B284016B352B}"/>
    <cellStyle name="Normal 4 7 3 4" xfId="9268" xr:uid="{83DA99B2-5D77-4110-AEB9-304D3ECEF3EB}"/>
    <cellStyle name="Normal 4 7 3 4 2" xfId="18583" xr:uid="{D785B278-40A7-4B3A-A227-7D682C60DD23}"/>
    <cellStyle name="Normal 4 7 3 5" xfId="10298" xr:uid="{81378F69-9E5D-416D-A65E-8774B0588B9C}"/>
    <cellStyle name="Normal 4 7 4" xfId="1295" xr:uid="{00000000-0005-0000-0000-0000BA160000}"/>
    <cellStyle name="Normal 4 7 4 2" xfId="3525" xr:uid="{00000000-0005-0000-0000-0000BB160000}"/>
    <cellStyle name="Normal 4 7 4 2 2" xfId="7747" xr:uid="{00000000-0005-0000-0000-0000BC160000}"/>
    <cellStyle name="Normal 4 7 4 2 2 2" xfId="17073" xr:uid="{64EAF92C-318A-4108-AC9D-01E8D148BE00}"/>
    <cellStyle name="Normal 4 7 4 2 3" xfId="12856" xr:uid="{71485736-A60A-4396-8002-A028090AB096}"/>
    <cellStyle name="Normal 4 7 4 3" xfId="5602" xr:uid="{00000000-0005-0000-0000-0000BD160000}"/>
    <cellStyle name="Normal 4 7 4 3 2" xfId="14928" xr:uid="{622C4111-33B4-4EAE-896D-4D70A5D4FF9A}"/>
    <cellStyle name="Normal 4 7 4 4" xfId="10711" xr:uid="{759F873B-9BE2-4F14-B397-D804ABA836BE}"/>
    <cellStyle name="Normal 4 7 5" xfId="1708" xr:uid="{00000000-0005-0000-0000-0000BE160000}"/>
    <cellStyle name="Normal 4 7 5 2" xfId="3938" xr:uid="{00000000-0005-0000-0000-0000BF160000}"/>
    <cellStyle name="Normal 4 7 5 2 2" xfId="8160" xr:uid="{00000000-0005-0000-0000-0000C0160000}"/>
    <cellStyle name="Normal 4 7 5 2 2 2" xfId="17486" xr:uid="{8FE45606-945A-4BD4-9C64-841BBC1F1C37}"/>
    <cellStyle name="Normal 4 7 5 2 3" xfId="13269" xr:uid="{78B66F54-41F2-47E3-8669-D06C5F1D5B5F}"/>
    <cellStyle name="Normal 4 7 5 3" xfId="6015" xr:uid="{00000000-0005-0000-0000-0000C1160000}"/>
    <cellStyle name="Normal 4 7 5 3 2" xfId="15341" xr:uid="{AE85E4D3-B5FA-4FB7-BC23-EB3DFF594EF1}"/>
    <cellStyle name="Normal 4 7 5 4" xfId="11124" xr:uid="{2B026D32-51A6-4EDE-800A-33633F7DAC76}"/>
    <cellStyle name="Normal 4 7 6" xfId="2122" xr:uid="{00000000-0005-0000-0000-0000C2160000}"/>
    <cellStyle name="Normal 4 7 6 2" xfId="4351" xr:uid="{00000000-0005-0000-0000-0000C3160000}"/>
    <cellStyle name="Normal 4 7 6 2 2" xfId="8573" xr:uid="{00000000-0005-0000-0000-0000C4160000}"/>
    <cellStyle name="Normal 4 7 6 2 2 2" xfId="17899" xr:uid="{D1602901-7126-4815-8C73-07795CB045E3}"/>
    <cellStyle name="Normal 4 7 6 2 3" xfId="13682" xr:uid="{8E902D33-F8E2-46D9-8B77-A0780B1CC162}"/>
    <cellStyle name="Normal 4 7 6 3" xfId="6428" xr:uid="{00000000-0005-0000-0000-0000C5160000}"/>
    <cellStyle name="Normal 4 7 6 3 2" xfId="15754" xr:uid="{37937103-AC14-4B13-86A7-41C7258F17DF}"/>
    <cellStyle name="Normal 4 7 6 4" xfId="11537" xr:uid="{7430642C-DB74-4ABB-92EF-F89DDF013A4F}"/>
    <cellStyle name="Normal 4 7 7" xfId="2558" xr:uid="{00000000-0005-0000-0000-0000C6160000}"/>
    <cellStyle name="Normal 4 7 7 2" xfId="6841" xr:uid="{00000000-0005-0000-0000-0000C7160000}"/>
    <cellStyle name="Normal 4 7 7 2 2" xfId="16167" xr:uid="{FF7E9C08-A115-4E3D-9ABD-9F853F8D0C30}"/>
    <cellStyle name="Normal 4 7 7 3" xfId="11950" xr:uid="{4C2EE302-FF92-47D9-8D0C-B3A2602D78A5}"/>
    <cellStyle name="Normal 4 7 8" xfId="4776" xr:uid="{00000000-0005-0000-0000-0000C8160000}"/>
    <cellStyle name="Normal 4 7 8 2" xfId="14102" xr:uid="{3E9439F7-0B3D-4DF7-8DFE-5875A45E6B36}"/>
    <cellStyle name="Normal 4 7 9" xfId="8843" xr:uid="{092972D9-0015-4C5A-94A6-5AFD2026266B}"/>
    <cellStyle name="Normal 4 7 9 2" xfId="18167" xr:uid="{4C715094-B789-4699-A30D-DA28AD5927DA}"/>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6EE7A1A4-C1D6-45B9-A629-C4EB0710A40C}"/>
    <cellStyle name="Normal 4 8 2 2 3" xfId="12445" xr:uid="{FD261B4E-F8CD-4E17-AFA5-6CF6380E37CB}"/>
    <cellStyle name="Normal 4 8 2 3" xfId="5191" xr:uid="{00000000-0005-0000-0000-0000CD160000}"/>
    <cellStyle name="Normal 4 8 2 3 2" xfId="14517" xr:uid="{A4222DA8-75AD-43D7-8320-32A6D4F60D56}"/>
    <cellStyle name="Normal 4 8 2 4" xfId="9384" xr:uid="{6351F1DA-E485-4044-8429-C0AE76E79EEE}"/>
    <cellStyle name="Normal 4 8 2 4 2" xfId="18699" xr:uid="{F39E4C76-D809-4F9B-8942-19E2D06C4351}"/>
    <cellStyle name="Normal 4 8 2 5" xfId="10300" xr:uid="{F89EB9EE-8799-499C-BF74-F387F04BAD23}"/>
    <cellStyle name="Normal 4 8 3" xfId="1297" xr:uid="{00000000-0005-0000-0000-0000CE160000}"/>
    <cellStyle name="Normal 4 8 3 2" xfId="3527" xr:uid="{00000000-0005-0000-0000-0000CF160000}"/>
    <cellStyle name="Normal 4 8 3 2 2" xfId="7749" xr:uid="{00000000-0005-0000-0000-0000D0160000}"/>
    <cellStyle name="Normal 4 8 3 2 2 2" xfId="17075" xr:uid="{6A0FAD6B-D19F-45FD-A0B1-A8E2A5EEDC49}"/>
    <cellStyle name="Normal 4 8 3 2 3" xfId="12858" xr:uid="{1AEDEBFE-3CA9-410A-9222-BF564B6B4B2F}"/>
    <cellStyle name="Normal 4 8 3 3" xfId="5604" xr:uid="{00000000-0005-0000-0000-0000D1160000}"/>
    <cellStyle name="Normal 4 8 3 3 2" xfId="14930" xr:uid="{B199657D-67B1-4536-BB69-3674A5B813E7}"/>
    <cellStyle name="Normal 4 8 3 4" xfId="10713" xr:uid="{89E76072-E053-49B4-8BB5-9F4CBDC71B01}"/>
    <cellStyle name="Normal 4 8 4" xfId="1710" xr:uid="{00000000-0005-0000-0000-0000D2160000}"/>
    <cellStyle name="Normal 4 8 4 2" xfId="3940" xr:uid="{00000000-0005-0000-0000-0000D3160000}"/>
    <cellStyle name="Normal 4 8 4 2 2" xfId="8162" xr:uid="{00000000-0005-0000-0000-0000D4160000}"/>
    <cellStyle name="Normal 4 8 4 2 2 2" xfId="17488" xr:uid="{CABE40CB-AECF-433C-9BD7-5AC740B55D79}"/>
    <cellStyle name="Normal 4 8 4 2 3" xfId="13271" xr:uid="{F9E61687-17A5-4A30-900E-4845085CEABF}"/>
    <cellStyle name="Normal 4 8 4 3" xfId="6017" xr:uid="{00000000-0005-0000-0000-0000D5160000}"/>
    <cellStyle name="Normal 4 8 4 3 2" xfId="15343" xr:uid="{40B6C65C-E811-4F6E-A31D-A001F6C4B6C7}"/>
    <cellStyle name="Normal 4 8 4 4" xfId="11126" xr:uid="{D4114B18-0C57-4896-A0B8-1DC060798941}"/>
    <cellStyle name="Normal 4 8 5" xfId="2124" xr:uid="{00000000-0005-0000-0000-0000D6160000}"/>
    <cellStyle name="Normal 4 8 5 2" xfId="4353" xr:uid="{00000000-0005-0000-0000-0000D7160000}"/>
    <cellStyle name="Normal 4 8 5 2 2" xfId="8575" xr:uid="{00000000-0005-0000-0000-0000D8160000}"/>
    <cellStyle name="Normal 4 8 5 2 2 2" xfId="17901" xr:uid="{9214C767-AA09-4BA6-915F-938892F03A9E}"/>
    <cellStyle name="Normal 4 8 5 2 3" xfId="13684" xr:uid="{7316AC59-C9F2-41FD-9458-3E099061B5D6}"/>
    <cellStyle name="Normal 4 8 5 3" xfId="6430" xr:uid="{00000000-0005-0000-0000-0000D9160000}"/>
    <cellStyle name="Normal 4 8 5 3 2" xfId="15756" xr:uid="{2B752A78-AEDC-46C2-A03B-9C72B2A7C5B3}"/>
    <cellStyle name="Normal 4 8 5 4" xfId="11539" xr:uid="{1F67377A-70B8-4332-81C2-432772FE6252}"/>
    <cellStyle name="Normal 4 8 6" xfId="2560" xr:uid="{00000000-0005-0000-0000-0000DA160000}"/>
    <cellStyle name="Normal 4 8 6 2" xfId="6843" xr:uid="{00000000-0005-0000-0000-0000DB160000}"/>
    <cellStyle name="Normal 4 8 6 2 2" xfId="16169" xr:uid="{0DF463D2-A78D-46F5-BBCF-C2ACA8240351}"/>
    <cellStyle name="Normal 4 8 6 3" xfId="11952" xr:uid="{B2CCE53E-2146-4204-B208-23C9195FB7EC}"/>
    <cellStyle name="Normal 4 8 7" xfId="4778" xr:uid="{00000000-0005-0000-0000-0000DC160000}"/>
    <cellStyle name="Normal 4 8 7 2" xfId="14104" xr:uid="{6E81EF9E-AD84-4290-AF0E-38496F0A6216}"/>
    <cellStyle name="Normal 4 8 8" xfId="8959" xr:uid="{E3216EF3-66EB-48FF-967C-A258B3C3F4FF}"/>
    <cellStyle name="Normal 4 8 8 2" xfId="18283" xr:uid="{EF5E38EB-9027-4A92-8A76-16E5CED7963C}"/>
    <cellStyle name="Normal 4 8 9" xfId="9887" xr:uid="{0F862AB1-80B8-45D5-BA08-2CB1B0626267}"/>
    <cellStyle name="Normal 4 9" xfId="4715" xr:uid="{00000000-0005-0000-0000-0000DD160000}"/>
    <cellStyle name="Normal 4 9 2" xfId="9162" xr:uid="{BC355FAB-4557-4712-A03F-EB5522B29E6A}"/>
    <cellStyle name="Normal 4 9 2 2" xfId="18480" xr:uid="{D799FBF7-2010-43D1-922E-DCBAB2EADE6E}"/>
    <cellStyle name="Normal 4 9 3" xfId="14041" xr:uid="{0759DC75-62BA-43D0-8ECF-2C6938EDF7D6}"/>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6747FCD3-FB04-4890-B169-3B0132EA9403}"/>
    <cellStyle name="Normal 5 10 2 3" xfId="13272" xr:uid="{3FA2E543-854F-4AAF-A23E-2FB7F0E999BD}"/>
    <cellStyle name="Normal 5 10 3" xfId="6018" xr:uid="{00000000-0005-0000-0000-0000E2160000}"/>
    <cellStyle name="Normal 5 10 3 2" xfId="15344" xr:uid="{3CD461A6-4D1C-411B-A0FB-00942FD44BB4}"/>
    <cellStyle name="Normal 5 10 4" xfId="11127" xr:uid="{84CB03DC-1BC2-40D7-8714-3BE2372C8B3F}"/>
    <cellStyle name="Normal 5 11" xfId="2125" xr:uid="{00000000-0005-0000-0000-0000E3160000}"/>
    <cellStyle name="Normal 5 11 2" xfId="4354" xr:uid="{00000000-0005-0000-0000-0000E4160000}"/>
    <cellStyle name="Normal 5 11 2 2" xfId="8576" xr:uid="{00000000-0005-0000-0000-0000E5160000}"/>
    <cellStyle name="Normal 5 11 2 2 2" xfId="17902" xr:uid="{40AB0798-157F-49FC-9505-2A9B58764CBA}"/>
    <cellStyle name="Normal 5 11 2 3" xfId="13685" xr:uid="{6FFAE269-079A-4D35-BEFC-2D556BCBC967}"/>
    <cellStyle name="Normal 5 11 3" xfId="6431" xr:uid="{00000000-0005-0000-0000-0000E6160000}"/>
    <cellStyle name="Normal 5 11 3 2" xfId="15757" xr:uid="{4F83C7A4-F7B8-4458-B4E0-CEBC303541A1}"/>
    <cellStyle name="Normal 5 11 4" xfId="11540" xr:uid="{9744E839-CC7D-47F8-BC88-12445EB7FBB7}"/>
    <cellStyle name="Normal 5 12" xfId="2561" xr:uid="{00000000-0005-0000-0000-0000E7160000}"/>
    <cellStyle name="Normal 5 12 2" xfId="6844" xr:uid="{00000000-0005-0000-0000-0000E8160000}"/>
    <cellStyle name="Normal 5 12 2 2" xfId="16170" xr:uid="{272F6ACA-F0F7-4066-8371-D8E2F15E0134}"/>
    <cellStyle name="Normal 5 12 3" xfId="11953" xr:uid="{172016CD-ABE2-4BFE-B268-D7452C996407}"/>
    <cellStyle name="Normal 5 13" xfId="4779" xr:uid="{00000000-0005-0000-0000-0000E9160000}"/>
    <cellStyle name="Normal 5 13 2" xfId="14105" xr:uid="{AEF924B0-3BB8-46AB-9ABF-9B65AC066016}"/>
    <cellStyle name="Normal 5 14" xfId="8741" xr:uid="{6467398C-BC57-47BF-AF01-9B3356F8431F}"/>
    <cellStyle name="Normal 5 14 2" xfId="18065" xr:uid="{5B429909-61B2-4B9A-9FD1-FF8FA0BC0F3E}"/>
    <cellStyle name="Normal 5 15" xfId="9888" xr:uid="{642D72F6-3F7F-4FA4-8D11-CCB75E3EC909}"/>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07E671D1-E5E9-4CE9-8D3F-229F7E44445D}"/>
    <cellStyle name="Normal 5 2 10 2 3" xfId="13686" xr:uid="{83CCE549-9699-42D2-9030-13B2883433F9}"/>
    <cellStyle name="Normal 5 2 10 3" xfId="6432" xr:uid="{00000000-0005-0000-0000-0000EE160000}"/>
    <cellStyle name="Normal 5 2 10 3 2" xfId="15758" xr:uid="{3D7D8D43-6A20-4FA1-8A07-C9457B25FA05}"/>
    <cellStyle name="Normal 5 2 10 4" xfId="11541" xr:uid="{F1ACFF1A-CA9D-4E8B-B462-3D18DFA1B01E}"/>
    <cellStyle name="Normal 5 2 11" xfId="2562" xr:uid="{00000000-0005-0000-0000-0000EF160000}"/>
    <cellStyle name="Normal 5 2 11 2" xfId="6845" xr:uid="{00000000-0005-0000-0000-0000F0160000}"/>
    <cellStyle name="Normal 5 2 11 2 2" xfId="16171" xr:uid="{9D7562CE-7A27-4A9A-89DF-F2F1CBFC4EFE}"/>
    <cellStyle name="Normal 5 2 11 3" xfId="11954" xr:uid="{64457F56-E36A-4E10-8E6C-60905306FD46}"/>
    <cellStyle name="Normal 5 2 12" xfId="4780" xr:uid="{00000000-0005-0000-0000-0000F1160000}"/>
    <cellStyle name="Normal 5 2 12 2" xfId="14106" xr:uid="{2F48E11B-B6B3-4729-B816-C425835F9188}"/>
    <cellStyle name="Normal 5 2 13" xfId="8744" xr:uid="{40D5DF2B-E9DF-4D52-AAE0-3E5A94050B59}"/>
    <cellStyle name="Normal 5 2 13 2" xfId="18068" xr:uid="{B44639BC-01D9-497C-AEE3-B9C82E7EB0E2}"/>
    <cellStyle name="Normal 5 2 14" xfId="9889" xr:uid="{905B9CE4-8216-4009-BC56-E6563FC472A4}"/>
    <cellStyle name="Normal 5 2 2" xfId="408" xr:uid="{00000000-0005-0000-0000-0000F2160000}"/>
    <cellStyle name="Normal 5 2 2 10" xfId="2563" xr:uid="{00000000-0005-0000-0000-0000F3160000}"/>
    <cellStyle name="Normal 5 2 2 10 2" xfId="6846" xr:uid="{00000000-0005-0000-0000-0000F4160000}"/>
    <cellStyle name="Normal 5 2 2 10 2 2" xfId="16172" xr:uid="{EEBBB1B8-3C3F-43ED-AB1D-34FF88BBEEAB}"/>
    <cellStyle name="Normal 5 2 2 10 3" xfId="11955" xr:uid="{5A007C74-27CC-4F3A-94FB-D6DCAAF896AA}"/>
    <cellStyle name="Normal 5 2 2 11" xfId="4781" xr:uid="{00000000-0005-0000-0000-0000F5160000}"/>
    <cellStyle name="Normal 5 2 2 11 2" xfId="14107" xr:uid="{B0559A2F-F35C-4935-943F-5DFDF13411D4}"/>
    <cellStyle name="Normal 5 2 2 12" xfId="8753" xr:uid="{96D04E2F-D92F-448D-9FDA-8261D8BEE094}"/>
    <cellStyle name="Normal 5 2 2 12 2" xfId="18077" xr:uid="{2C5A112F-2C0A-48DD-8FFE-3F7379361CF4}"/>
    <cellStyle name="Normal 5 2 2 13" xfId="9890" xr:uid="{130BEA9F-FCBA-4879-9924-E1929B9D0F12}"/>
    <cellStyle name="Normal 5 2 2 2" xfId="409" xr:uid="{00000000-0005-0000-0000-0000F6160000}"/>
    <cellStyle name="Normal 5 2 2 2 10" xfId="4782" xr:uid="{00000000-0005-0000-0000-0000F7160000}"/>
    <cellStyle name="Normal 5 2 2 2 10 2" xfId="14108" xr:uid="{B54FF510-07E6-445C-AE67-FB30BEF3EEEF}"/>
    <cellStyle name="Normal 5 2 2 2 11" xfId="8771" xr:uid="{0E58ED1C-12F1-4692-801F-170CA6F7CBDB}"/>
    <cellStyle name="Normal 5 2 2 2 11 2" xfId="18095" xr:uid="{4A8E1E1B-3CAD-4603-AB7A-1B45C1E82C35}"/>
    <cellStyle name="Normal 5 2 2 2 12" xfId="9891" xr:uid="{55F97118-15EA-4E80-A4B4-27BAE828ECBE}"/>
    <cellStyle name="Normal 5 2 2 2 2" xfId="410" xr:uid="{00000000-0005-0000-0000-0000F8160000}"/>
    <cellStyle name="Normal 5 2 2 2 2 10" xfId="8829" xr:uid="{AC161972-21E9-4E03-8D2E-9F95632CB08D}"/>
    <cellStyle name="Normal 5 2 2 2 2 10 2" xfId="18153" xr:uid="{33C484DE-963B-41CC-A43F-527BB439C2AD}"/>
    <cellStyle name="Normal 5 2 2 2 2 11" xfId="9892" xr:uid="{89898C30-39F4-4D1E-ABF8-E91FEAD8EDA9}"/>
    <cellStyle name="Normal 5 2 2 2 2 2" xfId="411" xr:uid="{00000000-0005-0000-0000-0000F9160000}"/>
    <cellStyle name="Normal 5 2 2 2 2 2 10" xfId="9893" xr:uid="{C7EEACAE-D28C-45F5-A812-4CABC46C4C85}"/>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9E60AC44-B224-40D3-93CD-165A0AF16E38}"/>
    <cellStyle name="Normal 5 2 2 2 2 2 2 2 2 3" xfId="12452" xr:uid="{575A881E-B50F-423A-8818-054EEA33A5CA}"/>
    <cellStyle name="Normal 5 2 2 2 2 2 2 2 3" xfId="5198" xr:uid="{00000000-0005-0000-0000-0000FE160000}"/>
    <cellStyle name="Normal 5 2 2 2 2 2 2 2 3 2" xfId="14524" xr:uid="{57EE6D5A-F134-4E5D-9DA8-5DADEF917AF5}"/>
    <cellStyle name="Normal 5 2 2 2 2 2 2 2 4" xfId="9564" xr:uid="{15884BE4-44C0-46E7-A184-FC102AAADEB4}"/>
    <cellStyle name="Normal 5 2 2 2 2 2 2 2 4 2" xfId="18879" xr:uid="{E541C163-9391-4869-AF8E-C049E4D93616}"/>
    <cellStyle name="Normal 5 2 2 2 2 2 2 2 5" xfId="10307" xr:uid="{17014B12-71BA-4C64-8F36-A70709BA651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C46866FF-AC0D-4342-94B3-E87D17305A9F}"/>
    <cellStyle name="Normal 5 2 2 2 2 2 2 3 2 3" xfId="12865" xr:uid="{5BA6A398-0C2C-47B3-A959-E534FEBF934B}"/>
    <cellStyle name="Normal 5 2 2 2 2 2 2 3 3" xfId="5611" xr:uid="{00000000-0005-0000-0000-000002170000}"/>
    <cellStyle name="Normal 5 2 2 2 2 2 2 3 3 2" xfId="14937" xr:uid="{BC47A04E-0AF7-4F5A-B2C2-2010744F86C5}"/>
    <cellStyle name="Normal 5 2 2 2 2 2 2 3 4" xfId="10720" xr:uid="{B2EC0C8F-CA85-4907-A8BC-E6CF04F263B5}"/>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63FA49D2-91B6-40DD-8AAB-1DFBD5222FE0}"/>
    <cellStyle name="Normal 5 2 2 2 2 2 2 4 2 3" xfId="13278" xr:uid="{2F834BF1-8549-4723-8F98-D9905FDC64C2}"/>
    <cellStyle name="Normal 5 2 2 2 2 2 2 4 3" xfId="6024" xr:uid="{00000000-0005-0000-0000-000006170000}"/>
    <cellStyle name="Normal 5 2 2 2 2 2 2 4 3 2" xfId="15350" xr:uid="{2FB3A771-6B17-48FD-A167-36FB487AB328}"/>
    <cellStyle name="Normal 5 2 2 2 2 2 2 4 4" xfId="11133" xr:uid="{7B937CE4-9F04-4092-8CB7-A1A84CBBE31B}"/>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9CDB1BAD-EE3A-4E1B-9147-9B70C14CB4A1}"/>
    <cellStyle name="Normal 5 2 2 2 2 2 2 5 2 3" xfId="13691" xr:uid="{E24F32AB-7CBA-487A-A857-9F425BC4BAC1}"/>
    <cellStyle name="Normal 5 2 2 2 2 2 2 5 3" xfId="6437" xr:uid="{00000000-0005-0000-0000-00000A170000}"/>
    <cellStyle name="Normal 5 2 2 2 2 2 2 5 3 2" xfId="15763" xr:uid="{2BA76979-5BBD-48D3-828C-F9E8D89A692C}"/>
    <cellStyle name="Normal 5 2 2 2 2 2 2 5 4" xfId="11546" xr:uid="{EF570FF7-542C-44F8-9721-0FBEEA961A8C}"/>
    <cellStyle name="Normal 5 2 2 2 2 2 2 6" xfId="2567" xr:uid="{00000000-0005-0000-0000-00000B170000}"/>
    <cellStyle name="Normal 5 2 2 2 2 2 2 6 2" xfId="6850" xr:uid="{00000000-0005-0000-0000-00000C170000}"/>
    <cellStyle name="Normal 5 2 2 2 2 2 2 6 2 2" xfId="16176" xr:uid="{5100BBC1-657E-43B4-877D-3C1E9F97C9E9}"/>
    <cellStyle name="Normal 5 2 2 2 2 2 2 6 3" xfId="11959" xr:uid="{B43E6A54-D60B-48C8-96E3-AD664CF4A9F3}"/>
    <cellStyle name="Normal 5 2 2 2 2 2 2 7" xfId="4785" xr:uid="{00000000-0005-0000-0000-00000D170000}"/>
    <cellStyle name="Normal 5 2 2 2 2 2 2 7 2" xfId="14111" xr:uid="{8B67BB20-6176-47E3-9C5F-083394E6FD15}"/>
    <cellStyle name="Normal 5 2 2 2 2 2 2 8" xfId="9139" xr:uid="{CFCC7179-F81D-4929-81F2-C6E64655A093}"/>
    <cellStyle name="Normal 5 2 2 2 2 2 2 8 2" xfId="18463" xr:uid="{E3154EB4-796E-46F2-80A7-901353A974F8}"/>
    <cellStyle name="Normal 5 2 2 2 2 2 2 9" xfId="9894" xr:uid="{B83989E6-3D57-4818-AD03-B8A8AEA4835D}"/>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ED7F54B8-AE1F-4775-803B-462568D0B2AF}"/>
    <cellStyle name="Normal 5 2 2 2 2 2 3 2 3" xfId="12451" xr:uid="{70CCEC02-825D-41AE-9A2D-7BF805D271C5}"/>
    <cellStyle name="Normal 5 2 2 2 2 2 3 3" xfId="5197" xr:uid="{00000000-0005-0000-0000-000011170000}"/>
    <cellStyle name="Normal 5 2 2 2 2 2 3 3 2" xfId="14523" xr:uid="{87EDA14C-994C-4A45-87B6-C29BC9227C5B}"/>
    <cellStyle name="Normal 5 2 2 2 2 2 3 4" xfId="9357" xr:uid="{1809EB60-9E69-4954-99A5-643CD830C5FB}"/>
    <cellStyle name="Normal 5 2 2 2 2 2 3 4 2" xfId="18672" xr:uid="{B349BA08-4540-436B-90B4-7CDA209674B6}"/>
    <cellStyle name="Normal 5 2 2 2 2 2 3 5" xfId="10306" xr:uid="{F9E07E1B-8224-4D17-BF95-98F5E3F052F6}"/>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A222F2CB-7204-4B64-B3CF-86A2F9D06A11}"/>
    <cellStyle name="Normal 5 2 2 2 2 2 4 2 3" xfId="12864" xr:uid="{EA409A75-DF7B-443C-B194-1B6AC5D96F7A}"/>
    <cellStyle name="Normal 5 2 2 2 2 2 4 3" xfId="5610" xr:uid="{00000000-0005-0000-0000-000015170000}"/>
    <cellStyle name="Normal 5 2 2 2 2 2 4 3 2" xfId="14936" xr:uid="{A12AD4F6-F8B0-4636-AEB3-B1272B163DF1}"/>
    <cellStyle name="Normal 5 2 2 2 2 2 4 4" xfId="10719" xr:uid="{19C00E5A-F20D-4F37-A24A-83922E25E867}"/>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1DAF22FB-2AB7-439F-9C4C-D08479CE3903}"/>
    <cellStyle name="Normal 5 2 2 2 2 2 5 2 3" xfId="13277" xr:uid="{1546153B-4763-4315-9E20-D717FEE31F67}"/>
    <cellStyle name="Normal 5 2 2 2 2 2 5 3" xfId="6023" xr:uid="{00000000-0005-0000-0000-000019170000}"/>
    <cellStyle name="Normal 5 2 2 2 2 2 5 3 2" xfId="15349" xr:uid="{6FBF769D-11EF-4B6D-BAA4-D8669D638095}"/>
    <cellStyle name="Normal 5 2 2 2 2 2 5 4" xfId="11132" xr:uid="{54724763-AB7D-42BD-9C4F-D6666AC1A22B}"/>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58CE3E97-66E8-4C45-B936-0B5EEAF59452}"/>
    <cellStyle name="Normal 5 2 2 2 2 2 6 2 3" xfId="13690" xr:uid="{CDBBA2EF-7506-4CF8-9E18-444BB54174FF}"/>
    <cellStyle name="Normal 5 2 2 2 2 2 6 3" xfId="6436" xr:uid="{00000000-0005-0000-0000-00001D170000}"/>
    <cellStyle name="Normal 5 2 2 2 2 2 6 3 2" xfId="15762" xr:uid="{7EE146BB-1F16-45DE-81FF-0456B4083BE6}"/>
    <cellStyle name="Normal 5 2 2 2 2 2 6 4" xfId="11545" xr:uid="{187020C0-2BD8-4477-A633-9A87375B5BBC}"/>
    <cellStyle name="Normal 5 2 2 2 2 2 7" xfId="2566" xr:uid="{00000000-0005-0000-0000-00001E170000}"/>
    <cellStyle name="Normal 5 2 2 2 2 2 7 2" xfId="6849" xr:uid="{00000000-0005-0000-0000-00001F170000}"/>
    <cellStyle name="Normal 5 2 2 2 2 2 7 2 2" xfId="16175" xr:uid="{7C350E79-030E-4383-B561-38FC2FDA047B}"/>
    <cellStyle name="Normal 5 2 2 2 2 2 7 3" xfId="11958" xr:uid="{506771A2-E696-47BA-AB7F-B452BA463051}"/>
    <cellStyle name="Normal 5 2 2 2 2 2 8" xfId="4784" xr:uid="{00000000-0005-0000-0000-000020170000}"/>
    <cellStyle name="Normal 5 2 2 2 2 2 8 2" xfId="14110" xr:uid="{2B495774-18C9-4561-BD52-0575632A8BB9}"/>
    <cellStyle name="Normal 5 2 2 2 2 2 9" xfId="8932" xr:uid="{8A89D9DD-5FCE-4028-8D52-F4758EFA866E}"/>
    <cellStyle name="Normal 5 2 2 2 2 2 9 2" xfId="18256" xr:uid="{0B789AC5-0BFC-49C0-BB18-8182068194F2}"/>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F0E4FCB1-88EF-4E15-8AE0-6C4E4B3237D7}"/>
    <cellStyle name="Normal 5 2 2 2 2 3 2 2 3" xfId="12453" xr:uid="{3CA1CF4D-61BD-4EC2-9464-D2F4398B8FCC}"/>
    <cellStyle name="Normal 5 2 2 2 2 3 2 3" xfId="5199" xr:uid="{00000000-0005-0000-0000-000025170000}"/>
    <cellStyle name="Normal 5 2 2 2 2 3 2 3 2" xfId="14525" xr:uid="{052EB987-94E6-4370-8E28-B1D10C797378}"/>
    <cellStyle name="Normal 5 2 2 2 2 3 2 4" xfId="9461" xr:uid="{815E4D9A-ED64-4B6C-A17A-F6D83CC40A47}"/>
    <cellStyle name="Normal 5 2 2 2 2 3 2 4 2" xfId="18776" xr:uid="{3EF58C2B-77AA-405B-AD27-D8AF2737B3EC}"/>
    <cellStyle name="Normal 5 2 2 2 2 3 2 5" xfId="10308" xr:uid="{A0B0749F-C391-45B2-B019-79BFEC605CBD}"/>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74F4C37E-C0CA-4DC5-B55C-9365D57D7EA6}"/>
    <cellStyle name="Normal 5 2 2 2 2 3 3 2 3" xfId="12866" xr:uid="{6DE4A4FD-6782-49DF-B43C-401556DF71B5}"/>
    <cellStyle name="Normal 5 2 2 2 2 3 3 3" xfId="5612" xr:uid="{00000000-0005-0000-0000-000029170000}"/>
    <cellStyle name="Normal 5 2 2 2 2 3 3 3 2" xfId="14938" xr:uid="{F514A6AB-EF65-45CB-9906-D2C5C9BAE9D6}"/>
    <cellStyle name="Normal 5 2 2 2 2 3 3 4" xfId="10721" xr:uid="{1D6013D2-A16A-4538-93AA-A75A1C15A82F}"/>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C49F1993-4B72-470C-8C50-7E4EAEE2AA6E}"/>
    <cellStyle name="Normal 5 2 2 2 2 3 4 2 3" xfId="13279" xr:uid="{56F59ADA-36B5-4EF8-83C8-2B7E3D578FD0}"/>
    <cellStyle name="Normal 5 2 2 2 2 3 4 3" xfId="6025" xr:uid="{00000000-0005-0000-0000-00002D170000}"/>
    <cellStyle name="Normal 5 2 2 2 2 3 4 3 2" xfId="15351" xr:uid="{DE21C8F9-5E6A-42B8-BA2E-58CFE9C1E0F6}"/>
    <cellStyle name="Normal 5 2 2 2 2 3 4 4" xfId="11134" xr:uid="{C1E6184B-A1DB-4BF0-A8D5-47F87EE31ADF}"/>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96F316EE-EC36-4AEF-8F09-17C67D7B03AA}"/>
    <cellStyle name="Normal 5 2 2 2 2 3 5 2 3" xfId="13692" xr:uid="{CADC40D8-E347-46A3-94A2-2436FDB565DF}"/>
    <cellStyle name="Normal 5 2 2 2 2 3 5 3" xfId="6438" xr:uid="{00000000-0005-0000-0000-000031170000}"/>
    <cellStyle name="Normal 5 2 2 2 2 3 5 3 2" xfId="15764" xr:uid="{F8B1B48A-50EF-4DD6-B000-56FF84C1C51E}"/>
    <cellStyle name="Normal 5 2 2 2 2 3 5 4" xfId="11547" xr:uid="{32DD1362-2D41-4233-8FD3-ED340A7EB706}"/>
    <cellStyle name="Normal 5 2 2 2 2 3 6" xfId="2568" xr:uid="{00000000-0005-0000-0000-000032170000}"/>
    <cellStyle name="Normal 5 2 2 2 2 3 6 2" xfId="6851" xr:uid="{00000000-0005-0000-0000-000033170000}"/>
    <cellStyle name="Normal 5 2 2 2 2 3 6 2 2" xfId="16177" xr:uid="{74AA1F2E-4233-4827-A96E-F4319FDE6195}"/>
    <cellStyle name="Normal 5 2 2 2 2 3 6 3" xfId="11960" xr:uid="{F011E581-1074-4A0E-A738-1951A4B9E9B1}"/>
    <cellStyle name="Normal 5 2 2 2 2 3 7" xfId="4786" xr:uid="{00000000-0005-0000-0000-000034170000}"/>
    <cellStyle name="Normal 5 2 2 2 2 3 7 2" xfId="14112" xr:uid="{4D61305E-A1F3-4FA3-9BE3-138AA6DBA500}"/>
    <cellStyle name="Normal 5 2 2 2 2 3 8" xfId="9036" xr:uid="{2B9BC3AC-900A-42EE-A23F-E5574B6E75BC}"/>
    <cellStyle name="Normal 5 2 2 2 2 3 8 2" xfId="18360" xr:uid="{81E115D6-C180-45FE-A90E-7B9F5F39B083}"/>
    <cellStyle name="Normal 5 2 2 2 2 3 9" xfId="9895" xr:uid="{0D6610C9-94E3-47C1-817C-BB81F72ECBC3}"/>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FF556D9C-3BC4-490E-9615-D37D67A812C6}"/>
    <cellStyle name="Normal 5 2 2 2 2 4 2 3" xfId="12450" xr:uid="{AFA00220-36C9-4222-8874-FC8C89D12033}"/>
    <cellStyle name="Normal 5 2 2 2 2 4 3" xfId="5196" xr:uid="{00000000-0005-0000-0000-000038170000}"/>
    <cellStyle name="Normal 5 2 2 2 2 4 3 2" xfId="14522" xr:uid="{A637AC9F-092C-42DE-A264-1E30C5E4CFBA}"/>
    <cellStyle name="Normal 5 2 2 2 2 4 4" xfId="9254" xr:uid="{B0B4DA0D-4C0F-4712-8BF0-280C2A85D575}"/>
    <cellStyle name="Normal 5 2 2 2 2 4 4 2" xfId="18569" xr:uid="{1449B893-0986-4032-9591-1CC7444ED871}"/>
    <cellStyle name="Normal 5 2 2 2 2 4 5" xfId="10305" xr:uid="{26111F8F-FE6D-4E17-B542-E48C4FAA0149}"/>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C7881E9B-07BE-4E09-AA43-79D49CD98705}"/>
    <cellStyle name="Normal 5 2 2 2 2 5 2 3" xfId="12863" xr:uid="{5535F918-6627-41D2-A545-1F7FDBC9FFE7}"/>
    <cellStyle name="Normal 5 2 2 2 2 5 3" xfId="5609" xr:uid="{00000000-0005-0000-0000-00003C170000}"/>
    <cellStyle name="Normal 5 2 2 2 2 5 3 2" xfId="14935" xr:uid="{5B49E1BE-5CA6-46E5-8A9A-2D435C46618A}"/>
    <cellStyle name="Normal 5 2 2 2 2 5 4" xfId="10718" xr:uid="{EC274B6B-9107-4030-B115-DF0C8789B26F}"/>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7188C1B3-2456-4706-BF7F-8CB713F7C035}"/>
    <cellStyle name="Normal 5 2 2 2 2 6 2 3" xfId="13276" xr:uid="{FF433850-D3AF-4BDB-B97B-DEE78EA7D9C9}"/>
    <cellStyle name="Normal 5 2 2 2 2 6 3" xfId="6022" xr:uid="{00000000-0005-0000-0000-000040170000}"/>
    <cellStyle name="Normal 5 2 2 2 2 6 3 2" xfId="15348" xr:uid="{DCFBFF01-F0E6-4772-B810-47C37D4F48F3}"/>
    <cellStyle name="Normal 5 2 2 2 2 6 4" xfId="11131" xr:uid="{288734C1-A191-47BC-B1D6-4BA5B5EC8A5F}"/>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848344DA-0027-4FDA-A30C-2E253320B143}"/>
    <cellStyle name="Normal 5 2 2 2 2 7 2 3" xfId="13689" xr:uid="{0EA0DCF6-FA73-43A2-840A-9D4FE3BF6874}"/>
    <cellStyle name="Normal 5 2 2 2 2 7 3" xfId="6435" xr:uid="{00000000-0005-0000-0000-000044170000}"/>
    <cellStyle name="Normal 5 2 2 2 2 7 3 2" xfId="15761" xr:uid="{1E754C75-EA96-4111-931C-6D7B3FBB24A3}"/>
    <cellStyle name="Normal 5 2 2 2 2 7 4" xfId="11544" xr:uid="{CAD9A5CB-24DB-44E2-8CA0-13070301B3E2}"/>
    <cellStyle name="Normal 5 2 2 2 2 8" xfId="2565" xr:uid="{00000000-0005-0000-0000-000045170000}"/>
    <cellStyle name="Normal 5 2 2 2 2 8 2" xfId="6848" xr:uid="{00000000-0005-0000-0000-000046170000}"/>
    <cellStyle name="Normal 5 2 2 2 2 8 2 2" xfId="16174" xr:uid="{7C87F25B-CF18-4758-932F-BD38581C53EC}"/>
    <cellStyle name="Normal 5 2 2 2 2 8 3" xfId="11957" xr:uid="{C6E669CF-A553-41CB-8D05-ECB904DE4B72}"/>
    <cellStyle name="Normal 5 2 2 2 2 9" xfId="4783" xr:uid="{00000000-0005-0000-0000-000047170000}"/>
    <cellStyle name="Normal 5 2 2 2 2 9 2" xfId="14109" xr:uid="{AF717FCD-A8BB-4822-BF91-B264F092EF78}"/>
    <cellStyle name="Normal 5 2 2 2 3" xfId="414" xr:uid="{00000000-0005-0000-0000-000048170000}"/>
    <cellStyle name="Normal 5 2 2 2 3 10" xfId="9896" xr:uid="{B51AB1E1-8FF3-472E-9370-C3A456BC3DEC}"/>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3CC408AC-9D6D-468F-BF95-123137828C98}"/>
    <cellStyle name="Normal 5 2 2 2 3 2 2 2 3" xfId="12455" xr:uid="{2AB7C123-429F-499A-9289-0F6E45F8CF5A}"/>
    <cellStyle name="Normal 5 2 2 2 3 2 2 3" xfId="5201" xr:uid="{00000000-0005-0000-0000-00004D170000}"/>
    <cellStyle name="Normal 5 2 2 2 3 2 2 3 2" xfId="14527" xr:uid="{E1E2EED9-8EFC-483B-8D2A-1C14B27489D5}"/>
    <cellStyle name="Normal 5 2 2 2 3 2 2 4" xfId="9506" xr:uid="{65E8E1F9-5B62-47C9-8131-412DF42F5268}"/>
    <cellStyle name="Normal 5 2 2 2 3 2 2 4 2" xfId="18821" xr:uid="{C5D8DE01-A0F1-4527-B5B3-1E5DE343BC95}"/>
    <cellStyle name="Normal 5 2 2 2 3 2 2 5" xfId="10310" xr:uid="{C87F9312-A1BD-4112-B5C8-BDFFF961CFFE}"/>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0291BF2D-2E0E-4AAB-9C71-447A20A2EC21}"/>
    <cellStyle name="Normal 5 2 2 2 3 2 3 2 3" xfId="12868" xr:uid="{CBFC440C-A393-4152-8692-4BC7ED16715B}"/>
    <cellStyle name="Normal 5 2 2 2 3 2 3 3" xfId="5614" xr:uid="{00000000-0005-0000-0000-000051170000}"/>
    <cellStyle name="Normal 5 2 2 2 3 2 3 3 2" xfId="14940" xr:uid="{FB643139-E200-46BE-B4BF-087D69803938}"/>
    <cellStyle name="Normal 5 2 2 2 3 2 3 4" xfId="10723" xr:uid="{77ECB78B-E994-4223-B345-B0F46FBF70BD}"/>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328CD646-50CF-4184-B1D0-1554083BDE30}"/>
    <cellStyle name="Normal 5 2 2 2 3 2 4 2 3" xfId="13281" xr:uid="{DB3432E8-2E64-474F-AFD1-F902A3926ABD}"/>
    <cellStyle name="Normal 5 2 2 2 3 2 4 3" xfId="6027" xr:uid="{00000000-0005-0000-0000-000055170000}"/>
    <cellStyle name="Normal 5 2 2 2 3 2 4 3 2" xfId="15353" xr:uid="{BEEAC760-4556-4331-B957-F0B850623459}"/>
    <cellStyle name="Normal 5 2 2 2 3 2 4 4" xfId="11136" xr:uid="{1A89EC4A-983C-4DE6-AF6A-AAEBC7CA230F}"/>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DDC2A9FE-BDED-4563-87E5-CD419D612233}"/>
    <cellStyle name="Normal 5 2 2 2 3 2 5 2 3" xfId="13694" xr:uid="{99F4132C-00B3-4240-B345-D53F53681EBB}"/>
    <cellStyle name="Normal 5 2 2 2 3 2 5 3" xfId="6440" xr:uid="{00000000-0005-0000-0000-000059170000}"/>
    <cellStyle name="Normal 5 2 2 2 3 2 5 3 2" xfId="15766" xr:uid="{CA259A4A-F0F9-4771-8EF6-4C1B788D27BC}"/>
    <cellStyle name="Normal 5 2 2 2 3 2 5 4" xfId="11549" xr:uid="{EFED2A04-0DEC-4EAD-B2EA-4CBCD1E19566}"/>
    <cellStyle name="Normal 5 2 2 2 3 2 6" xfId="2570" xr:uid="{00000000-0005-0000-0000-00005A170000}"/>
    <cellStyle name="Normal 5 2 2 2 3 2 6 2" xfId="6853" xr:uid="{00000000-0005-0000-0000-00005B170000}"/>
    <cellStyle name="Normal 5 2 2 2 3 2 6 2 2" xfId="16179" xr:uid="{3C212FDE-1516-4650-9302-E1E636491DCC}"/>
    <cellStyle name="Normal 5 2 2 2 3 2 6 3" xfId="11962" xr:uid="{D45FE851-5E96-4886-8B87-9EF8204F77A4}"/>
    <cellStyle name="Normal 5 2 2 2 3 2 7" xfId="4788" xr:uid="{00000000-0005-0000-0000-00005C170000}"/>
    <cellStyle name="Normal 5 2 2 2 3 2 7 2" xfId="14114" xr:uid="{9BA35656-CD2A-456F-B756-E6BC7338D231}"/>
    <cellStyle name="Normal 5 2 2 2 3 2 8" xfId="9081" xr:uid="{B0400C6D-4400-4F06-9092-2DCAD3324CF1}"/>
    <cellStyle name="Normal 5 2 2 2 3 2 8 2" xfId="18405" xr:uid="{382E11FE-1D19-4D50-ADE0-00C41018232C}"/>
    <cellStyle name="Normal 5 2 2 2 3 2 9" xfId="9897" xr:uid="{A9EE8E98-A055-4792-9362-97A58AD739E3}"/>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90338AA5-786B-481E-B2DF-15EABF8C0014}"/>
    <cellStyle name="Normal 5 2 2 2 3 3 2 3" xfId="12454" xr:uid="{79D710F7-3432-429D-8450-C2ADB75266E7}"/>
    <cellStyle name="Normal 5 2 2 2 3 3 3" xfId="5200" xr:uid="{00000000-0005-0000-0000-000060170000}"/>
    <cellStyle name="Normal 5 2 2 2 3 3 3 2" xfId="14526" xr:uid="{5B629BEE-58EA-49B3-B185-9E0332089CBC}"/>
    <cellStyle name="Normal 5 2 2 2 3 3 4" xfId="9299" xr:uid="{85780536-A38F-4D86-8846-D9FA6BB2D61D}"/>
    <cellStyle name="Normal 5 2 2 2 3 3 4 2" xfId="18614" xr:uid="{0FC352C7-071C-4872-9E8F-B597AB0B25F3}"/>
    <cellStyle name="Normal 5 2 2 2 3 3 5" xfId="10309" xr:uid="{66A9A957-C145-4F23-99BC-9168BAFE03F2}"/>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3DAEE18A-2253-4CA8-AFD6-1F5FC85CE07C}"/>
    <cellStyle name="Normal 5 2 2 2 3 4 2 3" xfId="12867" xr:uid="{74A24352-58F1-4B90-8B76-320249824AAB}"/>
    <cellStyle name="Normal 5 2 2 2 3 4 3" xfId="5613" xr:uid="{00000000-0005-0000-0000-000064170000}"/>
    <cellStyle name="Normal 5 2 2 2 3 4 3 2" xfId="14939" xr:uid="{9384E1DE-71D0-49E2-928B-55AE0BDCEC67}"/>
    <cellStyle name="Normal 5 2 2 2 3 4 4" xfId="10722" xr:uid="{FC4E5F97-970E-407D-B979-99ADA8555BD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39171FDA-8400-43BD-B032-165FC86F39A0}"/>
    <cellStyle name="Normal 5 2 2 2 3 5 2 3" xfId="13280" xr:uid="{8796C81D-BE82-4502-B970-ABC810334382}"/>
    <cellStyle name="Normal 5 2 2 2 3 5 3" xfId="6026" xr:uid="{00000000-0005-0000-0000-000068170000}"/>
    <cellStyle name="Normal 5 2 2 2 3 5 3 2" xfId="15352" xr:uid="{7C1CBF31-534E-4F9C-91A4-1CB87CAEB7B3}"/>
    <cellStyle name="Normal 5 2 2 2 3 5 4" xfId="11135" xr:uid="{4AC90328-A140-4C8B-BEE9-0C9113F10DEF}"/>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284E7ECA-3A80-43BB-8D9C-96ABC204D705}"/>
    <cellStyle name="Normal 5 2 2 2 3 6 2 3" xfId="13693" xr:uid="{86C7AC1F-23F4-44A0-BFA0-3A50FF00B963}"/>
    <cellStyle name="Normal 5 2 2 2 3 6 3" xfId="6439" xr:uid="{00000000-0005-0000-0000-00006C170000}"/>
    <cellStyle name="Normal 5 2 2 2 3 6 3 2" xfId="15765" xr:uid="{B330B796-8F6E-4FE2-B849-CA6049D7703D}"/>
    <cellStyle name="Normal 5 2 2 2 3 6 4" xfId="11548" xr:uid="{57906714-F903-4BB5-8C30-100D22A5F904}"/>
    <cellStyle name="Normal 5 2 2 2 3 7" xfId="2569" xr:uid="{00000000-0005-0000-0000-00006D170000}"/>
    <cellStyle name="Normal 5 2 2 2 3 7 2" xfId="6852" xr:uid="{00000000-0005-0000-0000-00006E170000}"/>
    <cellStyle name="Normal 5 2 2 2 3 7 2 2" xfId="16178" xr:uid="{6F298E1A-A0DF-41EE-AB1E-2F6A59A12913}"/>
    <cellStyle name="Normal 5 2 2 2 3 7 3" xfId="11961" xr:uid="{D3BF09DB-6003-4AF2-9E1F-DAE39CBDC2F6}"/>
    <cellStyle name="Normal 5 2 2 2 3 8" xfId="4787" xr:uid="{00000000-0005-0000-0000-00006F170000}"/>
    <cellStyle name="Normal 5 2 2 2 3 8 2" xfId="14113" xr:uid="{ACD5CFCF-1D03-48C5-AC2B-CA5CB36A20A0}"/>
    <cellStyle name="Normal 5 2 2 2 3 9" xfId="8874" xr:uid="{D7CEB9F3-DFA5-483F-B08A-C4A582DD7FE8}"/>
    <cellStyle name="Normal 5 2 2 2 3 9 2" xfId="18198" xr:uid="{5C9E6157-2637-47F6-B883-85B63D205977}"/>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7AD7548C-5B04-42D0-A1A4-F7941196BC59}"/>
    <cellStyle name="Normal 5 2 2 2 4 2 2 3" xfId="12456" xr:uid="{09DECCED-D791-4E2E-AD70-131976D020E8}"/>
    <cellStyle name="Normal 5 2 2 2 4 2 3" xfId="5202" xr:uid="{00000000-0005-0000-0000-000074170000}"/>
    <cellStyle name="Normal 5 2 2 2 4 2 3 2" xfId="14528" xr:uid="{EAAB9109-B7C2-4602-B85E-145B27D9C052}"/>
    <cellStyle name="Normal 5 2 2 2 4 2 4" xfId="9403" xr:uid="{DDA7C497-662A-4A76-A324-A27E6A0A2B3D}"/>
    <cellStyle name="Normal 5 2 2 2 4 2 4 2" xfId="18718" xr:uid="{FF22570A-02D4-455B-B9C9-4DF280A59119}"/>
    <cellStyle name="Normal 5 2 2 2 4 2 5" xfId="10311" xr:uid="{87DDAB94-1047-4465-9CA8-84693F137F5C}"/>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3A0C5D93-4C87-4C15-9B2F-8FB6C0DA712D}"/>
    <cellStyle name="Normal 5 2 2 2 4 3 2 3" xfId="12869" xr:uid="{08517B98-DB7E-4126-9AAC-7EA780873E8F}"/>
    <cellStyle name="Normal 5 2 2 2 4 3 3" xfId="5615" xr:uid="{00000000-0005-0000-0000-000078170000}"/>
    <cellStyle name="Normal 5 2 2 2 4 3 3 2" xfId="14941" xr:uid="{AD696CC8-DEF9-4BEA-88A3-46B9FFDF8D53}"/>
    <cellStyle name="Normal 5 2 2 2 4 3 4" xfId="10724" xr:uid="{DEB097CD-8293-4FF8-ABC2-904D0A64C4BB}"/>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787BDFA5-BF71-4EF4-B644-268E061AADA0}"/>
    <cellStyle name="Normal 5 2 2 2 4 4 2 3" xfId="13282" xr:uid="{118A2E93-D5F7-4F4C-9671-5447941F46E3}"/>
    <cellStyle name="Normal 5 2 2 2 4 4 3" xfId="6028" xr:uid="{00000000-0005-0000-0000-00007C170000}"/>
    <cellStyle name="Normal 5 2 2 2 4 4 3 2" xfId="15354" xr:uid="{F794C642-5F49-435B-949D-0DA51EF435E5}"/>
    <cellStyle name="Normal 5 2 2 2 4 4 4" xfId="11137" xr:uid="{A633E6F2-AD92-4E3B-896F-A3FC5F82B198}"/>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D586F97D-CE9A-440A-BE03-528196F3E279}"/>
    <cellStyle name="Normal 5 2 2 2 4 5 2 3" xfId="13695" xr:uid="{D8734D47-93B9-47FA-A1C6-46EC1AA58950}"/>
    <cellStyle name="Normal 5 2 2 2 4 5 3" xfId="6441" xr:uid="{00000000-0005-0000-0000-000080170000}"/>
    <cellStyle name="Normal 5 2 2 2 4 5 3 2" xfId="15767" xr:uid="{8B5379B1-B4FA-4B0D-84AD-6671603FD9F9}"/>
    <cellStyle name="Normal 5 2 2 2 4 5 4" xfId="11550" xr:uid="{E5AEEB99-DFAB-4553-A60C-4D18AA86E7EC}"/>
    <cellStyle name="Normal 5 2 2 2 4 6" xfId="2571" xr:uid="{00000000-0005-0000-0000-000081170000}"/>
    <cellStyle name="Normal 5 2 2 2 4 6 2" xfId="6854" xr:uid="{00000000-0005-0000-0000-000082170000}"/>
    <cellStyle name="Normal 5 2 2 2 4 6 2 2" xfId="16180" xr:uid="{8C730495-D5B3-4FBF-B7A5-82BA294EB5B3}"/>
    <cellStyle name="Normal 5 2 2 2 4 6 3" xfId="11963" xr:uid="{709A6164-66EC-4FA5-B0F1-D31F9E62CDB7}"/>
    <cellStyle name="Normal 5 2 2 2 4 7" xfId="4789" xr:uid="{00000000-0005-0000-0000-000083170000}"/>
    <cellStyle name="Normal 5 2 2 2 4 7 2" xfId="14115" xr:uid="{F1A045C4-3E7B-492B-AA1E-E6378F91A4BE}"/>
    <cellStyle name="Normal 5 2 2 2 4 8" xfId="8978" xr:uid="{5B5F86B4-BA0F-43A7-920A-E466FD014739}"/>
    <cellStyle name="Normal 5 2 2 2 4 8 2" xfId="18302" xr:uid="{176D3FE8-A130-4FD6-9996-23739EE34EFC}"/>
    <cellStyle name="Normal 5 2 2 2 4 9" xfId="9898" xr:uid="{EFAAAADA-3AD8-4590-A0C9-56A8E0B989CF}"/>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CBC87351-2083-4E60-9B7B-928D7B3D0FC5}"/>
    <cellStyle name="Normal 5 2 2 2 5 2 3" xfId="12449" xr:uid="{EF29FCA0-DD43-4229-9657-C27F565E16E0}"/>
    <cellStyle name="Normal 5 2 2 2 5 3" xfId="5195" xr:uid="{00000000-0005-0000-0000-000087170000}"/>
    <cellStyle name="Normal 5 2 2 2 5 3 2" xfId="14521" xr:uid="{0F4F9C43-AC74-458B-B1AF-90681248546D}"/>
    <cellStyle name="Normal 5 2 2 2 5 4" xfId="9195" xr:uid="{A7E71EA0-2CA4-4918-870E-A32EEF45C61A}"/>
    <cellStyle name="Normal 5 2 2 2 5 4 2" xfId="18511" xr:uid="{2D9F7A49-B29A-4826-B46C-FE9FF09B5CF1}"/>
    <cellStyle name="Normal 5 2 2 2 5 5" xfId="10304" xr:uid="{1362B6DF-778B-4D55-A341-D32AFC5B5F17}"/>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6F7447B8-4D2A-4C9A-B641-F995B7174A42}"/>
    <cellStyle name="Normal 5 2 2 2 6 2 3" xfId="12862" xr:uid="{896FC0C9-12FF-4B9D-863D-65A493393074}"/>
    <cellStyle name="Normal 5 2 2 2 6 3" xfId="5608" xr:uid="{00000000-0005-0000-0000-00008B170000}"/>
    <cellStyle name="Normal 5 2 2 2 6 3 2" xfId="14934" xr:uid="{E74832E4-A6D2-40CF-B9F2-3ADDCC0EB6EB}"/>
    <cellStyle name="Normal 5 2 2 2 6 4" xfId="10717" xr:uid="{60DF63BA-B5E4-4F73-9043-4DE0E594974A}"/>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20A08435-000D-4D32-A6C6-636737234527}"/>
    <cellStyle name="Normal 5 2 2 2 7 2 3" xfId="13275" xr:uid="{D259A570-3781-4AB8-8D01-DBBB14E6EB82}"/>
    <cellStyle name="Normal 5 2 2 2 7 3" xfId="6021" xr:uid="{00000000-0005-0000-0000-00008F170000}"/>
    <cellStyle name="Normal 5 2 2 2 7 3 2" xfId="15347" xr:uid="{D8E2F1F8-478C-4205-8C2E-B20AE9F069A0}"/>
    <cellStyle name="Normal 5 2 2 2 7 4" xfId="11130" xr:uid="{2EEE13D1-DA65-40EB-93B5-A1DB63EBA8E7}"/>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8C80F325-947A-4E65-9682-737625D10273}"/>
    <cellStyle name="Normal 5 2 2 2 8 2 3" xfId="13688" xr:uid="{DD79368D-279A-4B5F-94CF-BD731062DF3C}"/>
    <cellStyle name="Normal 5 2 2 2 8 3" xfId="6434" xr:uid="{00000000-0005-0000-0000-000093170000}"/>
    <cellStyle name="Normal 5 2 2 2 8 3 2" xfId="15760" xr:uid="{FF81A53B-B0CA-49D9-A90A-F191A52C5E95}"/>
    <cellStyle name="Normal 5 2 2 2 8 4" xfId="11543" xr:uid="{0B2F0250-C45E-4639-AF27-BF44B68343B4}"/>
    <cellStyle name="Normal 5 2 2 2 9" xfId="2564" xr:uid="{00000000-0005-0000-0000-000094170000}"/>
    <cellStyle name="Normal 5 2 2 2 9 2" xfId="6847" xr:uid="{00000000-0005-0000-0000-000095170000}"/>
    <cellStyle name="Normal 5 2 2 2 9 2 2" xfId="16173" xr:uid="{2D3C2E1E-106F-4F4C-A59F-A3587C582790}"/>
    <cellStyle name="Normal 5 2 2 2 9 3" xfId="11956" xr:uid="{4EFF85E0-CC31-4FE1-86C1-743F150C27D8}"/>
    <cellStyle name="Normal 5 2 2 3" xfId="417" xr:uid="{00000000-0005-0000-0000-000096170000}"/>
    <cellStyle name="Normal 5 2 2 3 10" xfId="8828" xr:uid="{5CED8211-F967-469B-812B-9DF6FC250177}"/>
    <cellStyle name="Normal 5 2 2 3 10 2" xfId="18152" xr:uid="{D309722D-EEBD-41BA-A374-7C28D4E9EC1F}"/>
    <cellStyle name="Normal 5 2 2 3 11" xfId="9899" xr:uid="{74BFE796-AA3A-41D2-8FAF-77B4BBAB4D06}"/>
    <cellStyle name="Normal 5 2 2 3 2" xfId="418" xr:uid="{00000000-0005-0000-0000-000097170000}"/>
    <cellStyle name="Normal 5 2 2 3 2 10" xfId="9900" xr:uid="{C8F31E08-3C48-40F0-8D0F-77F4DA48B696}"/>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72E2FD64-DE22-4759-A475-5C202AD5F5B9}"/>
    <cellStyle name="Normal 5 2 2 3 2 2 2 2 3" xfId="12459" xr:uid="{F83BD7F8-05BC-4F31-95B1-9D335C136E56}"/>
    <cellStyle name="Normal 5 2 2 3 2 2 2 3" xfId="5205" xr:uid="{00000000-0005-0000-0000-00009C170000}"/>
    <cellStyle name="Normal 5 2 2 3 2 2 2 3 2" xfId="14531" xr:uid="{71B0AA17-ADBB-4CE2-9A06-7B2991D4A83F}"/>
    <cellStyle name="Normal 5 2 2 3 2 2 2 4" xfId="9563" xr:uid="{804E641C-B5FA-46A3-B805-C1D4AF390C28}"/>
    <cellStyle name="Normal 5 2 2 3 2 2 2 4 2" xfId="18878" xr:uid="{1134143D-7C24-4081-982D-0803BC29B127}"/>
    <cellStyle name="Normal 5 2 2 3 2 2 2 5" xfId="10314" xr:uid="{0518B762-BB00-4E6D-9D28-65F17EEE641A}"/>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DEA2363B-688D-4257-9866-44DD61C5CA9F}"/>
    <cellStyle name="Normal 5 2 2 3 2 2 3 2 3" xfId="12872" xr:uid="{6A4B2383-93D7-48C2-884C-60B0A1D9AC9E}"/>
    <cellStyle name="Normal 5 2 2 3 2 2 3 3" xfId="5618" xr:uid="{00000000-0005-0000-0000-0000A0170000}"/>
    <cellStyle name="Normal 5 2 2 3 2 2 3 3 2" xfId="14944" xr:uid="{954BBBB1-AEE6-4EC5-92DF-9F70C9EBF2DE}"/>
    <cellStyle name="Normal 5 2 2 3 2 2 3 4" xfId="10727" xr:uid="{7976290C-B035-4899-A9DB-96C6C90B0D68}"/>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8104072D-2053-499F-AB00-85DC37A47528}"/>
    <cellStyle name="Normal 5 2 2 3 2 2 4 2 3" xfId="13285" xr:uid="{AC3073F0-FFE2-4B11-ACE1-7EC43C42D935}"/>
    <cellStyle name="Normal 5 2 2 3 2 2 4 3" xfId="6031" xr:uid="{00000000-0005-0000-0000-0000A4170000}"/>
    <cellStyle name="Normal 5 2 2 3 2 2 4 3 2" xfId="15357" xr:uid="{614F439C-B846-41C6-A028-63A5035E4D4C}"/>
    <cellStyle name="Normal 5 2 2 3 2 2 4 4" xfId="11140" xr:uid="{641F9637-B8D7-479E-B56F-93A901FAFFF4}"/>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D959E010-3860-45A0-A49E-15C888FDF00F}"/>
    <cellStyle name="Normal 5 2 2 3 2 2 5 2 3" xfId="13698" xr:uid="{6D97D2BC-1231-4C78-8554-01217025D217}"/>
    <cellStyle name="Normal 5 2 2 3 2 2 5 3" xfId="6444" xr:uid="{00000000-0005-0000-0000-0000A8170000}"/>
    <cellStyle name="Normal 5 2 2 3 2 2 5 3 2" xfId="15770" xr:uid="{7BB8445A-0ADE-4414-806E-B4990B0B572D}"/>
    <cellStyle name="Normal 5 2 2 3 2 2 5 4" xfId="11553" xr:uid="{6D0E736D-6880-4D1F-B22A-FAE9AA609B4A}"/>
    <cellStyle name="Normal 5 2 2 3 2 2 6" xfId="2574" xr:uid="{00000000-0005-0000-0000-0000A9170000}"/>
    <cellStyle name="Normal 5 2 2 3 2 2 6 2" xfId="6857" xr:uid="{00000000-0005-0000-0000-0000AA170000}"/>
    <cellStyle name="Normal 5 2 2 3 2 2 6 2 2" xfId="16183" xr:uid="{F09A5DE1-48EB-4CB1-80CA-DFDA1B984133}"/>
    <cellStyle name="Normal 5 2 2 3 2 2 6 3" xfId="11966" xr:uid="{F992797B-B845-4A05-8782-FF1F3A3A52CC}"/>
    <cellStyle name="Normal 5 2 2 3 2 2 7" xfId="4792" xr:uid="{00000000-0005-0000-0000-0000AB170000}"/>
    <cellStyle name="Normal 5 2 2 3 2 2 7 2" xfId="14118" xr:uid="{16368E38-1A34-4665-8563-C6C7CBD2A159}"/>
    <cellStyle name="Normal 5 2 2 3 2 2 8" xfId="9138" xr:uid="{BE73D583-3CAB-48A9-8A6F-E88EE69D1D1D}"/>
    <cellStyle name="Normal 5 2 2 3 2 2 8 2" xfId="18462" xr:uid="{66A2F976-C4A7-4E4B-A90F-53F488E30385}"/>
    <cellStyle name="Normal 5 2 2 3 2 2 9" xfId="9901" xr:uid="{00D66E82-E940-4EF2-8F39-6895AB5281D9}"/>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12672046-CC5D-4619-8A77-A1F93C5657A8}"/>
    <cellStyle name="Normal 5 2 2 3 2 3 2 3" xfId="12458" xr:uid="{F0159115-269F-4934-9478-FB2D2BA2AB9D}"/>
    <cellStyle name="Normal 5 2 2 3 2 3 3" xfId="5204" xr:uid="{00000000-0005-0000-0000-0000AF170000}"/>
    <cellStyle name="Normal 5 2 2 3 2 3 3 2" xfId="14530" xr:uid="{D8367EA3-37C8-4556-BEF6-04BF368EF9DC}"/>
    <cellStyle name="Normal 5 2 2 3 2 3 4" xfId="9356" xr:uid="{58BAA3B3-A7A2-4F6F-9929-D8BE9F0A557D}"/>
    <cellStyle name="Normal 5 2 2 3 2 3 4 2" xfId="18671" xr:uid="{82D72AC1-7C78-4E45-BB23-EC6E11EC8C53}"/>
    <cellStyle name="Normal 5 2 2 3 2 3 5" xfId="10313" xr:uid="{6A9FD1E8-9F66-410B-A1D5-AD22F74C48A3}"/>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AF70E4A6-2B50-418E-9037-C14956431B34}"/>
    <cellStyle name="Normal 5 2 2 3 2 4 2 3" xfId="12871" xr:uid="{E55E4D91-4F25-4D7C-9009-DDA17F3944E4}"/>
    <cellStyle name="Normal 5 2 2 3 2 4 3" xfId="5617" xr:uid="{00000000-0005-0000-0000-0000B3170000}"/>
    <cellStyle name="Normal 5 2 2 3 2 4 3 2" xfId="14943" xr:uid="{0FB9AF3E-6BBA-49E9-9A54-B2056BC6D500}"/>
    <cellStyle name="Normal 5 2 2 3 2 4 4" xfId="10726" xr:uid="{1E28E5AE-0F39-4E01-9FA8-1D08AC1B42AB}"/>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B866CD44-A2FF-44CE-8F4A-B6A359769D81}"/>
    <cellStyle name="Normal 5 2 2 3 2 5 2 3" xfId="13284" xr:uid="{58E33851-9654-4F44-82E1-77745A1C217C}"/>
    <cellStyle name="Normal 5 2 2 3 2 5 3" xfId="6030" xr:uid="{00000000-0005-0000-0000-0000B7170000}"/>
    <cellStyle name="Normal 5 2 2 3 2 5 3 2" xfId="15356" xr:uid="{EF82AA53-5814-42DB-B4C7-736A45F1FBE3}"/>
    <cellStyle name="Normal 5 2 2 3 2 5 4" xfId="11139" xr:uid="{7E1A5D9B-5D67-4319-BA45-1146DC1D01BE}"/>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85F6E97C-9C3B-423D-B498-D0A38949BC08}"/>
    <cellStyle name="Normal 5 2 2 3 2 6 2 3" xfId="13697" xr:uid="{DCD6551E-BA38-4AF2-9F67-A8D405A996DB}"/>
    <cellStyle name="Normal 5 2 2 3 2 6 3" xfId="6443" xr:uid="{00000000-0005-0000-0000-0000BB170000}"/>
    <cellStyle name="Normal 5 2 2 3 2 6 3 2" xfId="15769" xr:uid="{EA5EB4D6-1540-4629-A5C9-266D48E2CCB6}"/>
    <cellStyle name="Normal 5 2 2 3 2 6 4" xfId="11552" xr:uid="{111EE2EC-7B7D-40B8-BFFE-79D2AADA57A2}"/>
    <cellStyle name="Normal 5 2 2 3 2 7" xfId="2573" xr:uid="{00000000-0005-0000-0000-0000BC170000}"/>
    <cellStyle name="Normal 5 2 2 3 2 7 2" xfId="6856" xr:uid="{00000000-0005-0000-0000-0000BD170000}"/>
    <cellStyle name="Normal 5 2 2 3 2 7 2 2" xfId="16182" xr:uid="{E925A243-F128-4612-AAF3-7EE3A6B4E1F9}"/>
    <cellStyle name="Normal 5 2 2 3 2 7 3" xfId="11965" xr:uid="{A6D5CFF7-9D96-4F9C-80A3-C99164EA6A71}"/>
    <cellStyle name="Normal 5 2 2 3 2 8" xfId="4791" xr:uid="{00000000-0005-0000-0000-0000BE170000}"/>
    <cellStyle name="Normal 5 2 2 3 2 8 2" xfId="14117" xr:uid="{57FF560A-6588-4996-970D-2E640B3993A0}"/>
    <cellStyle name="Normal 5 2 2 3 2 9" xfId="8931" xr:uid="{E27E09D3-2564-4B82-8EA4-A27330B6B436}"/>
    <cellStyle name="Normal 5 2 2 3 2 9 2" xfId="18255" xr:uid="{D46E1766-FB53-45AA-9C33-3FDC97BC06A3}"/>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D510FDF8-D258-4860-8431-5D0072B3F2C1}"/>
    <cellStyle name="Normal 5 2 2 3 3 2 2 3" xfId="12460" xr:uid="{F00F80EB-7134-492F-B2CE-75E76C77BB1E}"/>
    <cellStyle name="Normal 5 2 2 3 3 2 3" xfId="5206" xr:uid="{00000000-0005-0000-0000-0000C3170000}"/>
    <cellStyle name="Normal 5 2 2 3 3 2 3 2" xfId="14532" xr:uid="{37E3380F-7777-4113-860B-93BB5ED9BEEC}"/>
    <cellStyle name="Normal 5 2 2 3 3 2 4" xfId="9460" xr:uid="{423E0BE9-24F3-4EF0-8962-2565594BF831}"/>
    <cellStyle name="Normal 5 2 2 3 3 2 4 2" xfId="18775" xr:uid="{9E28B5DE-D9AE-4E2E-982C-839791ED3DDD}"/>
    <cellStyle name="Normal 5 2 2 3 3 2 5" xfId="10315" xr:uid="{EEC0CC10-EF38-4F37-B4EE-744F7EAB7457}"/>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035B3D1E-89D0-4489-AAAD-06703D2D694A}"/>
    <cellStyle name="Normal 5 2 2 3 3 3 2 3" xfId="12873" xr:uid="{4495BCF0-D741-4A77-AC4D-7D9E42B39F96}"/>
    <cellStyle name="Normal 5 2 2 3 3 3 3" xfId="5619" xr:uid="{00000000-0005-0000-0000-0000C7170000}"/>
    <cellStyle name="Normal 5 2 2 3 3 3 3 2" xfId="14945" xr:uid="{F5992303-F6F7-4E00-AFEB-F72916188C9B}"/>
    <cellStyle name="Normal 5 2 2 3 3 3 4" xfId="10728" xr:uid="{0A11EFCC-C5A6-4FBB-9D87-8BC0CEBE9B1E}"/>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85F7FF51-DF10-42BE-A804-5E8EC593C3D1}"/>
    <cellStyle name="Normal 5 2 2 3 3 4 2 3" xfId="13286" xr:uid="{ADC17C00-D8D8-48EA-8663-3D086847DABC}"/>
    <cellStyle name="Normal 5 2 2 3 3 4 3" xfId="6032" xr:uid="{00000000-0005-0000-0000-0000CB170000}"/>
    <cellStyle name="Normal 5 2 2 3 3 4 3 2" xfId="15358" xr:uid="{3B07788A-0583-4EB9-8059-72BD0BC8608B}"/>
    <cellStyle name="Normal 5 2 2 3 3 4 4" xfId="11141" xr:uid="{DF2CC74A-44E3-476C-9D15-B86087A724C8}"/>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C02985AF-8B04-404C-B26E-ACB0A1682EAA}"/>
    <cellStyle name="Normal 5 2 2 3 3 5 2 3" xfId="13699" xr:uid="{9F0F6D32-C847-4CE1-8587-E8BC552F4B59}"/>
    <cellStyle name="Normal 5 2 2 3 3 5 3" xfId="6445" xr:uid="{00000000-0005-0000-0000-0000CF170000}"/>
    <cellStyle name="Normal 5 2 2 3 3 5 3 2" xfId="15771" xr:uid="{2AA11795-21A2-42F0-BDA7-6A6CF731DFCB}"/>
    <cellStyle name="Normal 5 2 2 3 3 5 4" xfId="11554" xr:uid="{3BFF5D81-AE06-47D4-99B7-A59C9057F8DC}"/>
    <cellStyle name="Normal 5 2 2 3 3 6" xfId="2575" xr:uid="{00000000-0005-0000-0000-0000D0170000}"/>
    <cellStyle name="Normal 5 2 2 3 3 6 2" xfId="6858" xr:uid="{00000000-0005-0000-0000-0000D1170000}"/>
    <cellStyle name="Normal 5 2 2 3 3 6 2 2" xfId="16184" xr:uid="{8C36B935-F4C0-47FE-BC41-717894C2F4AE}"/>
    <cellStyle name="Normal 5 2 2 3 3 6 3" xfId="11967" xr:uid="{AEC507D9-ACDD-4B2C-9EA7-74681C0376AF}"/>
    <cellStyle name="Normal 5 2 2 3 3 7" xfId="4793" xr:uid="{00000000-0005-0000-0000-0000D2170000}"/>
    <cellStyle name="Normal 5 2 2 3 3 7 2" xfId="14119" xr:uid="{0D2DF2A3-1B8D-4812-9F0B-BFFD92861137}"/>
    <cellStyle name="Normal 5 2 2 3 3 8" xfId="9035" xr:uid="{6AC57173-16AF-4847-A277-E4254AACDA36}"/>
    <cellStyle name="Normal 5 2 2 3 3 8 2" xfId="18359" xr:uid="{01BCBEB0-A187-478C-BE50-FF2CA99B0E5F}"/>
    <cellStyle name="Normal 5 2 2 3 3 9" xfId="9902" xr:uid="{5656F0E1-85F1-403F-A8C5-4BABDF38F9EE}"/>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A5FF7C8E-3A6B-405B-A1E1-911C702C861B}"/>
    <cellStyle name="Normal 5 2 2 3 4 2 3" xfId="12457" xr:uid="{FE707F3E-346E-44A7-B280-5D9221FC689C}"/>
    <cellStyle name="Normal 5 2 2 3 4 3" xfId="5203" xr:uid="{00000000-0005-0000-0000-0000D6170000}"/>
    <cellStyle name="Normal 5 2 2 3 4 3 2" xfId="14529" xr:uid="{145CBEA8-A476-4312-A219-35F64B359AA8}"/>
    <cellStyle name="Normal 5 2 2 3 4 4" xfId="9253" xr:uid="{A5C3AAF9-67DD-41B1-A0BF-05B69F588F71}"/>
    <cellStyle name="Normal 5 2 2 3 4 4 2" xfId="18568" xr:uid="{4473EBE0-B207-4992-A041-1462D516E4D0}"/>
    <cellStyle name="Normal 5 2 2 3 4 5" xfId="10312" xr:uid="{10849966-DD42-4EC7-ADCB-ED6751018345}"/>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EB9B630A-E0E0-4B3E-A8D1-71294118A7BA}"/>
    <cellStyle name="Normal 5 2 2 3 5 2 3" xfId="12870" xr:uid="{44DC4A07-CF1A-48C5-9A20-3270B63291ED}"/>
    <cellStyle name="Normal 5 2 2 3 5 3" xfId="5616" xr:uid="{00000000-0005-0000-0000-0000DA170000}"/>
    <cellStyle name="Normal 5 2 2 3 5 3 2" xfId="14942" xr:uid="{CCD1B04D-DF6E-4A14-BA2B-9AA20FAB6C5A}"/>
    <cellStyle name="Normal 5 2 2 3 5 4" xfId="10725" xr:uid="{B2E591A9-4564-4548-A06F-D8259C79BC8D}"/>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9516C07E-7F41-411D-BD05-645DA1938B00}"/>
    <cellStyle name="Normal 5 2 2 3 6 2 3" xfId="13283" xr:uid="{52A5CC19-A491-40EC-99CA-B563D9521608}"/>
    <cellStyle name="Normal 5 2 2 3 6 3" xfId="6029" xr:uid="{00000000-0005-0000-0000-0000DE170000}"/>
    <cellStyle name="Normal 5 2 2 3 6 3 2" xfId="15355" xr:uid="{E881D6A4-F216-46E6-95D9-C2DADB5DD2C9}"/>
    <cellStyle name="Normal 5 2 2 3 6 4" xfId="11138" xr:uid="{E02083DB-D944-4F17-A125-19501C5B0C95}"/>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737AD382-EEFD-42FE-A122-E8D527E034AF}"/>
    <cellStyle name="Normal 5 2 2 3 7 2 3" xfId="13696" xr:uid="{BB94250D-6040-41CD-B165-A66DA7F361C5}"/>
    <cellStyle name="Normal 5 2 2 3 7 3" xfId="6442" xr:uid="{00000000-0005-0000-0000-0000E2170000}"/>
    <cellStyle name="Normal 5 2 2 3 7 3 2" xfId="15768" xr:uid="{D9B57F21-0FD6-4A6C-8482-8A5814FF43AA}"/>
    <cellStyle name="Normal 5 2 2 3 7 4" xfId="11551" xr:uid="{01B29651-5D92-4A36-B7B2-3EA6CB055171}"/>
    <cellStyle name="Normal 5 2 2 3 8" xfId="2572" xr:uid="{00000000-0005-0000-0000-0000E3170000}"/>
    <cellStyle name="Normal 5 2 2 3 8 2" xfId="6855" xr:uid="{00000000-0005-0000-0000-0000E4170000}"/>
    <cellStyle name="Normal 5 2 2 3 8 2 2" xfId="16181" xr:uid="{8E569FCA-242D-4250-8C34-D0F7045DA602}"/>
    <cellStyle name="Normal 5 2 2 3 8 3" xfId="11964" xr:uid="{3075C0EB-B827-466C-AF30-23CC6DBB4916}"/>
    <cellStyle name="Normal 5 2 2 3 9" xfId="4790" xr:uid="{00000000-0005-0000-0000-0000E5170000}"/>
    <cellStyle name="Normal 5 2 2 3 9 2" xfId="14116" xr:uid="{21359DCE-FFFB-4753-9B96-B00DE1060911}"/>
    <cellStyle name="Normal 5 2 2 4" xfId="421" xr:uid="{00000000-0005-0000-0000-0000E6170000}"/>
    <cellStyle name="Normal 5 2 2 4 10" xfId="9903" xr:uid="{B45AC82E-14FA-4B55-B606-FB159749438C}"/>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4B609B1A-C3C5-4B91-9555-FE0AF1B0A7F2}"/>
    <cellStyle name="Normal 5 2 2 4 2 2 2 3" xfId="12462" xr:uid="{213E6340-B950-4E94-B16D-699471B9AA19}"/>
    <cellStyle name="Normal 5 2 2 4 2 2 3" xfId="5208" xr:uid="{00000000-0005-0000-0000-0000EB170000}"/>
    <cellStyle name="Normal 5 2 2 4 2 2 3 2" xfId="14534" xr:uid="{8457B830-81A7-479B-8177-E37E3E6D6E93}"/>
    <cellStyle name="Normal 5 2 2 4 2 2 4" xfId="9488" xr:uid="{2997B11D-E810-48A4-BD3C-4498479B295E}"/>
    <cellStyle name="Normal 5 2 2 4 2 2 4 2" xfId="18803" xr:uid="{5433A107-FF17-4974-B8E8-9679FA0E109E}"/>
    <cellStyle name="Normal 5 2 2 4 2 2 5" xfId="10317" xr:uid="{2A85FBE1-C61E-4DD0-8427-88BB3992F0DC}"/>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2C27373A-718F-4F36-9C36-FBC1630F85A8}"/>
    <cellStyle name="Normal 5 2 2 4 2 3 2 3" xfId="12875" xr:uid="{E3CD82B3-B0A1-4148-A388-C6BD0E8E5841}"/>
    <cellStyle name="Normal 5 2 2 4 2 3 3" xfId="5621" xr:uid="{00000000-0005-0000-0000-0000EF170000}"/>
    <cellStyle name="Normal 5 2 2 4 2 3 3 2" xfId="14947" xr:uid="{4FBED309-858E-44B1-B3D6-3E6AC8EEF132}"/>
    <cellStyle name="Normal 5 2 2 4 2 3 4" xfId="10730" xr:uid="{4CD9D9D9-D6CF-451D-AC43-4D1F73073D5A}"/>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09382F28-DA80-4D9E-B5A1-FCAFEBAE2345}"/>
    <cellStyle name="Normal 5 2 2 4 2 4 2 3" xfId="13288" xr:uid="{AF852A23-FD13-4CB9-A2B5-5F78D0B86935}"/>
    <cellStyle name="Normal 5 2 2 4 2 4 3" xfId="6034" xr:uid="{00000000-0005-0000-0000-0000F3170000}"/>
    <cellStyle name="Normal 5 2 2 4 2 4 3 2" xfId="15360" xr:uid="{6B0F384D-AE11-48CF-B0F2-F27DC3DB88D5}"/>
    <cellStyle name="Normal 5 2 2 4 2 4 4" xfId="11143" xr:uid="{13870E6E-26E8-4D72-B581-F297E4E0C818}"/>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1B78F197-1D3A-4D85-9143-6AF24C0FA91C}"/>
    <cellStyle name="Normal 5 2 2 4 2 5 2 3" xfId="13701" xr:uid="{EBDE665D-A11F-418D-869D-BAC894707669}"/>
    <cellStyle name="Normal 5 2 2 4 2 5 3" xfId="6447" xr:uid="{00000000-0005-0000-0000-0000F7170000}"/>
    <cellStyle name="Normal 5 2 2 4 2 5 3 2" xfId="15773" xr:uid="{B87E707D-5EA7-4C4B-AC72-E39469BD061C}"/>
    <cellStyle name="Normal 5 2 2 4 2 5 4" xfId="11556" xr:uid="{8B5C04E3-6627-4622-8ABE-DA1FA451420E}"/>
    <cellStyle name="Normal 5 2 2 4 2 6" xfId="2577" xr:uid="{00000000-0005-0000-0000-0000F8170000}"/>
    <cellStyle name="Normal 5 2 2 4 2 6 2" xfId="6860" xr:uid="{00000000-0005-0000-0000-0000F9170000}"/>
    <cellStyle name="Normal 5 2 2 4 2 6 2 2" xfId="16186" xr:uid="{3E5A6248-B13C-4037-99DD-D0BC210CCD97}"/>
    <cellStyle name="Normal 5 2 2 4 2 6 3" xfId="11969" xr:uid="{F5A0A984-0402-41BD-B790-197206A28841}"/>
    <cellStyle name="Normal 5 2 2 4 2 7" xfId="4795" xr:uid="{00000000-0005-0000-0000-0000FA170000}"/>
    <cellStyle name="Normal 5 2 2 4 2 7 2" xfId="14121" xr:uid="{D7AFB302-FD12-4E6C-9FE0-41287EE0EE8E}"/>
    <cellStyle name="Normal 5 2 2 4 2 8" xfId="9063" xr:uid="{3B1AA107-8D7F-4938-A60C-EED41E9B9A2A}"/>
    <cellStyle name="Normal 5 2 2 4 2 8 2" xfId="18387" xr:uid="{962BCF9D-B513-45E2-80C2-22BB92439B5B}"/>
    <cellStyle name="Normal 5 2 2 4 2 9" xfId="9904" xr:uid="{E9EEBD93-B9C3-443C-9180-35F77E14FF37}"/>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DD3976F8-A7DC-4C20-9574-1DEC0DB89A12}"/>
    <cellStyle name="Normal 5 2 2 4 3 2 3" xfId="12461" xr:uid="{D3EE05F6-4025-4C86-94B8-543EE3002E83}"/>
    <cellStyle name="Normal 5 2 2 4 3 3" xfId="5207" xr:uid="{00000000-0005-0000-0000-0000FE170000}"/>
    <cellStyle name="Normal 5 2 2 4 3 3 2" xfId="14533" xr:uid="{9AE8D2EA-8BCF-4FC3-BF09-320B8903E762}"/>
    <cellStyle name="Normal 5 2 2 4 3 4" xfId="9281" xr:uid="{9304050F-95A7-4BE3-AD21-FEBB7D0875B2}"/>
    <cellStyle name="Normal 5 2 2 4 3 4 2" xfId="18596" xr:uid="{099F9048-2892-4FEF-A52C-1007193529F1}"/>
    <cellStyle name="Normal 5 2 2 4 3 5" xfId="10316" xr:uid="{EF5FFF62-B712-4F86-A8FF-5A6DFB79347B}"/>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D96EC13C-6858-4D42-B1E9-041578CE91FA}"/>
    <cellStyle name="Normal 5 2 2 4 4 2 3" xfId="12874" xr:uid="{0251F360-7F9B-4FFB-A828-DE5469A310D9}"/>
    <cellStyle name="Normal 5 2 2 4 4 3" xfId="5620" xr:uid="{00000000-0005-0000-0000-000002180000}"/>
    <cellStyle name="Normal 5 2 2 4 4 3 2" xfId="14946" xr:uid="{99C9FD20-0A69-4908-9F3B-7F1932DF02A9}"/>
    <cellStyle name="Normal 5 2 2 4 4 4" xfId="10729" xr:uid="{5B58FF42-B08A-4C2B-AEFD-783E252D9C11}"/>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B3C18C83-FA65-4B9B-94F6-B1371C7C78FF}"/>
    <cellStyle name="Normal 5 2 2 4 5 2 3" xfId="13287" xr:uid="{4FBE0D4D-FAD9-4D39-9A9D-6A81E8AAED60}"/>
    <cellStyle name="Normal 5 2 2 4 5 3" xfId="6033" xr:uid="{00000000-0005-0000-0000-000006180000}"/>
    <cellStyle name="Normal 5 2 2 4 5 3 2" xfId="15359" xr:uid="{850A4665-3E82-4E65-9379-A611B0C2504B}"/>
    <cellStyle name="Normal 5 2 2 4 5 4" xfId="11142" xr:uid="{1EAD16CC-1C63-4AEE-A8E8-455AD7AD3BCB}"/>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59FE482D-42C4-48B2-A19D-9589901EA77D}"/>
    <cellStyle name="Normal 5 2 2 4 6 2 3" xfId="13700" xr:uid="{3B81E424-3EE1-4104-8B45-502057AD8500}"/>
    <cellStyle name="Normal 5 2 2 4 6 3" xfId="6446" xr:uid="{00000000-0005-0000-0000-00000A180000}"/>
    <cellStyle name="Normal 5 2 2 4 6 3 2" xfId="15772" xr:uid="{FF5E257D-9E76-42FB-B218-2A181D5CE199}"/>
    <cellStyle name="Normal 5 2 2 4 6 4" xfId="11555" xr:uid="{B474A8AC-9B16-4D13-9506-4298C80D2743}"/>
    <cellStyle name="Normal 5 2 2 4 7" xfId="2576" xr:uid="{00000000-0005-0000-0000-00000B180000}"/>
    <cellStyle name="Normal 5 2 2 4 7 2" xfId="6859" xr:uid="{00000000-0005-0000-0000-00000C180000}"/>
    <cellStyle name="Normal 5 2 2 4 7 2 2" xfId="16185" xr:uid="{685344E4-D483-4B38-A71A-D95F56E0836F}"/>
    <cellStyle name="Normal 5 2 2 4 7 3" xfId="11968" xr:uid="{350B1B32-D5CF-4BAF-AB66-B31A8BAE1F20}"/>
    <cellStyle name="Normal 5 2 2 4 8" xfId="4794" xr:uid="{00000000-0005-0000-0000-00000D180000}"/>
    <cellStyle name="Normal 5 2 2 4 8 2" xfId="14120" xr:uid="{8DC8AB53-AD64-4C8B-BBE5-DD151395A7B5}"/>
    <cellStyle name="Normal 5 2 2 4 9" xfId="8856" xr:uid="{8A537EF5-BE1D-4B82-9546-B2DC1F74308F}"/>
    <cellStyle name="Normal 5 2 2 4 9 2" xfId="18180" xr:uid="{D1BBD6DC-CEF4-4BAF-91AA-31666B5C2138}"/>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DE653E7E-5A85-4374-9CCC-A3287967400B}"/>
    <cellStyle name="Normal 5 2 2 5 2 2 3" xfId="12463" xr:uid="{32F0D0B8-188B-421D-9776-565038EEC1FF}"/>
    <cellStyle name="Normal 5 2 2 5 2 3" xfId="5209" xr:uid="{00000000-0005-0000-0000-000012180000}"/>
    <cellStyle name="Normal 5 2 2 5 2 3 2" xfId="14535" xr:uid="{3883C3DB-9C26-4BBE-B06D-AEC903268B56}"/>
    <cellStyle name="Normal 5 2 2 5 2 4" xfId="9397" xr:uid="{3CB0B9A4-F907-4F52-ACFC-7970F7AF9B13}"/>
    <cellStyle name="Normal 5 2 2 5 2 4 2" xfId="18712" xr:uid="{D8B3A7C1-4BDC-4690-B20D-105E036FA2CA}"/>
    <cellStyle name="Normal 5 2 2 5 2 5" xfId="10318" xr:uid="{F650CCA3-0F6B-4EA9-8EB8-1F6083F1FFB6}"/>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0091ED50-6D11-4FD1-9514-FAE4A1EC9DCF}"/>
    <cellStyle name="Normal 5 2 2 5 3 2 3" xfId="12876" xr:uid="{5D8A14E3-0DE7-43B9-AFC3-ACEE69E2B0A0}"/>
    <cellStyle name="Normal 5 2 2 5 3 3" xfId="5622" xr:uid="{00000000-0005-0000-0000-000016180000}"/>
    <cellStyle name="Normal 5 2 2 5 3 3 2" xfId="14948" xr:uid="{D69B3E0B-AC2A-43F2-BB5E-17C2645DFC78}"/>
    <cellStyle name="Normal 5 2 2 5 3 4" xfId="10731" xr:uid="{102A889E-F553-4C38-AC6D-217A63F1E797}"/>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CBA56FC9-690C-427C-A7EE-F4B4D733AA73}"/>
    <cellStyle name="Normal 5 2 2 5 4 2 3" xfId="13289" xr:uid="{D28E3798-2A9A-42A7-A46A-EFB34FFB9F33}"/>
    <cellStyle name="Normal 5 2 2 5 4 3" xfId="6035" xr:uid="{00000000-0005-0000-0000-00001A180000}"/>
    <cellStyle name="Normal 5 2 2 5 4 3 2" xfId="15361" xr:uid="{6D0F72A4-A61B-4099-8EBA-578B1938A5B3}"/>
    <cellStyle name="Normal 5 2 2 5 4 4" xfId="11144" xr:uid="{74385B21-E3BF-4487-91E0-8597FA2378FB}"/>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CA4E8385-C1E3-47D6-A0EE-8B548A9C7E69}"/>
    <cellStyle name="Normal 5 2 2 5 5 2 3" xfId="13702" xr:uid="{39B40299-B0D8-4482-A4CE-C7B56DD935F5}"/>
    <cellStyle name="Normal 5 2 2 5 5 3" xfId="6448" xr:uid="{00000000-0005-0000-0000-00001E180000}"/>
    <cellStyle name="Normal 5 2 2 5 5 3 2" xfId="15774" xr:uid="{F04E97E7-A100-4563-A87A-23A0B6B2B549}"/>
    <cellStyle name="Normal 5 2 2 5 5 4" xfId="11557" xr:uid="{2093F8A4-B955-4541-82DB-8C3EEDAD9444}"/>
    <cellStyle name="Normal 5 2 2 5 6" xfId="2578" xr:uid="{00000000-0005-0000-0000-00001F180000}"/>
    <cellStyle name="Normal 5 2 2 5 6 2" xfId="6861" xr:uid="{00000000-0005-0000-0000-000020180000}"/>
    <cellStyle name="Normal 5 2 2 5 6 2 2" xfId="16187" xr:uid="{AF4E9B07-5641-42CC-80A8-DDE4E2F47130}"/>
    <cellStyle name="Normal 5 2 2 5 6 3" xfId="11970" xr:uid="{BF34E7AB-CFBE-4475-BBC4-697A3B54FDED}"/>
    <cellStyle name="Normal 5 2 2 5 7" xfId="4796" xr:uid="{00000000-0005-0000-0000-000021180000}"/>
    <cellStyle name="Normal 5 2 2 5 7 2" xfId="14122" xr:uid="{8994964D-D025-4475-BA46-0EFF6BAD7881}"/>
    <cellStyle name="Normal 5 2 2 5 8" xfId="8972" xr:uid="{3CCC8856-6464-4309-A4F9-43F74A48C503}"/>
    <cellStyle name="Normal 5 2 2 5 8 2" xfId="18296" xr:uid="{93E5703A-518A-4CDE-AD84-BD0EFF7C9A0C}"/>
    <cellStyle name="Normal 5 2 2 5 9" xfId="9905" xr:uid="{92FCF25B-CD54-4F99-9C9D-AAB831960128}"/>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DEE22ACF-E998-44ED-B604-73BFF6BB0561}"/>
    <cellStyle name="Normal 5 2 2 6 2 3" xfId="12448" xr:uid="{F1BAB0B2-1F4B-4A9E-A55A-E2A88AEB6842}"/>
    <cellStyle name="Normal 5 2 2 6 3" xfId="5194" xr:uid="{00000000-0005-0000-0000-000025180000}"/>
    <cellStyle name="Normal 5 2 2 6 3 2" xfId="14520" xr:uid="{CB914A63-74E0-420F-97A3-32BCAFFCB9E8}"/>
    <cellStyle name="Normal 5 2 2 6 4" xfId="9175" xr:uid="{A0BC076A-DB75-4963-A17E-57836FA6391D}"/>
    <cellStyle name="Normal 5 2 2 6 4 2" xfId="18493" xr:uid="{267B3FD9-8D29-4B24-92FE-C404AFFFC019}"/>
    <cellStyle name="Normal 5 2 2 6 5" xfId="10303" xr:uid="{FE295613-D1C4-478D-9D20-ECB4743F39CF}"/>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4C45617A-04A1-4B21-ACFC-0A74C389629B}"/>
    <cellStyle name="Normal 5 2 2 7 2 3" xfId="12861" xr:uid="{476AE58C-D186-47C7-8939-1B8F1ABC7CC7}"/>
    <cellStyle name="Normal 5 2 2 7 3" xfId="5607" xr:uid="{00000000-0005-0000-0000-000029180000}"/>
    <cellStyle name="Normal 5 2 2 7 3 2" xfId="14933" xr:uid="{87625182-15C7-40A9-B3EF-8827D759E66E}"/>
    <cellStyle name="Normal 5 2 2 7 4" xfId="10716" xr:uid="{5C2F9493-0C94-4852-9DC2-87E65C1754D5}"/>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F576AFDE-C328-4CF9-A369-82B27123AD0E}"/>
    <cellStyle name="Normal 5 2 2 8 2 3" xfId="13274" xr:uid="{E75B3D1B-7642-4BD4-BC8F-EC237CF9BAAC}"/>
    <cellStyle name="Normal 5 2 2 8 3" xfId="6020" xr:uid="{00000000-0005-0000-0000-00002D180000}"/>
    <cellStyle name="Normal 5 2 2 8 3 2" xfId="15346" xr:uid="{DE14180B-7D5E-40BC-89FF-FFCBBCDE769A}"/>
    <cellStyle name="Normal 5 2 2 8 4" xfId="11129" xr:uid="{11682550-0357-41BF-A578-D3D11C5D5B08}"/>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8574964B-377E-4D69-8B1D-CDC45EE1F1AA}"/>
    <cellStyle name="Normal 5 2 2 9 2 3" xfId="13687" xr:uid="{62FCE328-B864-4282-BFAA-B4B1B1EC4C2E}"/>
    <cellStyle name="Normal 5 2 2 9 3" xfId="6433" xr:uid="{00000000-0005-0000-0000-000031180000}"/>
    <cellStyle name="Normal 5 2 2 9 3 2" xfId="15759" xr:uid="{952BDF00-2403-4544-B0E0-AE6BE6B80F89}"/>
    <cellStyle name="Normal 5 2 2 9 4" xfId="11542" xr:uid="{55475BEF-7729-40C3-A8D3-D3655EAEA409}"/>
    <cellStyle name="Normal 5 2 3" xfId="424" xr:uid="{00000000-0005-0000-0000-000032180000}"/>
    <cellStyle name="Normal 5 2 3 10" xfId="4797" xr:uid="{00000000-0005-0000-0000-000033180000}"/>
    <cellStyle name="Normal 5 2 3 10 2" xfId="14123" xr:uid="{76EA579B-ED29-40EC-832C-C131473C75E3}"/>
    <cellStyle name="Normal 5 2 3 11" xfId="8776" xr:uid="{883173D2-CE3E-48F3-8E13-32EAEF7B08C3}"/>
    <cellStyle name="Normal 5 2 3 11 2" xfId="18100" xr:uid="{D8A06AF8-E519-4362-B32F-15C130E9C5F0}"/>
    <cellStyle name="Normal 5 2 3 12" xfId="9906" xr:uid="{403B4EAC-B661-4C30-ABFE-7840F055B82C}"/>
    <cellStyle name="Normal 5 2 3 2" xfId="425" xr:uid="{00000000-0005-0000-0000-000034180000}"/>
    <cellStyle name="Normal 5 2 3 2 10" xfId="8830" xr:uid="{287E15F2-6F23-4B3E-B8AA-9DE92D950FBA}"/>
    <cellStyle name="Normal 5 2 3 2 10 2" xfId="18154" xr:uid="{1808CBB7-5F29-4677-9334-35BA9EB319DB}"/>
    <cellStyle name="Normal 5 2 3 2 11" xfId="9907" xr:uid="{26A0DD1E-CB8D-4059-8AEB-3305AAC77692}"/>
    <cellStyle name="Normal 5 2 3 2 2" xfId="426" xr:uid="{00000000-0005-0000-0000-000035180000}"/>
    <cellStyle name="Normal 5 2 3 2 2 10" xfId="9908" xr:uid="{16CD3CD7-739F-4B1A-B907-108C490B08F3}"/>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45D31011-D9DA-449F-AF3B-647B52AEAA7C}"/>
    <cellStyle name="Normal 5 2 3 2 2 2 2 2 3" xfId="12467" xr:uid="{C1B438F4-2181-4E0A-BFF6-1D2E3FFF0D4E}"/>
    <cellStyle name="Normal 5 2 3 2 2 2 2 3" xfId="5213" xr:uid="{00000000-0005-0000-0000-00003A180000}"/>
    <cellStyle name="Normal 5 2 3 2 2 2 2 3 2" xfId="14539" xr:uid="{542114F0-3ACF-44FB-8BA3-EBB6A254AFE3}"/>
    <cellStyle name="Normal 5 2 3 2 2 2 2 4" xfId="9565" xr:uid="{B33C5ECB-02D9-4BAF-B467-F38E8EEB7F6E}"/>
    <cellStyle name="Normal 5 2 3 2 2 2 2 4 2" xfId="18880" xr:uid="{97175E20-C976-44CE-9556-B121034FE46F}"/>
    <cellStyle name="Normal 5 2 3 2 2 2 2 5" xfId="10322" xr:uid="{77420CCA-6242-4C74-B470-412E854A77E5}"/>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8DBB7769-F3E1-41BE-8BFE-4408350307CE}"/>
    <cellStyle name="Normal 5 2 3 2 2 2 3 2 3" xfId="12880" xr:uid="{CF10138D-119E-4E6A-959D-CECCCD978C4B}"/>
    <cellStyle name="Normal 5 2 3 2 2 2 3 3" xfId="5626" xr:uid="{00000000-0005-0000-0000-00003E180000}"/>
    <cellStyle name="Normal 5 2 3 2 2 2 3 3 2" xfId="14952" xr:uid="{7C8093EE-AB0B-44D1-AA7A-DD272D1A960C}"/>
    <cellStyle name="Normal 5 2 3 2 2 2 3 4" xfId="10735" xr:uid="{549CA8AB-65A2-45C4-B67E-F5509D100B0A}"/>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C9F4CC5E-5E43-41A0-AAD6-722A87A7A734}"/>
    <cellStyle name="Normal 5 2 3 2 2 2 4 2 3" xfId="13293" xr:uid="{A97EE331-9C57-4F89-96B4-7853988EA859}"/>
    <cellStyle name="Normal 5 2 3 2 2 2 4 3" xfId="6039" xr:uid="{00000000-0005-0000-0000-000042180000}"/>
    <cellStyle name="Normal 5 2 3 2 2 2 4 3 2" xfId="15365" xr:uid="{B4D5E5CE-377D-4E34-BD83-562BFDEF2939}"/>
    <cellStyle name="Normal 5 2 3 2 2 2 4 4" xfId="11148" xr:uid="{7C93AFDD-EF6C-4291-9CE5-5DAC14D38A15}"/>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8F23BDDA-AF67-4631-B869-F9018F441F0D}"/>
    <cellStyle name="Normal 5 2 3 2 2 2 5 2 3" xfId="13706" xr:uid="{CA026BB6-8953-4C84-8394-C8038EAFF81D}"/>
    <cellStyle name="Normal 5 2 3 2 2 2 5 3" xfId="6452" xr:uid="{00000000-0005-0000-0000-000046180000}"/>
    <cellStyle name="Normal 5 2 3 2 2 2 5 3 2" xfId="15778" xr:uid="{7F190FB0-ACBF-4EAB-A702-912F5C7EC2EB}"/>
    <cellStyle name="Normal 5 2 3 2 2 2 5 4" xfId="11561" xr:uid="{EE40AB53-8003-4EA9-A176-2EFC9FAF22CA}"/>
    <cellStyle name="Normal 5 2 3 2 2 2 6" xfId="2582" xr:uid="{00000000-0005-0000-0000-000047180000}"/>
    <cellStyle name="Normal 5 2 3 2 2 2 6 2" xfId="6865" xr:uid="{00000000-0005-0000-0000-000048180000}"/>
    <cellStyle name="Normal 5 2 3 2 2 2 6 2 2" xfId="16191" xr:uid="{600B42D8-DDBE-4D04-B54F-7E988D8E4178}"/>
    <cellStyle name="Normal 5 2 3 2 2 2 6 3" xfId="11974" xr:uid="{D6D38771-43B9-4E6F-9BB9-3878236BEE33}"/>
    <cellStyle name="Normal 5 2 3 2 2 2 7" xfId="4800" xr:uid="{00000000-0005-0000-0000-000049180000}"/>
    <cellStyle name="Normal 5 2 3 2 2 2 7 2" xfId="14126" xr:uid="{B5A5525C-8473-4FAA-9D94-C617D994A2E0}"/>
    <cellStyle name="Normal 5 2 3 2 2 2 8" xfId="9140" xr:uid="{175A16DB-BA54-4083-AB68-1FA46DB27A86}"/>
    <cellStyle name="Normal 5 2 3 2 2 2 8 2" xfId="18464" xr:uid="{FB6D670B-60A1-4E28-9F8C-F0872017D581}"/>
    <cellStyle name="Normal 5 2 3 2 2 2 9" xfId="9909" xr:uid="{9052D2A8-2B9F-4975-A6D9-2C5B43F431E1}"/>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67D06D3A-D142-4D3C-A37F-EE148FB905F6}"/>
    <cellStyle name="Normal 5 2 3 2 2 3 2 3" xfId="12466" xr:uid="{6D37A793-E077-4DA3-B6B8-64258E901B07}"/>
    <cellStyle name="Normal 5 2 3 2 2 3 3" xfId="5212" xr:uid="{00000000-0005-0000-0000-00004D180000}"/>
    <cellStyle name="Normal 5 2 3 2 2 3 3 2" xfId="14538" xr:uid="{7A261614-4445-443D-B9E0-388999407943}"/>
    <cellStyle name="Normal 5 2 3 2 2 3 4" xfId="9358" xr:uid="{5B196E7D-8DD9-4C59-A83C-7626B0E60040}"/>
    <cellStyle name="Normal 5 2 3 2 2 3 4 2" xfId="18673" xr:uid="{1196F311-3BE2-4E67-9174-2C460FE551E5}"/>
    <cellStyle name="Normal 5 2 3 2 2 3 5" xfId="10321" xr:uid="{C18B0FFC-C6C6-447D-BD81-79C939FF209B}"/>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395A7C49-150E-4572-A14E-B2DC06716F5C}"/>
    <cellStyle name="Normal 5 2 3 2 2 4 2 3" xfId="12879" xr:uid="{8EB57738-2C49-42EA-8ADA-793BCC16F4BB}"/>
    <cellStyle name="Normal 5 2 3 2 2 4 3" xfId="5625" xr:uid="{00000000-0005-0000-0000-000051180000}"/>
    <cellStyle name="Normal 5 2 3 2 2 4 3 2" xfId="14951" xr:uid="{992A224E-5AB3-46B7-BCC9-6EB97AA124D6}"/>
    <cellStyle name="Normal 5 2 3 2 2 4 4" xfId="10734" xr:uid="{998DDC9C-280D-4579-AE7A-01856EFF35F5}"/>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F27FB655-8B5B-48BC-85B2-7F05CDED7810}"/>
    <cellStyle name="Normal 5 2 3 2 2 5 2 3" xfId="13292" xr:uid="{F5A070F4-34E7-40A9-A45A-119623C2FCA2}"/>
    <cellStyle name="Normal 5 2 3 2 2 5 3" xfId="6038" xr:uid="{00000000-0005-0000-0000-000055180000}"/>
    <cellStyle name="Normal 5 2 3 2 2 5 3 2" xfId="15364" xr:uid="{4FEE83E8-56D6-4BF6-A1F0-9E51CF599B12}"/>
    <cellStyle name="Normal 5 2 3 2 2 5 4" xfId="11147" xr:uid="{644EADCC-2E39-46A4-8FD2-7F7302B52744}"/>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98CB8E7B-6F52-4B9A-ABCB-F51FF193F8D6}"/>
    <cellStyle name="Normal 5 2 3 2 2 6 2 3" xfId="13705" xr:uid="{7751FAE5-8F5C-41D9-B55D-748930FD6BC1}"/>
    <cellStyle name="Normal 5 2 3 2 2 6 3" xfId="6451" xr:uid="{00000000-0005-0000-0000-000059180000}"/>
    <cellStyle name="Normal 5 2 3 2 2 6 3 2" xfId="15777" xr:uid="{BC399287-55D1-4C58-96A7-81796C3C6195}"/>
    <cellStyle name="Normal 5 2 3 2 2 6 4" xfId="11560" xr:uid="{79DA0E95-4BE2-4B91-8B28-6CC4023C67AA}"/>
    <cellStyle name="Normal 5 2 3 2 2 7" xfId="2581" xr:uid="{00000000-0005-0000-0000-00005A180000}"/>
    <cellStyle name="Normal 5 2 3 2 2 7 2" xfId="6864" xr:uid="{00000000-0005-0000-0000-00005B180000}"/>
    <cellStyle name="Normal 5 2 3 2 2 7 2 2" xfId="16190" xr:uid="{FE0D07FD-CBF8-4FF3-A57F-D8139AAE74E0}"/>
    <cellStyle name="Normal 5 2 3 2 2 7 3" xfId="11973" xr:uid="{1065677E-62E6-457E-B5F7-92F31604E889}"/>
    <cellStyle name="Normal 5 2 3 2 2 8" xfId="4799" xr:uid="{00000000-0005-0000-0000-00005C180000}"/>
    <cellStyle name="Normal 5 2 3 2 2 8 2" xfId="14125" xr:uid="{24E6AB67-62B7-44B7-B482-E92B973903FD}"/>
    <cellStyle name="Normal 5 2 3 2 2 9" xfId="8933" xr:uid="{2228AC18-CB51-4AF4-A227-403A8409C6C2}"/>
    <cellStyle name="Normal 5 2 3 2 2 9 2" xfId="18257" xr:uid="{2957A510-5044-4C8A-A4BF-0BFF3F0B6DA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9AEF5933-6B3A-41DD-9E16-3EF39AEDED74}"/>
    <cellStyle name="Normal 5 2 3 2 3 2 2 3" xfId="12468" xr:uid="{B264A19F-8B25-462B-AEC4-5FB97F6CB092}"/>
    <cellStyle name="Normal 5 2 3 2 3 2 3" xfId="5214" xr:uid="{00000000-0005-0000-0000-000061180000}"/>
    <cellStyle name="Normal 5 2 3 2 3 2 3 2" xfId="14540" xr:uid="{4D24225C-B3A4-4FC0-9E06-3C42EA4A4753}"/>
    <cellStyle name="Normal 5 2 3 2 3 2 4" xfId="9462" xr:uid="{B4C14F1A-A88A-428F-A7F8-BAFD7E5CD045}"/>
    <cellStyle name="Normal 5 2 3 2 3 2 4 2" xfId="18777" xr:uid="{1A934291-D257-4EEE-B03B-E48E404F5CC8}"/>
    <cellStyle name="Normal 5 2 3 2 3 2 5" xfId="10323" xr:uid="{1B42ED8A-5C5A-47F8-9337-91742C9702F6}"/>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3BEC53E1-27F9-4105-9519-15EE908DFDCB}"/>
    <cellStyle name="Normal 5 2 3 2 3 3 2 3" xfId="12881" xr:uid="{A1223E94-4375-482B-B8BA-B7E13BA15E34}"/>
    <cellStyle name="Normal 5 2 3 2 3 3 3" xfId="5627" xr:uid="{00000000-0005-0000-0000-000065180000}"/>
    <cellStyle name="Normal 5 2 3 2 3 3 3 2" xfId="14953" xr:uid="{A2F83FA4-2C62-4DFD-BD0D-77D05A126220}"/>
    <cellStyle name="Normal 5 2 3 2 3 3 4" xfId="10736" xr:uid="{DBDCA5E5-435C-45C3-A580-43383EB49BFB}"/>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A72E8D1D-108C-405C-93CC-39B81531D096}"/>
    <cellStyle name="Normal 5 2 3 2 3 4 2 3" xfId="13294" xr:uid="{673822FF-133D-471E-925D-DED9B72EC10A}"/>
    <cellStyle name="Normal 5 2 3 2 3 4 3" xfId="6040" xr:uid="{00000000-0005-0000-0000-000069180000}"/>
    <cellStyle name="Normal 5 2 3 2 3 4 3 2" xfId="15366" xr:uid="{D822AAB7-3266-4E74-956A-A27043941206}"/>
    <cellStyle name="Normal 5 2 3 2 3 4 4" xfId="11149" xr:uid="{D7D8D001-9271-4256-B176-0CA8E6DA7A8E}"/>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A19FCA76-6903-4ACB-A794-CA85A03D757A}"/>
    <cellStyle name="Normal 5 2 3 2 3 5 2 3" xfId="13707" xr:uid="{487E4EAC-E1FF-49C3-8E9E-8B6F9B29C231}"/>
    <cellStyle name="Normal 5 2 3 2 3 5 3" xfId="6453" xr:uid="{00000000-0005-0000-0000-00006D180000}"/>
    <cellStyle name="Normal 5 2 3 2 3 5 3 2" xfId="15779" xr:uid="{5DBC44AC-3982-405B-BBE9-4D83D14B7850}"/>
    <cellStyle name="Normal 5 2 3 2 3 5 4" xfId="11562" xr:uid="{49A0476B-9E3C-4E6B-B19C-6600716BE0B7}"/>
    <cellStyle name="Normal 5 2 3 2 3 6" xfId="2583" xr:uid="{00000000-0005-0000-0000-00006E180000}"/>
    <cellStyle name="Normal 5 2 3 2 3 6 2" xfId="6866" xr:uid="{00000000-0005-0000-0000-00006F180000}"/>
    <cellStyle name="Normal 5 2 3 2 3 6 2 2" xfId="16192" xr:uid="{035891C6-6246-43BA-9CE6-C6D98B4CD7D5}"/>
    <cellStyle name="Normal 5 2 3 2 3 6 3" xfId="11975" xr:uid="{A043E768-AAC5-455E-9428-818B2FC6965D}"/>
    <cellStyle name="Normal 5 2 3 2 3 7" xfId="4801" xr:uid="{00000000-0005-0000-0000-000070180000}"/>
    <cellStyle name="Normal 5 2 3 2 3 7 2" xfId="14127" xr:uid="{044931D4-86BE-4153-AB0F-F59BA8EF3ED7}"/>
    <cellStyle name="Normal 5 2 3 2 3 8" xfId="9037" xr:uid="{EED46D7F-EFCD-4AC1-931D-AB06B694E7BE}"/>
    <cellStyle name="Normal 5 2 3 2 3 8 2" xfId="18361" xr:uid="{D3D61608-568D-4855-AC99-965F47FD743E}"/>
    <cellStyle name="Normal 5 2 3 2 3 9" xfId="9910" xr:uid="{6597578E-1DA6-492A-8D11-F4AC1F8C95BE}"/>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543550B2-D76F-41C2-B723-4727C336F53E}"/>
    <cellStyle name="Normal 5 2 3 2 4 2 3" xfId="12465" xr:uid="{78FD8911-85F5-44E1-B845-1FA9E183C19A}"/>
    <cellStyle name="Normal 5 2 3 2 4 3" xfId="5211" xr:uid="{00000000-0005-0000-0000-000074180000}"/>
    <cellStyle name="Normal 5 2 3 2 4 3 2" xfId="14537" xr:uid="{597AC3A7-294E-465F-BEA9-A09F51014047}"/>
    <cellStyle name="Normal 5 2 3 2 4 4" xfId="9255" xr:uid="{C5A161BB-6C4F-4A9D-BBA7-7500B0B26A70}"/>
    <cellStyle name="Normal 5 2 3 2 4 4 2" xfId="18570" xr:uid="{A637F198-6812-4F31-9178-F56554FF729A}"/>
    <cellStyle name="Normal 5 2 3 2 4 5" xfId="10320" xr:uid="{312B6674-7A48-49CE-B966-D9459B2ED2C9}"/>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395CA965-0C9D-40B7-9D72-795209D09747}"/>
    <cellStyle name="Normal 5 2 3 2 5 2 3" xfId="12878" xr:uid="{FFEE1696-F671-48E1-B14A-57A38131D191}"/>
    <cellStyle name="Normal 5 2 3 2 5 3" xfId="5624" xr:uid="{00000000-0005-0000-0000-000078180000}"/>
    <cellStyle name="Normal 5 2 3 2 5 3 2" xfId="14950" xr:uid="{7A09C9E5-4099-4FB9-A984-8A17FDED05A4}"/>
    <cellStyle name="Normal 5 2 3 2 5 4" xfId="10733" xr:uid="{5AB342C0-A5D1-4B44-BCB3-2B36028096EB}"/>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D96250A3-0F28-4EC6-95EB-A01EA9EFEF32}"/>
    <cellStyle name="Normal 5 2 3 2 6 2 3" xfId="13291" xr:uid="{7B476F03-843C-46A1-9BAE-04D4BD2A668A}"/>
    <cellStyle name="Normal 5 2 3 2 6 3" xfId="6037" xr:uid="{00000000-0005-0000-0000-00007C180000}"/>
    <cellStyle name="Normal 5 2 3 2 6 3 2" xfId="15363" xr:uid="{8E3B74FB-145C-4E8F-85E6-B6A2A8798089}"/>
    <cellStyle name="Normal 5 2 3 2 6 4" xfId="11146" xr:uid="{3118F9F9-8A17-412F-896D-36DE222C07ED}"/>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9ECC6A71-D6CE-44AA-95EB-209770A621CA}"/>
    <cellStyle name="Normal 5 2 3 2 7 2 3" xfId="13704" xr:uid="{6663DA37-AC8A-4329-9E84-69D5135A90DA}"/>
    <cellStyle name="Normal 5 2 3 2 7 3" xfId="6450" xr:uid="{00000000-0005-0000-0000-000080180000}"/>
    <cellStyle name="Normal 5 2 3 2 7 3 2" xfId="15776" xr:uid="{D5751819-17D1-4974-8B84-8938E4288746}"/>
    <cellStyle name="Normal 5 2 3 2 7 4" xfId="11559" xr:uid="{D5AACB21-29C5-4AE5-B6E2-79C78C4E6CC9}"/>
    <cellStyle name="Normal 5 2 3 2 8" xfId="2580" xr:uid="{00000000-0005-0000-0000-000081180000}"/>
    <cellStyle name="Normal 5 2 3 2 8 2" xfId="6863" xr:uid="{00000000-0005-0000-0000-000082180000}"/>
    <cellStyle name="Normal 5 2 3 2 8 2 2" xfId="16189" xr:uid="{946C444B-26E5-482B-A56E-D0BC72D56EA3}"/>
    <cellStyle name="Normal 5 2 3 2 8 3" xfId="11972" xr:uid="{7F3DF25C-34B5-4D1D-AC1B-1213B40E319F}"/>
    <cellStyle name="Normal 5 2 3 2 9" xfId="4798" xr:uid="{00000000-0005-0000-0000-000083180000}"/>
    <cellStyle name="Normal 5 2 3 2 9 2" xfId="14124" xr:uid="{03802669-78F8-4DA1-B7F4-6425770EDD5E}"/>
    <cellStyle name="Normal 5 2 3 3" xfId="429" xr:uid="{00000000-0005-0000-0000-000084180000}"/>
    <cellStyle name="Normal 5 2 3 3 10" xfId="9911" xr:uid="{46FF58D9-81B8-4BDF-AAB0-0FCCF60CC881}"/>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CDAC12B0-9D95-4665-B37A-AD32C7063D20}"/>
    <cellStyle name="Normal 5 2 3 3 2 2 2 3" xfId="12470" xr:uid="{37AB085A-7DF5-4785-980D-D69152F9F98A}"/>
    <cellStyle name="Normal 5 2 3 3 2 2 3" xfId="5216" xr:uid="{00000000-0005-0000-0000-000089180000}"/>
    <cellStyle name="Normal 5 2 3 3 2 2 3 2" xfId="14542" xr:uid="{C0154086-C904-42F7-927C-06E2059A5FA7}"/>
    <cellStyle name="Normal 5 2 3 3 2 2 4" xfId="9511" xr:uid="{75EF02F8-0397-4B30-A858-343ADCA7C08D}"/>
    <cellStyle name="Normal 5 2 3 3 2 2 4 2" xfId="18826" xr:uid="{8E0441C8-811E-4E57-A982-E533FE9E7294}"/>
    <cellStyle name="Normal 5 2 3 3 2 2 5" xfId="10325" xr:uid="{9AA78442-5499-445A-ABA6-50332E5805E9}"/>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C0D498FA-D502-4BEF-B11F-23A0D11A1842}"/>
    <cellStyle name="Normal 5 2 3 3 2 3 2 3" xfId="12883" xr:uid="{91EFCEF7-709C-41CC-A89B-AFF5C7771B76}"/>
    <cellStyle name="Normal 5 2 3 3 2 3 3" xfId="5629" xr:uid="{00000000-0005-0000-0000-00008D180000}"/>
    <cellStyle name="Normal 5 2 3 3 2 3 3 2" xfId="14955" xr:uid="{292B9ED9-FDB1-4945-9C18-7ED79E320944}"/>
    <cellStyle name="Normal 5 2 3 3 2 3 4" xfId="10738" xr:uid="{DFE646F1-51DC-4F02-B843-16CCB926BA8B}"/>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4EB658E6-6C36-4C09-959F-B003A680FFF3}"/>
    <cellStyle name="Normal 5 2 3 3 2 4 2 3" xfId="13296" xr:uid="{0276720C-7A68-4692-9403-4E91DFF5EC65}"/>
    <cellStyle name="Normal 5 2 3 3 2 4 3" xfId="6042" xr:uid="{00000000-0005-0000-0000-000091180000}"/>
    <cellStyle name="Normal 5 2 3 3 2 4 3 2" xfId="15368" xr:uid="{36A422F4-A1BC-4CD2-A697-E4FF2AAE89DA}"/>
    <cellStyle name="Normal 5 2 3 3 2 4 4" xfId="11151" xr:uid="{DB99F894-2250-4894-A90D-6DAF4757B731}"/>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C8611620-9109-4713-8252-F1E069032A44}"/>
    <cellStyle name="Normal 5 2 3 3 2 5 2 3" xfId="13709" xr:uid="{B1D1930D-715B-4BD9-AA67-9772E54ABC6A}"/>
    <cellStyle name="Normal 5 2 3 3 2 5 3" xfId="6455" xr:uid="{00000000-0005-0000-0000-000095180000}"/>
    <cellStyle name="Normal 5 2 3 3 2 5 3 2" xfId="15781" xr:uid="{E4F84B6B-8319-4C61-B36B-CEAD633FD0F1}"/>
    <cellStyle name="Normal 5 2 3 3 2 5 4" xfId="11564" xr:uid="{9DA0479E-CE38-4D43-A13A-FF2E0A4D3D0D}"/>
    <cellStyle name="Normal 5 2 3 3 2 6" xfId="2585" xr:uid="{00000000-0005-0000-0000-000096180000}"/>
    <cellStyle name="Normal 5 2 3 3 2 6 2" xfId="6868" xr:uid="{00000000-0005-0000-0000-000097180000}"/>
    <cellStyle name="Normal 5 2 3 3 2 6 2 2" xfId="16194" xr:uid="{E77D68EB-2FEF-499E-927A-016E466248A7}"/>
    <cellStyle name="Normal 5 2 3 3 2 6 3" xfId="11977" xr:uid="{5F243BE9-31AF-49A9-B277-E24C63A51042}"/>
    <cellStyle name="Normal 5 2 3 3 2 7" xfId="4803" xr:uid="{00000000-0005-0000-0000-000098180000}"/>
    <cellStyle name="Normal 5 2 3 3 2 7 2" xfId="14129" xr:uid="{AE99B65A-7F81-4604-9E99-2095A309A70E}"/>
    <cellStyle name="Normal 5 2 3 3 2 8" xfId="9086" xr:uid="{442E5F61-F00C-4774-822F-4985AB3E1CB7}"/>
    <cellStyle name="Normal 5 2 3 3 2 8 2" xfId="18410" xr:uid="{E3AC904D-3D62-4B42-897E-63AF0E2B5882}"/>
    <cellStyle name="Normal 5 2 3 3 2 9" xfId="9912" xr:uid="{61AF1829-F62C-4E9E-AB09-A8B6C23A345B}"/>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35CE8B9D-C098-45BF-851D-FAE564186748}"/>
    <cellStyle name="Normal 5 2 3 3 3 2 3" xfId="12469" xr:uid="{0F4C4CAA-81C0-4876-AF46-AE55907412BC}"/>
    <cellStyle name="Normal 5 2 3 3 3 3" xfId="5215" xr:uid="{00000000-0005-0000-0000-00009C180000}"/>
    <cellStyle name="Normal 5 2 3 3 3 3 2" xfId="14541" xr:uid="{1B94659C-2D89-481C-8788-F93AB4CA268B}"/>
    <cellStyle name="Normal 5 2 3 3 3 4" xfId="9304" xr:uid="{2C783A77-F32A-4E64-807E-062B95DB0310}"/>
    <cellStyle name="Normal 5 2 3 3 3 4 2" xfId="18619" xr:uid="{6C15A552-5189-49AD-8C61-BE1B9DAE9D7F}"/>
    <cellStyle name="Normal 5 2 3 3 3 5" xfId="10324" xr:uid="{27CAF7F7-83A2-40AD-A88E-28019EAF2137}"/>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A5D1BC20-BD48-4F0B-A697-B2FBC5A87830}"/>
    <cellStyle name="Normal 5 2 3 3 4 2 3" xfId="12882" xr:uid="{8EAECACA-092D-4A0C-8B97-81794742D840}"/>
    <cellStyle name="Normal 5 2 3 3 4 3" xfId="5628" xr:uid="{00000000-0005-0000-0000-0000A0180000}"/>
    <cellStyle name="Normal 5 2 3 3 4 3 2" xfId="14954" xr:uid="{2236FF84-4F67-4B48-A32D-D1A7DE6B595C}"/>
    <cellStyle name="Normal 5 2 3 3 4 4" xfId="10737" xr:uid="{DB570E6B-43D0-4D6F-8583-F70257CE5540}"/>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2A526D6F-41B8-4D9C-A2FA-4AFD4EA7411A}"/>
    <cellStyle name="Normal 5 2 3 3 5 2 3" xfId="13295" xr:uid="{4C9CF189-8812-42B1-AFD3-7B219F0F0FA6}"/>
    <cellStyle name="Normal 5 2 3 3 5 3" xfId="6041" xr:uid="{00000000-0005-0000-0000-0000A4180000}"/>
    <cellStyle name="Normal 5 2 3 3 5 3 2" xfId="15367" xr:uid="{2437C8E6-E670-4CCC-BBEA-3CA9F73DFFF7}"/>
    <cellStyle name="Normal 5 2 3 3 5 4" xfId="11150" xr:uid="{BD48B582-6AA0-47BC-B544-9D77A3F62024}"/>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00F3FB4B-B032-441B-9E65-9AB1F0527551}"/>
    <cellStyle name="Normal 5 2 3 3 6 2 3" xfId="13708" xr:uid="{A615DA35-7495-4E21-94A1-2A15864D354F}"/>
    <cellStyle name="Normal 5 2 3 3 6 3" xfId="6454" xr:uid="{00000000-0005-0000-0000-0000A8180000}"/>
    <cellStyle name="Normal 5 2 3 3 6 3 2" xfId="15780" xr:uid="{475BFAEE-5C07-49C3-86B8-657963C0999F}"/>
    <cellStyle name="Normal 5 2 3 3 6 4" xfId="11563" xr:uid="{BDB575D0-0D6F-4450-B35C-931B4F29FAD2}"/>
    <cellStyle name="Normal 5 2 3 3 7" xfId="2584" xr:uid="{00000000-0005-0000-0000-0000A9180000}"/>
    <cellStyle name="Normal 5 2 3 3 7 2" xfId="6867" xr:uid="{00000000-0005-0000-0000-0000AA180000}"/>
    <cellStyle name="Normal 5 2 3 3 7 2 2" xfId="16193" xr:uid="{D412B579-B70A-4861-87F6-548521B6B6B4}"/>
    <cellStyle name="Normal 5 2 3 3 7 3" xfId="11976" xr:uid="{07DE8FE3-A649-4518-86C7-B451926747FB}"/>
    <cellStyle name="Normal 5 2 3 3 8" xfId="4802" xr:uid="{00000000-0005-0000-0000-0000AB180000}"/>
    <cellStyle name="Normal 5 2 3 3 8 2" xfId="14128" xr:uid="{B374035E-9929-49DF-8029-0AAF1A06340D}"/>
    <cellStyle name="Normal 5 2 3 3 9" xfId="8879" xr:uid="{F521005C-E3E0-4B64-9C0A-0C510FB9AAB2}"/>
    <cellStyle name="Normal 5 2 3 3 9 2" xfId="18203" xr:uid="{4BF327F8-92DE-4790-A4CF-313EE171390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4A32FFF6-EEC2-4397-AAEA-A475FF448666}"/>
    <cellStyle name="Normal 5 2 3 4 2 2 3" xfId="12471" xr:uid="{8F02842C-6F58-46B9-9CED-CBCD5D666912}"/>
    <cellStyle name="Normal 5 2 3 4 2 3" xfId="5217" xr:uid="{00000000-0005-0000-0000-0000B0180000}"/>
    <cellStyle name="Normal 5 2 3 4 2 3 2" xfId="14543" xr:uid="{6B588806-64AA-4F39-910F-22C0500E3E7F}"/>
    <cellStyle name="Normal 5 2 3 4 2 4" xfId="9408" xr:uid="{3B6F9C6F-3D7C-45F8-99FE-451C0F8CED36}"/>
    <cellStyle name="Normal 5 2 3 4 2 4 2" xfId="18723" xr:uid="{5CDABBA7-8AC1-41FF-8CB8-2CF0DEA8E5A9}"/>
    <cellStyle name="Normal 5 2 3 4 2 5" xfId="10326" xr:uid="{4E9639C8-9B18-42C9-8959-83759BB2868B}"/>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44F72AE2-7B05-42FD-BA15-102D2EBC18EF}"/>
    <cellStyle name="Normal 5 2 3 4 3 2 3" xfId="12884" xr:uid="{C8E16B5E-AC6D-4700-BDA2-FD9646F791B3}"/>
    <cellStyle name="Normal 5 2 3 4 3 3" xfId="5630" xr:uid="{00000000-0005-0000-0000-0000B4180000}"/>
    <cellStyle name="Normal 5 2 3 4 3 3 2" xfId="14956" xr:uid="{D4E0488E-5796-492F-92EE-294B65F94D2F}"/>
    <cellStyle name="Normal 5 2 3 4 3 4" xfId="10739" xr:uid="{1B53EFF1-0F4F-43C6-B19B-CA27408E45BD}"/>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348530D4-D9C7-46C7-BA0F-60583557C37C}"/>
    <cellStyle name="Normal 5 2 3 4 4 2 3" xfId="13297" xr:uid="{CD6F5E81-373A-437C-A096-C2E554E21F3E}"/>
    <cellStyle name="Normal 5 2 3 4 4 3" xfId="6043" xr:uid="{00000000-0005-0000-0000-0000B8180000}"/>
    <cellStyle name="Normal 5 2 3 4 4 3 2" xfId="15369" xr:uid="{190E3614-E9E1-4826-A50E-38C456A79A59}"/>
    <cellStyle name="Normal 5 2 3 4 4 4" xfId="11152" xr:uid="{48DECFB2-118E-4721-8221-A66DB971DE8F}"/>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EA1B1871-1DBF-48D0-89DB-B8804BAE5D5E}"/>
    <cellStyle name="Normal 5 2 3 4 5 2 3" xfId="13710" xr:uid="{6249D63F-A821-48FB-AA72-93D2426600E4}"/>
    <cellStyle name="Normal 5 2 3 4 5 3" xfId="6456" xr:uid="{00000000-0005-0000-0000-0000BC180000}"/>
    <cellStyle name="Normal 5 2 3 4 5 3 2" xfId="15782" xr:uid="{79A79088-3639-439D-AC66-0FB6EB5D11E2}"/>
    <cellStyle name="Normal 5 2 3 4 5 4" xfId="11565" xr:uid="{3D6E47BB-869C-43C6-B535-57B8441E45BC}"/>
    <cellStyle name="Normal 5 2 3 4 6" xfId="2586" xr:uid="{00000000-0005-0000-0000-0000BD180000}"/>
    <cellStyle name="Normal 5 2 3 4 6 2" xfId="6869" xr:uid="{00000000-0005-0000-0000-0000BE180000}"/>
    <cellStyle name="Normal 5 2 3 4 6 2 2" xfId="16195" xr:uid="{32BB40A9-905D-4296-8C03-9B0C94E319E3}"/>
    <cellStyle name="Normal 5 2 3 4 6 3" xfId="11978" xr:uid="{2510DB4C-3FDE-4CC2-96D7-9A5B721250A3}"/>
    <cellStyle name="Normal 5 2 3 4 7" xfId="4804" xr:uid="{00000000-0005-0000-0000-0000BF180000}"/>
    <cellStyle name="Normal 5 2 3 4 7 2" xfId="14130" xr:uid="{A70CE6CC-9998-4F18-8338-D019116583B5}"/>
    <cellStyle name="Normal 5 2 3 4 8" xfId="8983" xr:uid="{07388FCC-03DE-4CE8-89CB-9C92F8174E24}"/>
    <cellStyle name="Normal 5 2 3 4 8 2" xfId="18307" xr:uid="{1CAA6AE0-1423-4C9D-AA6E-D1FE1739459C}"/>
    <cellStyle name="Normal 5 2 3 4 9" xfId="9913" xr:uid="{F3E88BA9-FE7B-4C31-945D-46043B358985}"/>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91C8C981-D8CE-4B9A-A7E5-2041B8CD00EF}"/>
    <cellStyle name="Normal 5 2 3 5 2 3" xfId="12464" xr:uid="{94F0AE93-A775-4B42-8307-4FC50FB63130}"/>
    <cellStyle name="Normal 5 2 3 5 3" xfId="5210" xr:uid="{00000000-0005-0000-0000-0000C3180000}"/>
    <cellStyle name="Normal 5 2 3 5 3 2" xfId="14536" xr:uid="{FFD45FB9-F469-43E2-88B5-184F4C89F4B3}"/>
    <cellStyle name="Normal 5 2 3 5 4" xfId="9200" xr:uid="{13DE827A-4007-427A-9869-ADBBE6B70993}"/>
    <cellStyle name="Normal 5 2 3 5 4 2" xfId="18516" xr:uid="{D3E66002-B9B8-4DF0-B792-8C1E39CA5FCE}"/>
    <cellStyle name="Normal 5 2 3 5 5" xfId="10319" xr:uid="{1550EE2D-2001-4A42-B37A-FE19BB6357B1}"/>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07C70AB9-F6EE-4F9C-87FA-6B0EB6D12C84}"/>
    <cellStyle name="Normal 5 2 3 6 2 3" xfId="12877" xr:uid="{EEF8FA7D-1AFA-4D2E-8750-EF59924A4216}"/>
    <cellStyle name="Normal 5 2 3 6 3" xfId="5623" xr:uid="{00000000-0005-0000-0000-0000C7180000}"/>
    <cellStyle name="Normal 5 2 3 6 3 2" xfId="14949" xr:uid="{080CA137-041B-4AD5-918C-E51A9CBC10D8}"/>
    <cellStyle name="Normal 5 2 3 6 4" xfId="10732" xr:uid="{5BCE2A4A-CE8C-4253-ADA0-C4965CC1699B}"/>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B3760E51-4C97-46D7-B8A1-D41D2516975F}"/>
    <cellStyle name="Normal 5 2 3 7 2 3" xfId="13290" xr:uid="{0E085F12-8143-4A64-8B7E-44D64E92AC06}"/>
    <cellStyle name="Normal 5 2 3 7 3" xfId="6036" xr:uid="{00000000-0005-0000-0000-0000CB180000}"/>
    <cellStyle name="Normal 5 2 3 7 3 2" xfId="15362" xr:uid="{8A678EDA-22D4-4700-844B-C301D8B317D3}"/>
    <cellStyle name="Normal 5 2 3 7 4" xfId="11145" xr:uid="{130E0DF5-C1CD-4F6B-8809-648838660BA4}"/>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D414AE4F-A464-4E9A-9F63-AAE31A282B6C}"/>
    <cellStyle name="Normal 5 2 3 8 2 3" xfId="13703" xr:uid="{48AB76B8-3653-4967-87B5-6AC3FD510564}"/>
    <cellStyle name="Normal 5 2 3 8 3" xfId="6449" xr:uid="{00000000-0005-0000-0000-0000CF180000}"/>
    <cellStyle name="Normal 5 2 3 8 3 2" xfId="15775" xr:uid="{C4AC1F53-9FDC-45B7-9F66-9E48BF8EEBDD}"/>
    <cellStyle name="Normal 5 2 3 8 4" xfId="11558" xr:uid="{27B3340B-B284-4BB4-9F87-2AD1B32E2A06}"/>
    <cellStyle name="Normal 5 2 3 9" xfId="2579" xr:uid="{00000000-0005-0000-0000-0000D0180000}"/>
    <cellStyle name="Normal 5 2 3 9 2" xfId="6862" xr:uid="{00000000-0005-0000-0000-0000D1180000}"/>
    <cellStyle name="Normal 5 2 3 9 2 2" xfId="16188" xr:uid="{15627040-A1CA-430B-8396-DB85329F3537}"/>
    <cellStyle name="Normal 5 2 3 9 3" xfId="11971" xr:uid="{234BDC50-A1F6-4587-9B37-CB65B245E123}"/>
    <cellStyle name="Normal 5 2 4" xfId="432" xr:uid="{00000000-0005-0000-0000-0000D2180000}"/>
    <cellStyle name="Normal 5 2 4 10" xfId="8827" xr:uid="{1EC4F605-F0BA-487E-A3C0-2CBAE7C22D8A}"/>
    <cellStyle name="Normal 5 2 4 10 2" xfId="18151" xr:uid="{D1F39150-3F71-457A-B8F6-21911D44C3CB}"/>
    <cellStyle name="Normal 5 2 4 11" xfId="9914" xr:uid="{61CD48B5-EDD0-45E2-9374-6F5F4D838D02}"/>
    <cellStyle name="Normal 5 2 4 2" xfId="433" xr:uid="{00000000-0005-0000-0000-0000D3180000}"/>
    <cellStyle name="Normal 5 2 4 2 10" xfId="9915" xr:uid="{9CF58991-3AEB-4424-A982-CBE4E9E9FDC1}"/>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CDB27B79-725D-495F-81BE-1428FE48A57A}"/>
    <cellStyle name="Normal 5 2 4 2 2 2 2 3" xfId="12474" xr:uid="{71C478B1-3B23-4E3B-AA82-C95EDE150A2B}"/>
    <cellStyle name="Normal 5 2 4 2 2 2 3" xfId="5220" xr:uid="{00000000-0005-0000-0000-0000D8180000}"/>
    <cellStyle name="Normal 5 2 4 2 2 2 3 2" xfId="14546" xr:uid="{2066C810-846B-4E7D-86E5-30B086FA6867}"/>
    <cellStyle name="Normal 5 2 4 2 2 2 4" xfId="9562" xr:uid="{5E243FB4-F3B1-4B34-B377-1444454AD19E}"/>
    <cellStyle name="Normal 5 2 4 2 2 2 4 2" xfId="18877" xr:uid="{D3A5A6EA-930A-40F3-95BC-F4076E7B9DD1}"/>
    <cellStyle name="Normal 5 2 4 2 2 2 5" xfId="10329" xr:uid="{B938BA16-5A57-4E40-8247-3D7BAE132505}"/>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48FD90F9-D199-4E5F-B1BF-5506B12EC868}"/>
    <cellStyle name="Normal 5 2 4 2 2 3 2 3" xfId="12887" xr:uid="{EA66204F-21C9-4C7E-925D-6E5C894BB24E}"/>
    <cellStyle name="Normal 5 2 4 2 2 3 3" xfId="5633" xr:uid="{00000000-0005-0000-0000-0000DC180000}"/>
    <cellStyle name="Normal 5 2 4 2 2 3 3 2" xfId="14959" xr:uid="{896AA966-99E9-436F-9EBC-D969CDFF3DC8}"/>
    <cellStyle name="Normal 5 2 4 2 2 3 4" xfId="10742" xr:uid="{9C61BC7B-5136-4C50-BF95-EFB2FC8C4C85}"/>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B417EA62-5A9F-4AFC-9790-D115F23AF3A4}"/>
    <cellStyle name="Normal 5 2 4 2 2 4 2 3" xfId="13300" xr:uid="{4E6DAB39-7FA1-46B5-9E92-848513CE09EB}"/>
    <cellStyle name="Normal 5 2 4 2 2 4 3" xfId="6046" xr:uid="{00000000-0005-0000-0000-0000E0180000}"/>
    <cellStyle name="Normal 5 2 4 2 2 4 3 2" xfId="15372" xr:uid="{4C673FCF-FAFD-4567-83A7-69C448811DBC}"/>
    <cellStyle name="Normal 5 2 4 2 2 4 4" xfId="11155" xr:uid="{28333339-9603-4929-AFE8-B0F6A4D2999B}"/>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5098B720-5435-4602-9BC6-AFF2E643345F}"/>
    <cellStyle name="Normal 5 2 4 2 2 5 2 3" xfId="13713" xr:uid="{D95815D9-BFF4-4B03-99C1-EFE1EAA7F8FD}"/>
    <cellStyle name="Normal 5 2 4 2 2 5 3" xfId="6459" xr:uid="{00000000-0005-0000-0000-0000E4180000}"/>
    <cellStyle name="Normal 5 2 4 2 2 5 3 2" xfId="15785" xr:uid="{7A30CF07-FC1C-4B45-BC6C-45EA46563EDC}"/>
    <cellStyle name="Normal 5 2 4 2 2 5 4" xfId="11568" xr:uid="{04DFB7F1-24B3-47BC-A4B2-CC61FEC51AF4}"/>
    <cellStyle name="Normal 5 2 4 2 2 6" xfId="2589" xr:uid="{00000000-0005-0000-0000-0000E5180000}"/>
    <cellStyle name="Normal 5 2 4 2 2 6 2" xfId="6872" xr:uid="{00000000-0005-0000-0000-0000E6180000}"/>
    <cellStyle name="Normal 5 2 4 2 2 6 2 2" xfId="16198" xr:uid="{52E0367D-3F9B-42AF-A163-0C13D4408CE0}"/>
    <cellStyle name="Normal 5 2 4 2 2 6 3" xfId="11981" xr:uid="{2377967A-0C85-4502-91B3-72C162967984}"/>
    <cellStyle name="Normal 5 2 4 2 2 7" xfId="4807" xr:uid="{00000000-0005-0000-0000-0000E7180000}"/>
    <cellStyle name="Normal 5 2 4 2 2 7 2" xfId="14133" xr:uid="{1755A9DE-295F-4725-9452-393CE1D7DA3C}"/>
    <cellStyle name="Normal 5 2 4 2 2 8" xfId="9137" xr:uid="{C80E4B27-40CA-4953-ABB8-99E2C575F775}"/>
    <cellStyle name="Normal 5 2 4 2 2 8 2" xfId="18461" xr:uid="{2DC16048-AC0C-4A6B-B8CE-DD492C6FC45B}"/>
    <cellStyle name="Normal 5 2 4 2 2 9" xfId="9916" xr:uid="{4DA7DEF4-0FEE-4ED6-8057-8AB271C210B7}"/>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12B3D3F3-4769-4BF9-BF3D-03A8AC1BDD0B}"/>
    <cellStyle name="Normal 5 2 4 2 3 2 3" xfId="12473" xr:uid="{E219E2CC-F464-4227-B1AE-C948AA45DA2E}"/>
    <cellStyle name="Normal 5 2 4 2 3 3" xfId="5219" xr:uid="{00000000-0005-0000-0000-0000EB180000}"/>
    <cellStyle name="Normal 5 2 4 2 3 3 2" xfId="14545" xr:uid="{86343A0B-FBB3-4521-A1C3-5FD9A32D027C}"/>
    <cellStyle name="Normal 5 2 4 2 3 4" xfId="9355" xr:uid="{9D38A6AA-2F63-4275-9FB8-F86A15F6A4D3}"/>
    <cellStyle name="Normal 5 2 4 2 3 4 2" xfId="18670" xr:uid="{4C61CA3F-3ECC-47DA-A2C6-7908CF560A03}"/>
    <cellStyle name="Normal 5 2 4 2 3 5" xfId="10328" xr:uid="{E8C7AE76-3136-455C-A09B-4E2DE404F662}"/>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544430F7-0CD8-4BEB-A5D5-3689EC3DBDB3}"/>
    <cellStyle name="Normal 5 2 4 2 4 2 3" xfId="12886" xr:uid="{6C8C9883-263E-4631-8EE7-93B31C5F3723}"/>
    <cellStyle name="Normal 5 2 4 2 4 3" xfId="5632" xr:uid="{00000000-0005-0000-0000-0000EF180000}"/>
    <cellStyle name="Normal 5 2 4 2 4 3 2" xfId="14958" xr:uid="{66FC10DD-343C-4616-824A-932E6C7BEAC6}"/>
    <cellStyle name="Normal 5 2 4 2 4 4" xfId="10741" xr:uid="{858A3EF7-C977-4A3C-AA35-E61677366E5C}"/>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0853DF9E-5563-4223-AF73-F19F29661AE5}"/>
    <cellStyle name="Normal 5 2 4 2 5 2 3" xfId="13299" xr:uid="{47DB0F97-55FB-460A-9EA5-60875DD60E98}"/>
    <cellStyle name="Normal 5 2 4 2 5 3" xfId="6045" xr:uid="{00000000-0005-0000-0000-0000F3180000}"/>
    <cellStyle name="Normal 5 2 4 2 5 3 2" xfId="15371" xr:uid="{6DC68766-4C48-4482-AE13-1331CD9DAC5F}"/>
    <cellStyle name="Normal 5 2 4 2 5 4" xfId="11154" xr:uid="{9FEC68C2-5A63-4040-90F1-D598571356B4}"/>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99BA1EE7-2CFF-4B70-8B5D-DA940EA116B8}"/>
    <cellStyle name="Normal 5 2 4 2 6 2 3" xfId="13712" xr:uid="{372A3DBC-50BB-44BD-9F97-0A2AA8B3E0F2}"/>
    <cellStyle name="Normal 5 2 4 2 6 3" xfId="6458" xr:uid="{00000000-0005-0000-0000-0000F7180000}"/>
    <cellStyle name="Normal 5 2 4 2 6 3 2" xfId="15784" xr:uid="{AFC2C17D-5D70-440F-A9E1-B93C6DDECF4D}"/>
    <cellStyle name="Normal 5 2 4 2 6 4" xfId="11567" xr:uid="{13FA261B-0385-4B40-88B0-0805F350272C}"/>
    <cellStyle name="Normal 5 2 4 2 7" xfId="2588" xr:uid="{00000000-0005-0000-0000-0000F8180000}"/>
    <cellStyle name="Normal 5 2 4 2 7 2" xfId="6871" xr:uid="{00000000-0005-0000-0000-0000F9180000}"/>
    <cellStyle name="Normal 5 2 4 2 7 2 2" xfId="16197" xr:uid="{F32B9A88-2844-4858-BCA8-FC9BB5AD96C6}"/>
    <cellStyle name="Normal 5 2 4 2 7 3" xfId="11980" xr:uid="{C60ED14F-0062-4688-8321-0FCC35F5420B}"/>
    <cellStyle name="Normal 5 2 4 2 8" xfId="4806" xr:uid="{00000000-0005-0000-0000-0000FA180000}"/>
    <cellStyle name="Normal 5 2 4 2 8 2" xfId="14132" xr:uid="{648E7486-A31E-4836-A237-25033DE3A245}"/>
    <cellStyle name="Normal 5 2 4 2 9" xfId="8930" xr:uid="{66B84ABA-CAF3-4BBE-9026-E7A47CB6006F}"/>
    <cellStyle name="Normal 5 2 4 2 9 2" xfId="18254" xr:uid="{13046177-B240-4CA5-A11A-B1C0DDA982C4}"/>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48E88DC5-8CE5-44F4-BB6D-AC7A5DFF2988}"/>
    <cellStyle name="Normal 5 2 4 3 2 2 3" xfId="12475" xr:uid="{17205245-5F95-4518-8148-B4FB506FFCAA}"/>
    <cellStyle name="Normal 5 2 4 3 2 3" xfId="5221" xr:uid="{00000000-0005-0000-0000-0000FF180000}"/>
    <cellStyle name="Normal 5 2 4 3 2 3 2" xfId="14547" xr:uid="{99AFDD34-C649-4550-9FFE-93F60005D561}"/>
    <cellStyle name="Normal 5 2 4 3 2 4" xfId="9459" xr:uid="{ED2A936E-5624-4B26-A175-3FCE68E1BF5A}"/>
    <cellStyle name="Normal 5 2 4 3 2 4 2" xfId="18774" xr:uid="{CA80EE32-CED0-4EC3-95C0-6E9E298E45C9}"/>
    <cellStyle name="Normal 5 2 4 3 2 5" xfId="10330" xr:uid="{0228A74B-1329-4BE7-B75E-FA7046733740}"/>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8485EF52-C9BF-453A-95CF-8574C666FD94}"/>
    <cellStyle name="Normal 5 2 4 3 3 2 3" xfId="12888" xr:uid="{068ABC5A-C3EF-4946-A332-2EAF946C115C}"/>
    <cellStyle name="Normal 5 2 4 3 3 3" xfId="5634" xr:uid="{00000000-0005-0000-0000-000003190000}"/>
    <cellStyle name="Normal 5 2 4 3 3 3 2" xfId="14960" xr:uid="{67AAF7D0-C49F-43E2-B4BB-AF4E5D8DB09B}"/>
    <cellStyle name="Normal 5 2 4 3 3 4" xfId="10743" xr:uid="{B938713A-A90B-4DB3-87BB-C207E9AD372C}"/>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77EEADAD-020F-4C82-AD40-FC860A96B9D0}"/>
    <cellStyle name="Normal 5 2 4 3 4 2 3" xfId="13301" xr:uid="{6C1A6BA7-B72E-4C3B-9F6A-7C48119C734B}"/>
    <cellStyle name="Normal 5 2 4 3 4 3" xfId="6047" xr:uid="{00000000-0005-0000-0000-000007190000}"/>
    <cellStyle name="Normal 5 2 4 3 4 3 2" xfId="15373" xr:uid="{3006C8A8-970F-48DD-B659-8BE9D3F950FC}"/>
    <cellStyle name="Normal 5 2 4 3 4 4" xfId="11156" xr:uid="{4B716C1D-0068-4D0B-BD33-D0161BB7D3F0}"/>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E87DB0A6-B46B-49FF-959D-DF64365C35AB}"/>
    <cellStyle name="Normal 5 2 4 3 5 2 3" xfId="13714" xr:uid="{84E1B5AE-B67A-4571-A5E8-5D698F00E5D3}"/>
    <cellStyle name="Normal 5 2 4 3 5 3" xfId="6460" xr:uid="{00000000-0005-0000-0000-00000B190000}"/>
    <cellStyle name="Normal 5 2 4 3 5 3 2" xfId="15786" xr:uid="{FCB54E22-D725-43A9-B77C-84459CB91B52}"/>
    <cellStyle name="Normal 5 2 4 3 5 4" xfId="11569" xr:uid="{26A81723-9090-4B97-9098-F70E5C142F81}"/>
    <cellStyle name="Normal 5 2 4 3 6" xfId="2590" xr:uid="{00000000-0005-0000-0000-00000C190000}"/>
    <cellStyle name="Normal 5 2 4 3 6 2" xfId="6873" xr:uid="{00000000-0005-0000-0000-00000D190000}"/>
    <cellStyle name="Normal 5 2 4 3 6 2 2" xfId="16199" xr:uid="{DF604ACB-B111-49B2-BB91-362EAD13597D}"/>
    <cellStyle name="Normal 5 2 4 3 6 3" xfId="11982" xr:uid="{8D7EA854-8BE6-4247-84CB-1A89DE460E8E}"/>
    <cellStyle name="Normal 5 2 4 3 7" xfId="4808" xr:uid="{00000000-0005-0000-0000-00000E190000}"/>
    <cellStyle name="Normal 5 2 4 3 7 2" xfId="14134" xr:uid="{0DBAF932-5BCE-49F4-9FFF-D14FA115215B}"/>
    <cellStyle name="Normal 5 2 4 3 8" xfId="9034" xr:uid="{82D3DE5B-E868-4CF9-BA07-6E197DA4FAA5}"/>
    <cellStyle name="Normal 5 2 4 3 8 2" xfId="18358" xr:uid="{172338DC-4508-4CAF-9475-B9FD2B2CE7C0}"/>
    <cellStyle name="Normal 5 2 4 3 9" xfId="9917" xr:uid="{01BFCF36-3405-4C66-BEDB-20C59C98219F}"/>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31EE9EE9-E774-4709-BA07-A915C9CE5D4D}"/>
    <cellStyle name="Normal 5 2 4 4 2 3" xfId="12472" xr:uid="{37C03828-5169-4304-A4F0-6864ABC74A2C}"/>
    <cellStyle name="Normal 5 2 4 4 3" xfId="5218" xr:uid="{00000000-0005-0000-0000-000012190000}"/>
    <cellStyle name="Normal 5 2 4 4 3 2" xfId="14544" xr:uid="{F4B3E0DE-9FFF-469E-A73A-848BC543022F}"/>
    <cellStyle name="Normal 5 2 4 4 4" xfId="9252" xr:uid="{1D1A8EC4-7286-46A1-B40C-E987F273E760}"/>
    <cellStyle name="Normal 5 2 4 4 4 2" xfId="18567" xr:uid="{D13C5416-C154-4584-B71E-1594662FC3A5}"/>
    <cellStyle name="Normal 5 2 4 4 5" xfId="10327" xr:uid="{5CFF7071-2114-4BF1-A86B-0C5527A26F2F}"/>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7A6D45B0-04B4-46B6-B5F2-85854705066A}"/>
    <cellStyle name="Normal 5 2 4 5 2 3" xfId="12885" xr:uid="{7FC41CB7-6204-4880-8A2C-4C58E1299655}"/>
    <cellStyle name="Normal 5 2 4 5 3" xfId="5631" xr:uid="{00000000-0005-0000-0000-000016190000}"/>
    <cellStyle name="Normal 5 2 4 5 3 2" xfId="14957" xr:uid="{EBE19DE5-CCFE-4573-9086-3FC6117DE80B}"/>
    <cellStyle name="Normal 5 2 4 5 4" xfId="10740" xr:uid="{BE212C89-C3D9-44BC-9736-C2FA1D39E100}"/>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82FDDD80-818A-4A06-A805-7106BEA5F86A}"/>
    <cellStyle name="Normal 5 2 4 6 2 3" xfId="13298" xr:uid="{1AD21068-26B6-490A-A3AF-46679AE31BE4}"/>
    <cellStyle name="Normal 5 2 4 6 3" xfId="6044" xr:uid="{00000000-0005-0000-0000-00001A190000}"/>
    <cellStyle name="Normal 5 2 4 6 3 2" xfId="15370" xr:uid="{1B80762B-6A5C-4753-B60E-D5C7D99D3323}"/>
    <cellStyle name="Normal 5 2 4 6 4" xfId="11153" xr:uid="{6BE312E3-B3CF-4C83-B87C-1DA2BDC93EE9}"/>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E88B9C86-4D65-41DB-9222-CD289D76AC5A}"/>
    <cellStyle name="Normal 5 2 4 7 2 3" xfId="13711" xr:uid="{8BF931BD-C840-48C8-B2CB-E20F76B085BE}"/>
    <cellStyle name="Normal 5 2 4 7 3" xfId="6457" xr:uid="{00000000-0005-0000-0000-00001E190000}"/>
    <cellStyle name="Normal 5 2 4 7 3 2" xfId="15783" xr:uid="{21DC9103-BAC8-4CE1-823E-8985E76DCDAF}"/>
    <cellStyle name="Normal 5 2 4 7 4" xfId="11566" xr:uid="{0EF3A557-FFBA-41D2-92CB-98833920C835}"/>
    <cellStyle name="Normal 5 2 4 8" xfId="2587" xr:uid="{00000000-0005-0000-0000-00001F190000}"/>
    <cellStyle name="Normal 5 2 4 8 2" xfId="6870" xr:uid="{00000000-0005-0000-0000-000020190000}"/>
    <cellStyle name="Normal 5 2 4 8 2 2" xfId="16196" xr:uid="{C00890E1-E37A-47ED-AAB4-3428999EBA23}"/>
    <cellStyle name="Normal 5 2 4 8 3" xfId="11979" xr:uid="{E295D0DA-31B9-4F20-975F-4C874D3BA132}"/>
    <cellStyle name="Normal 5 2 4 9" xfId="4805" xr:uid="{00000000-0005-0000-0000-000021190000}"/>
    <cellStyle name="Normal 5 2 4 9 2" xfId="14131" xr:uid="{B5F98C6C-5A68-4222-AD78-9F7D3DD9F337}"/>
    <cellStyle name="Normal 5 2 5" xfId="436" xr:uid="{00000000-0005-0000-0000-000022190000}"/>
    <cellStyle name="Normal 5 2 5 10" xfId="9918" xr:uid="{D6C8F0EE-73B2-409B-AEA4-7A7A65199E15}"/>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AE58BD53-6B64-402C-8FF3-6A8FADE4CCF7}"/>
    <cellStyle name="Normal 5 2 5 2 2 2 3" xfId="12477" xr:uid="{79C39A6B-00D0-4CA9-80EF-19377BCBF364}"/>
    <cellStyle name="Normal 5 2 5 2 2 3" xfId="5223" xr:uid="{00000000-0005-0000-0000-000027190000}"/>
    <cellStyle name="Normal 5 2 5 2 2 3 2" xfId="14549" xr:uid="{E249AD80-C59A-4F2E-969E-29615186F5F3}"/>
    <cellStyle name="Normal 5 2 5 2 2 4" xfId="9479" xr:uid="{0DDFFFD4-5D62-4038-B6D4-9E9BD7CBA380}"/>
    <cellStyle name="Normal 5 2 5 2 2 4 2" xfId="18794" xr:uid="{2FB058F0-0AF8-462F-A131-B175F8DC8468}"/>
    <cellStyle name="Normal 5 2 5 2 2 5" xfId="10332" xr:uid="{85038EE0-ADB6-417E-ABF6-9245A10B22CB}"/>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2D143F59-C660-4481-9166-A80C815A0938}"/>
    <cellStyle name="Normal 5 2 5 2 3 2 3" xfId="12890" xr:uid="{1154E970-88A3-4431-B489-E096813C1816}"/>
    <cellStyle name="Normal 5 2 5 2 3 3" xfId="5636" xr:uid="{00000000-0005-0000-0000-00002B190000}"/>
    <cellStyle name="Normal 5 2 5 2 3 3 2" xfId="14962" xr:uid="{8DAEB293-EE0D-4408-BBFC-DDDCB3786F1C}"/>
    <cellStyle name="Normal 5 2 5 2 3 4" xfId="10745" xr:uid="{5F6F0DDA-374A-4675-B2CD-99C986CA600D}"/>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7F953494-D6D1-4CD6-B454-DD94DCDF657B}"/>
    <cellStyle name="Normal 5 2 5 2 4 2 3" xfId="13303" xr:uid="{9DFC660D-E293-40F6-BF38-B793B5139107}"/>
    <cellStyle name="Normal 5 2 5 2 4 3" xfId="6049" xr:uid="{00000000-0005-0000-0000-00002F190000}"/>
    <cellStyle name="Normal 5 2 5 2 4 3 2" xfId="15375" xr:uid="{1A659992-9136-42D2-BB49-9E0C7102A807}"/>
    <cellStyle name="Normal 5 2 5 2 4 4" xfId="11158" xr:uid="{3991E0B8-977D-40B4-8FE3-D472E38CE76F}"/>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AC4F50B1-F494-45F3-BBDB-3AE1AF969D0B}"/>
    <cellStyle name="Normal 5 2 5 2 5 2 3" xfId="13716" xr:uid="{E3AB5AEC-EF05-4447-8E93-22A93731CAAA}"/>
    <cellStyle name="Normal 5 2 5 2 5 3" xfId="6462" xr:uid="{00000000-0005-0000-0000-000033190000}"/>
    <cellStyle name="Normal 5 2 5 2 5 3 2" xfId="15788" xr:uid="{5698DE3E-424E-411B-99E6-AF4A07FF9D9B}"/>
    <cellStyle name="Normal 5 2 5 2 5 4" xfId="11571" xr:uid="{250F3326-A09E-4CAF-9708-D0ED25E70E2A}"/>
    <cellStyle name="Normal 5 2 5 2 6" xfId="2592" xr:uid="{00000000-0005-0000-0000-000034190000}"/>
    <cellStyle name="Normal 5 2 5 2 6 2" xfId="6875" xr:uid="{00000000-0005-0000-0000-000035190000}"/>
    <cellStyle name="Normal 5 2 5 2 6 2 2" xfId="16201" xr:uid="{5BD44EA6-0C6F-4D81-8893-2FD6D3C61391}"/>
    <cellStyle name="Normal 5 2 5 2 6 3" xfId="11984" xr:uid="{80F234DB-46FA-48AD-AAFF-59CE9B7920D9}"/>
    <cellStyle name="Normal 5 2 5 2 7" xfId="4810" xr:uid="{00000000-0005-0000-0000-000036190000}"/>
    <cellStyle name="Normal 5 2 5 2 7 2" xfId="14136" xr:uid="{BBAF7975-DE95-4736-9FE1-2F2872FF8F35}"/>
    <cellStyle name="Normal 5 2 5 2 8" xfId="9054" xr:uid="{844F6476-DDB9-4C38-A2B2-83AB0DCF1773}"/>
    <cellStyle name="Normal 5 2 5 2 8 2" xfId="18378" xr:uid="{B7D6D111-D19F-4DEA-938A-34E5234ED507}"/>
    <cellStyle name="Normal 5 2 5 2 9" xfId="9919" xr:uid="{783C5614-EF63-42BF-AD23-F82E56A1E685}"/>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6B60E9F2-CE7A-48C4-A467-BAF174B417CB}"/>
    <cellStyle name="Normal 5 2 5 3 2 3" xfId="12476" xr:uid="{EF07B436-9DC5-46DC-8D26-812DF637C01E}"/>
    <cellStyle name="Normal 5 2 5 3 3" xfId="5222" xr:uid="{00000000-0005-0000-0000-00003A190000}"/>
    <cellStyle name="Normal 5 2 5 3 3 2" xfId="14548" xr:uid="{95C4034D-043C-4962-9238-B5375B15072A}"/>
    <cellStyle name="Normal 5 2 5 3 4" xfId="9272" xr:uid="{8865498C-CC61-4C5F-A1F4-57A1D301E1CE}"/>
    <cellStyle name="Normal 5 2 5 3 4 2" xfId="18587" xr:uid="{E2C85A2C-EF1B-485C-BBAD-9A48DFDB2DB3}"/>
    <cellStyle name="Normal 5 2 5 3 5" xfId="10331" xr:uid="{B9977843-1D50-4B77-AED2-7E415E8B511A}"/>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406A53DE-1308-4A64-95AD-61FC9CFD919D}"/>
    <cellStyle name="Normal 5 2 5 4 2 3" xfId="12889" xr:uid="{C75416FB-6DF9-4DAC-8689-0DAD81366C88}"/>
    <cellStyle name="Normal 5 2 5 4 3" xfId="5635" xr:uid="{00000000-0005-0000-0000-00003E190000}"/>
    <cellStyle name="Normal 5 2 5 4 3 2" xfId="14961" xr:uid="{5DF3E754-A98A-4654-AF3B-98C3BF4A1C4E}"/>
    <cellStyle name="Normal 5 2 5 4 4" xfId="10744" xr:uid="{FD5BA860-3EAC-455E-9BDE-9B1CFF7D696F}"/>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E1FC74E2-F3B4-4EC3-8120-37EFFEBA4A6A}"/>
    <cellStyle name="Normal 5 2 5 5 2 3" xfId="13302" xr:uid="{2F3FA00C-67A5-4410-B13E-E8FEF379748D}"/>
    <cellStyle name="Normal 5 2 5 5 3" xfId="6048" xr:uid="{00000000-0005-0000-0000-000042190000}"/>
    <cellStyle name="Normal 5 2 5 5 3 2" xfId="15374" xr:uid="{896C8B02-BFD3-400D-8494-A31CE78B7240}"/>
    <cellStyle name="Normal 5 2 5 5 4" xfId="11157" xr:uid="{9E360AC8-76B9-45DE-A749-59AD6D4991DD}"/>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690F2399-A57B-42AC-B36D-1A5DE4311969}"/>
    <cellStyle name="Normal 5 2 5 6 2 3" xfId="13715" xr:uid="{95563C81-F588-4633-BDC0-041CDC48C94C}"/>
    <cellStyle name="Normal 5 2 5 6 3" xfId="6461" xr:uid="{00000000-0005-0000-0000-000046190000}"/>
    <cellStyle name="Normal 5 2 5 6 3 2" xfId="15787" xr:uid="{529897B0-3265-48EA-9FF6-47B4FF7FABB5}"/>
    <cellStyle name="Normal 5 2 5 6 4" xfId="11570" xr:uid="{75709F09-2C4C-4EAB-8F90-D1E1DCCEB6EC}"/>
    <cellStyle name="Normal 5 2 5 7" xfId="2591" xr:uid="{00000000-0005-0000-0000-000047190000}"/>
    <cellStyle name="Normal 5 2 5 7 2" xfId="6874" xr:uid="{00000000-0005-0000-0000-000048190000}"/>
    <cellStyle name="Normal 5 2 5 7 2 2" xfId="16200" xr:uid="{4FC5E18A-F0AB-4A1F-A9FF-2AAD6B4E35B7}"/>
    <cellStyle name="Normal 5 2 5 7 3" xfId="11983" xr:uid="{1E461D2D-114A-4429-95EB-98D1F111E98D}"/>
    <cellStyle name="Normal 5 2 5 8" xfId="4809" xr:uid="{00000000-0005-0000-0000-000049190000}"/>
    <cellStyle name="Normal 5 2 5 8 2" xfId="14135" xr:uid="{6A95DCAF-1E65-40EB-919A-1CD3E2186FAB}"/>
    <cellStyle name="Normal 5 2 5 9" xfId="8847" xr:uid="{504334B5-BB84-4906-81A5-68746D711AC3}"/>
    <cellStyle name="Normal 5 2 5 9 2" xfId="18171" xr:uid="{3A8230FE-12A8-44A5-9683-16E63A08E7F9}"/>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BEC4DB96-A274-46AE-A30D-39AACEB6A7D3}"/>
    <cellStyle name="Normal 5 2 6 2 2 3" xfId="12478" xr:uid="{81BB56ED-EBDC-4F20-84A1-9654E7635485}"/>
    <cellStyle name="Normal 5 2 6 2 3" xfId="5224" xr:uid="{00000000-0005-0000-0000-00004E190000}"/>
    <cellStyle name="Normal 5 2 6 2 3 2" xfId="14550" xr:uid="{8250725B-056B-4897-8AC8-4333AE013568}"/>
    <cellStyle name="Normal 5 2 6 2 4" xfId="9388" xr:uid="{38BE55A5-085B-499D-8766-DF826B77D03C}"/>
    <cellStyle name="Normal 5 2 6 2 4 2" xfId="18703" xr:uid="{0132AD17-E90E-48EA-99E1-3B62FD4F6701}"/>
    <cellStyle name="Normal 5 2 6 2 5" xfId="10333" xr:uid="{44F32DDD-CC1E-4943-AD63-926E649777EF}"/>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02AA3ABF-2768-415E-8B04-B82131C0B00B}"/>
    <cellStyle name="Normal 5 2 6 3 2 3" xfId="12891" xr:uid="{2D32DC90-363B-4A1E-92DE-BADE1C519484}"/>
    <cellStyle name="Normal 5 2 6 3 3" xfId="5637" xr:uid="{00000000-0005-0000-0000-000052190000}"/>
    <cellStyle name="Normal 5 2 6 3 3 2" xfId="14963" xr:uid="{E822B930-24AE-4C80-B841-52C87123DB9B}"/>
    <cellStyle name="Normal 5 2 6 3 4" xfId="10746" xr:uid="{E103A07D-0B8E-4193-B02F-970F606D1ED9}"/>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C6393CF3-7B5A-4B49-8ABF-E74AE384A2B8}"/>
    <cellStyle name="Normal 5 2 6 4 2 3" xfId="13304" xr:uid="{44C35CEA-FC50-4F21-8150-BBA0A6AD9C39}"/>
    <cellStyle name="Normal 5 2 6 4 3" xfId="6050" xr:uid="{00000000-0005-0000-0000-000056190000}"/>
    <cellStyle name="Normal 5 2 6 4 3 2" xfId="15376" xr:uid="{29DA1A59-97E6-4830-AE36-F833D85B3058}"/>
    <cellStyle name="Normal 5 2 6 4 4" xfId="11159" xr:uid="{675EABC5-4E79-498D-9F32-082636F15A5C}"/>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A0DED26C-B3E0-4F6C-B705-11FB1FAA020F}"/>
    <cellStyle name="Normal 5 2 6 5 2 3" xfId="13717" xr:uid="{F21E7AD9-6DFB-426F-B008-31F3E7714D7A}"/>
    <cellStyle name="Normal 5 2 6 5 3" xfId="6463" xr:uid="{00000000-0005-0000-0000-00005A190000}"/>
    <cellStyle name="Normal 5 2 6 5 3 2" xfId="15789" xr:uid="{139EA42B-C28A-4B17-9F05-00DAB70CD066}"/>
    <cellStyle name="Normal 5 2 6 5 4" xfId="11572" xr:uid="{740EB0A1-EF59-49C0-B101-4C8228F291C2}"/>
    <cellStyle name="Normal 5 2 6 6" xfId="2593" xr:uid="{00000000-0005-0000-0000-00005B190000}"/>
    <cellStyle name="Normal 5 2 6 6 2" xfId="6876" xr:uid="{00000000-0005-0000-0000-00005C190000}"/>
    <cellStyle name="Normal 5 2 6 6 2 2" xfId="16202" xr:uid="{630B1FDD-6FCF-42EF-8B7B-97B08612690F}"/>
    <cellStyle name="Normal 5 2 6 6 3" xfId="11985" xr:uid="{A3ACFC51-E7C9-493C-AF4E-1554E709F5D7}"/>
    <cellStyle name="Normal 5 2 6 7" xfId="4811" xr:uid="{00000000-0005-0000-0000-00005D190000}"/>
    <cellStyle name="Normal 5 2 6 7 2" xfId="14137" xr:uid="{722C6189-FED8-42B5-875F-48B8F511D430}"/>
    <cellStyle name="Normal 5 2 6 8" xfId="8963" xr:uid="{01BDB756-0B70-4C0D-AC32-9959EE0C8F11}"/>
    <cellStyle name="Normal 5 2 6 8 2" xfId="18287" xr:uid="{F27910DD-6059-4694-B6E2-1F55DA8E919F}"/>
    <cellStyle name="Normal 5 2 6 9" xfId="9920" xr:uid="{604E7979-CE15-4F35-A2E0-FC3BBBDE3E80}"/>
    <cellStyle name="Normal 5 2 7" xfId="881" xr:uid="{00000000-0005-0000-0000-00005E190000}"/>
    <cellStyle name="Normal 5 2 7 2" xfId="3116" xr:uid="{00000000-0005-0000-0000-00005F190000}"/>
    <cellStyle name="Normal 5 2 7 2 2" xfId="7338" xr:uid="{00000000-0005-0000-0000-000060190000}"/>
    <cellStyle name="Normal 5 2 7 2 2 2" xfId="16664" xr:uid="{3D2737FE-F81E-430F-B5A9-AF92F6016544}"/>
    <cellStyle name="Normal 5 2 7 2 3" xfId="12447" xr:uid="{90997256-98E3-402C-A096-27F29054054D}"/>
    <cellStyle name="Normal 5 2 7 3" xfId="5193" xr:uid="{00000000-0005-0000-0000-000061190000}"/>
    <cellStyle name="Normal 5 2 7 3 2" xfId="14519" xr:uid="{E0B371DC-54C1-424A-930F-D7E33B705924}"/>
    <cellStyle name="Normal 5 2 7 4" xfId="9166" xr:uid="{903BB692-5043-4803-B109-F7C532EB2A09}"/>
    <cellStyle name="Normal 5 2 7 4 2" xfId="18484" xr:uid="{9D2EA2EE-D1F9-4F4E-AF7A-C8DFEBCE497F}"/>
    <cellStyle name="Normal 5 2 7 5" xfId="10302" xr:uid="{2C413044-313D-451F-AFF0-C6FD059193C6}"/>
    <cellStyle name="Normal 5 2 8" xfId="1299" xr:uid="{00000000-0005-0000-0000-000062190000}"/>
    <cellStyle name="Normal 5 2 8 2" xfId="3529" xr:uid="{00000000-0005-0000-0000-000063190000}"/>
    <cellStyle name="Normal 5 2 8 2 2" xfId="7751" xr:uid="{00000000-0005-0000-0000-000064190000}"/>
    <cellStyle name="Normal 5 2 8 2 2 2" xfId="17077" xr:uid="{AB1EDD46-E146-4C93-98D7-CFCD23F120E8}"/>
    <cellStyle name="Normal 5 2 8 2 3" xfId="12860" xr:uid="{0D041E42-1578-4F9C-B866-35BE5D1842BC}"/>
    <cellStyle name="Normal 5 2 8 3" xfId="5606" xr:uid="{00000000-0005-0000-0000-000065190000}"/>
    <cellStyle name="Normal 5 2 8 3 2" xfId="14932" xr:uid="{A48516EF-238D-4CDF-91B0-BACC9D080BB0}"/>
    <cellStyle name="Normal 5 2 8 4" xfId="10715" xr:uid="{134D5A3C-1671-48B9-9C98-85D81742EB5E}"/>
    <cellStyle name="Normal 5 2 9" xfId="1712" xr:uid="{00000000-0005-0000-0000-000066190000}"/>
    <cellStyle name="Normal 5 2 9 2" xfId="3942" xr:uid="{00000000-0005-0000-0000-000067190000}"/>
    <cellStyle name="Normal 5 2 9 2 2" xfId="8164" xr:uid="{00000000-0005-0000-0000-000068190000}"/>
    <cellStyle name="Normal 5 2 9 2 2 2" xfId="17490" xr:uid="{0C5CC646-359C-486D-B5D3-D4AF8C5549C6}"/>
    <cellStyle name="Normal 5 2 9 2 3" xfId="13273" xr:uid="{663A4BE9-AB19-4E90-BA82-16ADDD23C7F9}"/>
    <cellStyle name="Normal 5 2 9 3" xfId="6019" xr:uid="{00000000-0005-0000-0000-000069190000}"/>
    <cellStyle name="Normal 5 2 9 3 2" xfId="15345" xr:uid="{0D09017F-818F-41F5-9234-C2348AE1B7DF}"/>
    <cellStyle name="Normal 5 2 9 4" xfId="11128" xr:uid="{712E02AE-C829-4BA6-A30E-1B8B68ED8B24}"/>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243AF667-438E-45BE-989F-77FFD836266C}"/>
    <cellStyle name="Normal 5 3 10 2 3" xfId="13718" xr:uid="{4AFB5034-4DE5-4E44-B771-9C5476719124}"/>
    <cellStyle name="Normal 5 3 10 3" xfId="6464" xr:uid="{00000000-0005-0000-0000-00006E190000}"/>
    <cellStyle name="Normal 5 3 10 3 2" xfId="15790" xr:uid="{351BDBBE-903C-402C-BE2A-D4620389D0B6}"/>
    <cellStyle name="Normal 5 3 10 4" xfId="11573" xr:uid="{AE5B8CA1-3600-4AB4-88B9-135C0B2D304F}"/>
    <cellStyle name="Normal 5 3 11" xfId="2594" xr:uid="{00000000-0005-0000-0000-00006F190000}"/>
    <cellStyle name="Normal 5 3 11 2" xfId="6877" xr:uid="{00000000-0005-0000-0000-000070190000}"/>
    <cellStyle name="Normal 5 3 11 2 2" xfId="16203" xr:uid="{E9D4068E-32BB-4EE9-ABCB-F2AAEAE83DAC}"/>
    <cellStyle name="Normal 5 3 11 3" xfId="11986" xr:uid="{E44800E5-BC4C-4BA3-ADDD-BB7713A6B077}"/>
    <cellStyle name="Normal 5 3 12" xfId="4812" xr:uid="{00000000-0005-0000-0000-000071190000}"/>
    <cellStyle name="Normal 5 3 12 2" xfId="14138" xr:uid="{29E77F25-C5D1-4FB6-A512-0D0DA66952D5}"/>
    <cellStyle name="Normal 5 3 13" xfId="8750" xr:uid="{36957AEF-D081-4A23-AEE3-073A5901863C}"/>
    <cellStyle name="Normal 5 3 13 2" xfId="18074" xr:uid="{AE96A9E4-4236-4370-A374-0EBFEAFDF6FD}"/>
    <cellStyle name="Normal 5 3 14" xfId="9921" xr:uid="{9EC1CA01-54C1-4A84-A08C-38FE1DBFDD9B}"/>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C577D1EE-8642-4520-A4DC-EC171CCBE64F}"/>
    <cellStyle name="Normal 5 3 3 11" xfId="8782" xr:uid="{4219AD28-469A-4693-BD0B-B0536AC433E5}"/>
    <cellStyle name="Normal 5 3 3 11 2" xfId="18106" xr:uid="{B8F42698-5120-4B53-B685-97B5B7CA69C6}"/>
    <cellStyle name="Normal 5 3 3 12" xfId="9922" xr:uid="{699C18F0-4D5B-4CC4-A62A-BE50B2B0FC99}"/>
    <cellStyle name="Normal 5 3 3 2" xfId="442" xr:uid="{00000000-0005-0000-0000-000076190000}"/>
    <cellStyle name="Normal 5 3 3 2 10" xfId="8832" xr:uid="{03323DDB-E4E1-4078-8BBE-EA3DD4471E1B}"/>
    <cellStyle name="Normal 5 3 3 2 10 2" xfId="18156" xr:uid="{E265A5AE-E054-4EFA-90D9-E4E044CF38A2}"/>
    <cellStyle name="Normal 5 3 3 2 11" xfId="9923" xr:uid="{47FC04FF-B990-4CD7-8E03-5883F1414448}"/>
    <cellStyle name="Normal 5 3 3 2 2" xfId="443" xr:uid="{00000000-0005-0000-0000-000077190000}"/>
    <cellStyle name="Normal 5 3 3 2 2 10" xfId="9924" xr:uid="{1AD94066-D7E7-4E37-97C5-2D208900D4BE}"/>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937A26DD-37A8-455C-8E66-78F5122B9EE4}"/>
    <cellStyle name="Normal 5 3 3 2 2 2 2 2 3" xfId="12483" xr:uid="{3913F82C-5420-4892-AEB7-E681609DAF3F}"/>
    <cellStyle name="Normal 5 3 3 2 2 2 2 3" xfId="5229" xr:uid="{00000000-0005-0000-0000-00007C190000}"/>
    <cellStyle name="Normal 5 3 3 2 2 2 2 3 2" xfId="14555" xr:uid="{E3E9A651-4D67-4C2C-ADAD-7D6556805CEC}"/>
    <cellStyle name="Normal 5 3 3 2 2 2 2 4" xfId="9567" xr:uid="{C2519486-6BC5-47D1-879F-EC6040BC9E9D}"/>
    <cellStyle name="Normal 5 3 3 2 2 2 2 4 2" xfId="18882" xr:uid="{48B18577-A8A3-479E-9248-692E7191129C}"/>
    <cellStyle name="Normal 5 3 3 2 2 2 2 5" xfId="10338" xr:uid="{856E2068-E6F6-477F-AC0B-EDD1A66A66F4}"/>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2C5B36F6-6058-4288-AB7C-16FF2D14D901}"/>
    <cellStyle name="Normal 5 3 3 2 2 2 3 2 3" xfId="12896" xr:uid="{5059EAB2-B5ED-49D9-8746-BF7F8D4CF6AD}"/>
    <cellStyle name="Normal 5 3 3 2 2 2 3 3" xfId="5642" xr:uid="{00000000-0005-0000-0000-000080190000}"/>
    <cellStyle name="Normal 5 3 3 2 2 2 3 3 2" xfId="14968" xr:uid="{79EF1DC5-D649-438C-808F-BB720DEC113C}"/>
    <cellStyle name="Normal 5 3 3 2 2 2 3 4" xfId="10751" xr:uid="{AF103145-E58E-4165-ACBB-8FD3015AF7C8}"/>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3A3FB34D-BAC0-4622-AD6F-87EB1401C1A5}"/>
    <cellStyle name="Normal 5 3 3 2 2 2 4 2 3" xfId="13309" xr:uid="{CA4CA71C-5907-4D7B-BF7C-0F737B9BB62B}"/>
    <cellStyle name="Normal 5 3 3 2 2 2 4 3" xfId="6055" xr:uid="{00000000-0005-0000-0000-000084190000}"/>
    <cellStyle name="Normal 5 3 3 2 2 2 4 3 2" xfId="15381" xr:uid="{C2755DDC-64B1-437C-9616-069112EAC3DC}"/>
    <cellStyle name="Normal 5 3 3 2 2 2 4 4" xfId="11164" xr:uid="{929E39B1-1D03-48F4-AF5D-781B7E84400D}"/>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73945F80-9F00-43DB-9DF5-5EC32BB2488C}"/>
    <cellStyle name="Normal 5 3 3 2 2 2 5 2 3" xfId="13722" xr:uid="{00C89518-A564-4C9B-B082-8B3D7D7D51EA}"/>
    <cellStyle name="Normal 5 3 3 2 2 2 5 3" xfId="6468" xr:uid="{00000000-0005-0000-0000-000088190000}"/>
    <cellStyle name="Normal 5 3 3 2 2 2 5 3 2" xfId="15794" xr:uid="{67EC7055-1AC3-4CC2-85DD-6070081E71ED}"/>
    <cellStyle name="Normal 5 3 3 2 2 2 5 4" xfId="11577" xr:uid="{FED4D616-C6E0-4A25-9CBC-08A2ABE05468}"/>
    <cellStyle name="Normal 5 3 3 2 2 2 6" xfId="2598" xr:uid="{00000000-0005-0000-0000-000089190000}"/>
    <cellStyle name="Normal 5 3 3 2 2 2 6 2" xfId="6881" xr:uid="{00000000-0005-0000-0000-00008A190000}"/>
    <cellStyle name="Normal 5 3 3 2 2 2 6 2 2" xfId="16207" xr:uid="{ED16D9B9-B350-4E76-9AD0-33D081B1DC54}"/>
    <cellStyle name="Normal 5 3 3 2 2 2 6 3" xfId="11990" xr:uid="{289A437F-87D6-44C8-A41E-C759BA11BC61}"/>
    <cellStyle name="Normal 5 3 3 2 2 2 7" xfId="4816" xr:uid="{00000000-0005-0000-0000-00008B190000}"/>
    <cellStyle name="Normal 5 3 3 2 2 2 7 2" xfId="14142" xr:uid="{1455253B-6E0C-4C62-BCFA-99A024A6439C}"/>
    <cellStyle name="Normal 5 3 3 2 2 2 8" xfId="9142" xr:uid="{81CF9711-3A0B-4712-8E8F-033C974AA9E3}"/>
    <cellStyle name="Normal 5 3 3 2 2 2 8 2" xfId="18466" xr:uid="{724738F5-F30E-4645-89B7-7130E3A003CD}"/>
    <cellStyle name="Normal 5 3 3 2 2 2 9" xfId="9925" xr:uid="{1A0FB084-FC00-4532-A1B5-99AFE37C34A4}"/>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A79BB851-9BE8-4F98-951E-6ECFAE57EE37}"/>
    <cellStyle name="Normal 5 3 3 2 2 3 2 3" xfId="12482" xr:uid="{E927329B-AFBA-47CF-BF8C-52619639165E}"/>
    <cellStyle name="Normal 5 3 3 2 2 3 3" xfId="5228" xr:uid="{00000000-0005-0000-0000-00008F190000}"/>
    <cellStyle name="Normal 5 3 3 2 2 3 3 2" xfId="14554" xr:uid="{4821FD65-BD2D-498B-8AC1-E835AA1C2573}"/>
    <cellStyle name="Normal 5 3 3 2 2 3 4" xfId="9360" xr:uid="{07447062-3C9B-4A41-BE9D-50DE495FF588}"/>
    <cellStyle name="Normal 5 3 3 2 2 3 4 2" xfId="18675" xr:uid="{A2D0B5FF-DA34-46DA-A5C4-530D177E6A44}"/>
    <cellStyle name="Normal 5 3 3 2 2 3 5" xfId="10337" xr:uid="{E9985E68-1CC5-4A2A-B02B-010941BADD74}"/>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4122958F-65C8-44E8-81F6-5779505E37D0}"/>
    <cellStyle name="Normal 5 3 3 2 2 4 2 3" xfId="12895" xr:uid="{67688F86-026C-4D2C-9432-CC8B9109840F}"/>
    <cellStyle name="Normal 5 3 3 2 2 4 3" xfId="5641" xr:uid="{00000000-0005-0000-0000-000093190000}"/>
    <cellStyle name="Normal 5 3 3 2 2 4 3 2" xfId="14967" xr:uid="{6FA07756-D60D-4646-8FE5-A4CEBED533A9}"/>
    <cellStyle name="Normal 5 3 3 2 2 4 4" xfId="10750" xr:uid="{371C92AF-D72B-49CE-AACA-B17C48460C43}"/>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3096BEC5-DB26-445A-983B-E546ADFFAD12}"/>
    <cellStyle name="Normal 5 3 3 2 2 5 2 3" xfId="13308" xr:uid="{0695DDFE-6F96-4355-A5E4-A2D47D543713}"/>
    <cellStyle name="Normal 5 3 3 2 2 5 3" xfId="6054" xr:uid="{00000000-0005-0000-0000-000097190000}"/>
    <cellStyle name="Normal 5 3 3 2 2 5 3 2" xfId="15380" xr:uid="{9A6A4788-9466-4EB7-91DD-C40E4C7533D7}"/>
    <cellStyle name="Normal 5 3 3 2 2 5 4" xfId="11163" xr:uid="{285C3CAA-7477-439E-A034-866AD7DEC7A7}"/>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6F0233AE-D7C2-4AFC-8508-A42B944C4392}"/>
    <cellStyle name="Normal 5 3 3 2 2 6 2 3" xfId="13721" xr:uid="{6D766134-042A-497E-9F31-74D8DA321C96}"/>
    <cellStyle name="Normal 5 3 3 2 2 6 3" xfId="6467" xr:uid="{00000000-0005-0000-0000-00009B190000}"/>
    <cellStyle name="Normal 5 3 3 2 2 6 3 2" xfId="15793" xr:uid="{9DE6ED7F-04F5-49D6-8C0C-F8586095098C}"/>
    <cellStyle name="Normal 5 3 3 2 2 6 4" xfId="11576" xr:uid="{36C7BFDF-D527-46B4-B1F0-CEB9C0F54202}"/>
    <cellStyle name="Normal 5 3 3 2 2 7" xfId="2597" xr:uid="{00000000-0005-0000-0000-00009C190000}"/>
    <cellStyle name="Normal 5 3 3 2 2 7 2" xfId="6880" xr:uid="{00000000-0005-0000-0000-00009D190000}"/>
    <cellStyle name="Normal 5 3 3 2 2 7 2 2" xfId="16206" xr:uid="{6B8BC23D-8FD2-450E-833F-A3D4F3779D3B}"/>
    <cellStyle name="Normal 5 3 3 2 2 7 3" xfId="11989" xr:uid="{052AC4DC-51C1-495D-B9F2-09EBD655533A}"/>
    <cellStyle name="Normal 5 3 3 2 2 8" xfId="4815" xr:uid="{00000000-0005-0000-0000-00009E190000}"/>
    <cellStyle name="Normal 5 3 3 2 2 8 2" xfId="14141" xr:uid="{A3D87D1D-FD6B-42DC-ACEE-DEF9B208970A}"/>
    <cellStyle name="Normal 5 3 3 2 2 9" xfId="8935" xr:uid="{94B8766B-0DD5-4CC7-9403-D37FC711344B}"/>
    <cellStyle name="Normal 5 3 3 2 2 9 2" xfId="18259" xr:uid="{B31C9B01-BB69-45DE-8296-D39E00CC92C2}"/>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3A578435-9A47-420C-AA37-323963411B52}"/>
    <cellStyle name="Normal 5 3 3 2 3 2 2 3" xfId="12484" xr:uid="{949D18D4-2BE9-4678-9138-55AB32724815}"/>
    <cellStyle name="Normal 5 3 3 2 3 2 3" xfId="5230" xr:uid="{00000000-0005-0000-0000-0000A3190000}"/>
    <cellStyle name="Normal 5 3 3 2 3 2 3 2" xfId="14556" xr:uid="{3AA62DAE-7485-4B84-8BF6-23D942C6878F}"/>
    <cellStyle name="Normal 5 3 3 2 3 2 4" xfId="9464" xr:uid="{6A182EEF-0879-47AD-839A-17D560B4AF3D}"/>
    <cellStyle name="Normal 5 3 3 2 3 2 4 2" xfId="18779" xr:uid="{AB51A354-9A9C-488E-97A7-43D0B0ACFC59}"/>
    <cellStyle name="Normal 5 3 3 2 3 2 5" xfId="10339" xr:uid="{784E2FC5-3E7A-4E0F-8536-CC2B2108B803}"/>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96941BD8-7E0E-416F-A518-8ED28CD8347B}"/>
    <cellStyle name="Normal 5 3 3 2 3 3 2 3" xfId="12897" xr:uid="{49D9307B-B63D-410F-8745-351A2FDFE508}"/>
    <cellStyle name="Normal 5 3 3 2 3 3 3" xfId="5643" xr:uid="{00000000-0005-0000-0000-0000A7190000}"/>
    <cellStyle name="Normal 5 3 3 2 3 3 3 2" xfId="14969" xr:uid="{2598614F-8015-422A-9749-E575843FBA91}"/>
    <cellStyle name="Normal 5 3 3 2 3 3 4" xfId="10752" xr:uid="{86A4905A-DCB0-4CC1-8EA0-CC61F51649F2}"/>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30D83931-2EDB-4AB9-8138-2875F121FDBA}"/>
    <cellStyle name="Normal 5 3 3 2 3 4 2 3" xfId="13310" xr:uid="{6B288885-D932-4B1C-A2C2-7EAA75D25D9B}"/>
    <cellStyle name="Normal 5 3 3 2 3 4 3" xfId="6056" xr:uid="{00000000-0005-0000-0000-0000AB190000}"/>
    <cellStyle name="Normal 5 3 3 2 3 4 3 2" xfId="15382" xr:uid="{71F30335-C97F-4304-8D1C-A66647AD91CF}"/>
    <cellStyle name="Normal 5 3 3 2 3 4 4" xfId="11165" xr:uid="{6E63F447-3F14-4A88-96BE-14BAF1BDC511}"/>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8F8A0E4A-F1A0-43F3-B122-4DB9D2AC7CC0}"/>
    <cellStyle name="Normal 5 3 3 2 3 5 2 3" xfId="13723" xr:uid="{F36994FE-8E08-4963-A71E-F1423C1AEC4C}"/>
    <cellStyle name="Normal 5 3 3 2 3 5 3" xfId="6469" xr:uid="{00000000-0005-0000-0000-0000AF190000}"/>
    <cellStyle name="Normal 5 3 3 2 3 5 3 2" xfId="15795" xr:uid="{0B478BFF-CFB0-49BE-8E75-5E6BEC1B3B5B}"/>
    <cellStyle name="Normal 5 3 3 2 3 5 4" xfId="11578" xr:uid="{229D9C45-B267-498F-A76C-B0DA2E608E0E}"/>
    <cellStyle name="Normal 5 3 3 2 3 6" xfId="2599" xr:uid="{00000000-0005-0000-0000-0000B0190000}"/>
    <cellStyle name="Normal 5 3 3 2 3 6 2" xfId="6882" xr:uid="{00000000-0005-0000-0000-0000B1190000}"/>
    <cellStyle name="Normal 5 3 3 2 3 6 2 2" xfId="16208" xr:uid="{D4C26D08-FF79-49A2-A554-0AE34C84C7CB}"/>
    <cellStyle name="Normal 5 3 3 2 3 6 3" xfId="11991" xr:uid="{A192C9A6-9040-4189-ACB7-750B4E05C5E1}"/>
    <cellStyle name="Normal 5 3 3 2 3 7" xfId="4817" xr:uid="{00000000-0005-0000-0000-0000B2190000}"/>
    <cellStyle name="Normal 5 3 3 2 3 7 2" xfId="14143" xr:uid="{B1D0FEE2-07F7-4E3E-9DC8-0AD15A226FCD}"/>
    <cellStyle name="Normal 5 3 3 2 3 8" xfId="9039" xr:uid="{84D80CE6-A0CA-4841-8673-26EA7EC6806D}"/>
    <cellStyle name="Normal 5 3 3 2 3 8 2" xfId="18363" xr:uid="{C5584295-7DF3-4B23-BB8A-4699D568646B}"/>
    <cellStyle name="Normal 5 3 3 2 3 9" xfId="9926" xr:uid="{F43C80BE-C671-46EB-978C-FFBC02C5515B}"/>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DEA258A3-8F74-4714-B22A-117786007B68}"/>
    <cellStyle name="Normal 5 3 3 2 4 2 3" xfId="12481" xr:uid="{C4A175DA-3096-4EAD-B59C-E158FB91CFB8}"/>
    <cellStyle name="Normal 5 3 3 2 4 3" xfId="5227" xr:uid="{00000000-0005-0000-0000-0000B6190000}"/>
    <cellStyle name="Normal 5 3 3 2 4 3 2" xfId="14553" xr:uid="{7731E870-750E-4EED-8689-D855EDF9B9BB}"/>
    <cellStyle name="Normal 5 3 3 2 4 4" xfId="9257" xr:uid="{E6656214-6E5B-491F-B1E3-227CB6568726}"/>
    <cellStyle name="Normal 5 3 3 2 4 4 2" xfId="18572" xr:uid="{78E9563A-2DDD-45B8-9FCF-FE8D04699A21}"/>
    <cellStyle name="Normal 5 3 3 2 4 5" xfId="10336" xr:uid="{97369C22-193F-48EA-8A90-EB9B530D1AC0}"/>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6C650A9F-14CF-4E40-AAAD-EBB0DF38AFDA}"/>
    <cellStyle name="Normal 5 3 3 2 5 2 3" xfId="12894" xr:uid="{21BBFDA2-3820-438C-8FA2-EBEC0D92C25B}"/>
    <cellStyle name="Normal 5 3 3 2 5 3" xfId="5640" xr:uid="{00000000-0005-0000-0000-0000BA190000}"/>
    <cellStyle name="Normal 5 3 3 2 5 3 2" xfId="14966" xr:uid="{6BF4D554-BCF5-4CF1-BBEE-CAC6BC67592F}"/>
    <cellStyle name="Normal 5 3 3 2 5 4" xfId="10749" xr:uid="{71AF156C-7515-45C6-83C3-F27116D713D1}"/>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1081021D-50D2-4193-B438-03D949D6DE2A}"/>
    <cellStyle name="Normal 5 3 3 2 6 2 3" xfId="13307" xr:uid="{89E061C3-A7A3-48B9-9C94-36A8AE42D70D}"/>
    <cellStyle name="Normal 5 3 3 2 6 3" xfId="6053" xr:uid="{00000000-0005-0000-0000-0000BE190000}"/>
    <cellStyle name="Normal 5 3 3 2 6 3 2" xfId="15379" xr:uid="{B5DBFF24-E35F-4B8C-99DB-E3B6D89D211E}"/>
    <cellStyle name="Normal 5 3 3 2 6 4" xfId="11162" xr:uid="{37D8709C-53CB-4A9B-9C54-54B8EB1E035A}"/>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E5F37B2A-D80A-4677-8AA5-4DA4373C9C9E}"/>
    <cellStyle name="Normal 5 3 3 2 7 2 3" xfId="13720" xr:uid="{2013C00B-3B1F-456C-B304-6AD0AF07E483}"/>
    <cellStyle name="Normal 5 3 3 2 7 3" xfId="6466" xr:uid="{00000000-0005-0000-0000-0000C2190000}"/>
    <cellStyle name="Normal 5 3 3 2 7 3 2" xfId="15792" xr:uid="{2514DC75-1970-4E93-A4F0-1A6E9B49DE8F}"/>
    <cellStyle name="Normal 5 3 3 2 7 4" xfId="11575" xr:uid="{E2D037B6-3863-4D85-9ECF-E16AEA783ADB}"/>
    <cellStyle name="Normal 5 3 3 2 8" xfId="2596" xr:uid="{00000000-0005-0000-0000-0000C3190000}"/>
    <cellStyle name="Normal 5 3 3 2 8 2" xfId="6879" xr:uid="{00000000-0005-0000-0000-0000C4190000}"/>
    <cellStyle name="Normal 5 3 3 2 8 2 2" xfId="16205" xr:uid="{4F344B75-6B59-434D-831B-30FE423C0B1F}"/>
    <cellStyle name="Normal 5 3 3 2 8 3" xfId="11988" xr:uid="{A2473CD2-79F0-44CE-85C0-90905BDAAED8}"/>
    <cellStyle name="Normal 5 3 3 2 9" xfId="4814" xr:uid="{00000000-0005-0000-0000-0000C5190000}"/>
    <cellStyle name="Normal 5 3 3 2 9 2" xfId="14140" xr:uid="{EB1D1191-6261-4860-8034-6F42175CFA7C}"/>
    <cellStyle name="Normal 5 3 3 3" xfId="446" xr:uid="{00000000-0005-0000-0000-0000C6190000}"/>
    <cellStyle name="Normal 5 3 3 3 10" xfId="9927" xr:uid="{A7F04238-F68A-47F4-8262-3F27411A8F72}"/>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3D526306-2680-4141-BF9F-E850F2F5BEBF}"/>
    <cellStyle name="Normal 5 3 3 3 2 2 2 3" xfId="12486" xr:uid="{D48510A1-3D1C-4E40-9250-1CAAB57F1BE6}"/>
    <cellStyle name="Normal 5 3 3 3 2 2 3" xfId="5232" xr:uid="{00000000-0005-0000-0000-0000CB190000}"/>
    <cellStyle name="Normal 5 3 3 3 2 2 3 2" xfId="14558" xr:uid="{BEC86E84-1223-4830-BC95-B9673A5D7D09}"/>
    <cellStyle name="Normal 5 3 3 3 2 2 4" xfId="9517" xr:uid="{EA62A3B1-8ED5-4A6F-ACE0-B924BC16AA9E}"/>
    <cellStyle name="Normal 5 3 3 3 2 2 4 2" xfId="18832" xr:uid="{CCCB4796-EC36-451F-86EA-B7BA3B157F9A}"/>
    <cellStyle name="Normal 5 3 3 3 2 2 5" xfId="10341" xr:uid="{9C8AF3C6-FAFF-40D3-B9BA-444818A94C9D}"/>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B8ED617A-5FEA-40B5-AE41-EEE7CAD046B6}"/>
    <cellStyle name="Normal 5 3 3 3 2 3 2 3" xfId="12899" xr:uid="{40D7A63E-DEC8-4003-9684-88D3A641AE03}"/>
    <cellStyle name="Normal 5 3 3 3 2 3 3" xfId="5645" xr:uid="{00000000-0005-0000-0000-0000CF190000}"/>
    <cellStyle name="Normal 5 3 3 3 2 3 3 2" xfId="14971" xr:uid="{83CD455E-79B5-496B-9D1F-12D5CA15242E}"/>
    <cellStyle name="Normal 5 3 3 3 2 3 4" xfId="10754" xr:uid="{CC066B61-6140-4904-90E8-85BA9D99BA49}"/>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0FD581A9-942A-42AD-A1F5-780D93913701}"/>
    <cellStyle name="Normal 5 3 3 3 2 4 2 3" xfId="13312" xr:uid="{7AFB893B-2CD5-489C-9999-A693C4C0FB91}"/>
    <cellStyle name="Normal 5 3 3 3 2 4 3" xfId="6058" xr:uid="{00000000-0005-0000-0000-0000D3190000}"/>
    <cellStyle name="Normal 5 3 3 3 2 4 3 2" xfId="15384" xr:uid="{83B7FED4-F4D6-4F3F-ABB7-623EFAEC5184}"/>
    <cellStyle name="Normal 5 3 3 3 2 4 4" xfId="11167" xr:uid="{982063C4-6C9B-4307-AEF1-66B765C552D4}"/>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DBF81F72-1A65-4D94-A47A-2860A00CF8CE}"/>
    <cellStyle name="Normal 5 3 3 3 2 5 2 3" xfId="13725" xr:uid="{2AC93011-E443-47FA-BBEB-C1443EE8949D}"/>
    <cellStyle name="Normal 5 3 3 3 2 5 3" xfId="6471" xr:uid="{00000000-0005-0000-0000-0000D7190000}"/>
    <cellStyle name="Normal 5 3 3 3 2 5 3 2" xfId="15797" xr:uid="{68BBA39E-FD61-4275-BD78-38F052577F5E}"/>
    <cellStyle name="Normal 5 3 3 3 2 5 4" xfId="11580" xr:uid="{88EB71FC-99E4-4EF1-9355-90AEE61E816A}"/>
    <cellStyle name="Normal 5 3 3 3 2 6" xfId="2601" xr:uid="{00000000-0005-0000-0000-0000D8190000}"/>
    <cellStyle name="Normal 5 3 3 3 2 6 2" xfId="6884" xr:uid="{00000000-0005-0000-0000-0000D9190000}"/>
    <cellStyle name="Normal 5 3 3 3 2 6 2 2" xfId="16210" xr:uid="{CF1758E1-986F-4CC0-8990-08809355CB0F}"/>
    <cellStyle name="Normal 5 3 3 3 2 6 3" xfId="11993" xr:uid="{F82120EC-1760-413F-919F-EF76F03E111B}"/>
    <cellStyle name="Normal 5 3 3 3 2 7" xfId="4819" xr:uid="{00000000-0005-0000-0000-0000DA190000}"/>
    <cellStyle name="Normal 5 3 3 3 2 7 2" xfId="14145" xr:uid="{18A24F8B-441A-4202-953F-4C0C860B7E96}"/>
    <cellStyle name="Normal 5 3 3 3 2 8" xfId="9092" xr:uid="{A018BC5E-3880-4BA4-8CFB-322C89A13B5F}"/>
    <cellStyle name="Normal 5 3 3 3 2 8 2" xfId="18416" xr:uid="{FBA77199-9BBD-4EB2-8402-732966EAF3D8}"/>
    <cellStyle name="Normal 5 3 3 3 2 9" xfId="9928" xr:uid="{A5C503DE-712B-4EA4-9019-CD91DE912048}"/>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18A44739-11CE-49D6-BEF0-B9CD4017FD81}"/>
    <cellStyle name="Normal 5 3 3 3 3 2 3" xfId="12485" xr:uid="{A7B3CAF3-69E4-4A6B-919C-A10846DDA88C}"/>
    <cellStyle name="Normal 5 3 3 3 3 3" xfId="5231" xr:uid="{00000000-0005-0000-0000-0000DE190000}"/>
    <cellStyle name="Normal 5 3 3 3 3 3 2" xfId="14557" xr:uid="{472E6E2B-B06B-48C1-A4E3-D5805DC665C7}"/>
    <cellStyle name="Normal 5 3 3 3 3 4" xfId="9310" xr:uid="{D169C31A-17C5-4934-97DF-D90479FD2654}"/>
    <cellStyle name="Normal 5 3 3 3 3 4 2" xfId="18625" xr:uid="{FC3068E3-3E06-4076-804E-88FE02D0140D}"/>
    <cellStyle name="Normal 5 3 3 3 3 5" xfId="10340" xr:uid="{4CCDF2E3-5B18-442D-86C7-10FCD5BF2C1B}"/>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6B2ABCC6-580C-45BE-AAAB-778687C27EEB}"/>
    <cellStyle name="Normal 5 3 3 3 4 2 3" xfId="12898" xr:uid="{82DAFDCC-9A9C-48F2-9DE6-D6568CE00CE5}"/>
    <cellStyle name="Normal 5 3 3 3 4 3" xfId="5644" xr:uid="{00000000-0005-0000-0000-0000E2190000}"/>
    <cellStyle name="Normal 5 3 3 3 4 3 2" xfId="14970" xr:uid="{2B25BD30-B06E-4905-838C-8E88B7B008EC}"/>
    <cellStyle name="Normal 5 3 3 3 4 4" xfId="10753" xr:uid="{716AE4C5-7903-4F2B-9CC7-203ECEC6F163}"/>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AAE32E8F-3E11-4058-9DC1-7A02F9A6116A}"/>
    <cellStyle name="Normal 5 3 3 3 5 2 3" xfId="13311" xr:uid="{F61D795B-62D7-4CA3-9268-A0741D4646AD}"/>
    <cellStyle name="Normal 5 3 3 3 5 3" xfId="6057" xr:uid="{00000000-0005-0000-0000-0000E6190000}"/>
    <cellStyle name="Normal 5 3 3 3 5 3 2" xfId="15383" xr:uid="{FD589B68-E804-4ED5-868B-6CC11957CC11}"/>
    <cellStyle name="Normal 5 3 3 3 5 4" xfId="11166" xr:uid="{BB75ACF1-8223-48ED-B921-7B16E8CE703F}"/>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CAC3312E-E74B-41E5-8C4F-DE08A6588EDD}"/>
    <cellStyle name="Normal 5 3 3 3 6 2 3" xfId="13724" xr:uid="{ECCDD757-842D-4C13-AD59-5CD259FB0490}"/>
    <cellStyle name="Normal 5 3 3 3 6 3" xfId="6470" xr:uid="{00000000-0005-0000-0000-0000EA190000}"/>
    <cellStyle name="Normal 5 3 3 3 6 3 2" xfId="15796" xr:uid="{3F12067D-EEFC-4FFC-851C-1311A56977CD}"/>
    <cellStyle name="Normal 5 3 3 3 6 4" xfId="11579" xr:uid="{EC0EF306-9545-4208-A508-6F4663EAFC2C}"/>
    <cellStyle name="Normal 5 3 3 3 7" xfId="2600" xr:uid="{00000000-0005-0000-0000-0000EB190000}"/>
    <cellStyle name="Normal 5 3 3 3 7 2" xfId="6883" xr:uid="{00000000-0005-0000-0000-0000EC190000}"/>
    <cellStyle name="Normal 5 3 3 3 7 2 2" xfId="16209" xr:uid="{5AEAF3ED-0A1A-48AD-8CF0-EC2FA207B79C}"/>
    <cellStyle name="Normal 5 3 3 3 7 3" xfId="11992" xr:uid="{075CC580-028B-4184-9A76-19AEB530B99B}"/>
    <cellStyle name="Normal 5 3 3 3 8" xfId="4818" xr:uid="{00000000-0005-0000-0000-0000ED190000}"/>
    <cellStyle name="Normal 5 3 3 3 8 2" xfId="14144" xr:uid="{2A1AAA67-35A9-4E7B-ADE3-C0B312E88693}"/>
    <cellStyle name="Normal 5 3 3 3 9" xfId="8885" xr:uid="{BFA59703-C126-4DE9-A819-9190501D5C5B}"/>
    <cellStyle name="Normal 5 3 3 3 9 2" xfId="18209" xr:uid="{2EEFA5B9-0A48-4D1C-BB60-8BC735144196}"/>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EE91BB24-CE23-4FCC-97C3-4097EBE493FB}"/>
    <cellStyle name="Normal 5 3 3 4 2 2 3" xfId="12487" xr:uid="{1D9B44AB-AA10-4142-8CF1-C1EA1E1C0815}"/>
    <cellStyle name="Normal 5 3 3 4 2 3" xfId="5233" xr:uid="{00000000-0005-0000-0000-0000F2190000}"/>
    <cellStyle name="Normal 5 3 3 4 2 3 2" xfId="14559" xr:uid="{5A945289-3F2B-4458-9172-D542A9DB3E26}"/>
    <cellStyle name="Normal 5 3 3 4 2 4" xfId="9414" xr:uid="{BD781A4C-FDA7-4D11-87F3-3D38EC19B37A}"/>
    <cellStyle name="Normal 5 3 3 4 2 4 2" xfId="18729" xr:uid="{0FFE179D-13A6-4BFE-960F-AF865DBAF19C}"/>
    <cellStyle name="Normal 5 3 3 4 2 5" xfId="10342" xr:uid="{AA77F4E9-456A-4C75-ABB9-A39F675D2F31}"/>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F1173EF6-DD68-4097-A41C-A2911751C5A2}"/>
    <cellStyle name="Normal 5 3 3 4 3 2 3" xfId="12900" xr:uid="{CD08885F-C5DA-4B3E-B51C-914FBECD284E}"/>
    <cellStyle name="Normal 5 3 3 4 3 3" xfId="5646" xr:uid="{00000000-0005-0000-0000-0000F6190000}"/>
    <cellStyle name="Normal 5 3 3 4 3 3 2" xfId="14972" xr:uid="{C706809A-C754-428D-B62C-4537A2364272}"/>
    <cellStyle name="Normal 5 3 3 4 3 4" xfId="10755" xr:uid="{35AE4EF8-92BD-47EB-810A-F0B35791869B}"/>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CF0EFFB1-647B-4548-B6EE-F8200CDBCC10}"/>
    <cellStyle name="Normal 5 3 3 4 4 2 3" xfId="13313" xr:uid="{6057F6D2-DACB-4DC9-8963-AC5FE725685C}"/>
    <cellStyle name="Normal 5 3 3 4 4 3" xfId="6059" xr:uid="{00000000-0005-0000-0000-0000FA190000}"/>
    <cellStyle name="Normal 5 3 3 4 4 3 2" xfId="15385" xr:uid="{AB1B7DE0-9F7B-434F-964A-347A86ACEA9E}"/>
    <cellStyle name="Normal 5 3 3 4 4 4" xfId="11168" xr:uid="{4391ADBD-D000-40AD-89D6-15764D4A94F1}"/>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CC5DE401-451C-4775-A4A9-A650628F2A49}"/>
    <cellStyle name="Normal 5 3 3 4 5 2 3" xfId="13726" xr:uid="{2B36B769-F08C-40CA-B8AF-6CA0C5216800}"/>
    <cellStyle name="Normal 5 3 3 4 5 3" xfId="6472" xr:uid="{00000000-0005-0000-0000-0000FE190000}"/>
    <cellStyle name="Normal 5 3 3 4 5 3 2" xfId="15798" xr:uid="{C2C4E776-337C-476E-B66D-8ED49838B535}"/>
    <cellStyle name="Normal 5 3 3 4 5 4" xfId="11581" xr:uid="{3BACCE4A-8380-4D1A-814D-13079CBACE1B}"/>
    <cellStyle name="Normal 5 3 3 4 6" xfId="2602" xr:uid="{00000000-0005-0000-0000-0000FF190000}"/>
    <cellStyle name="Normal 5 3 3 4 6 2" xfId="6885" xr:uid="{00000000-0005-0000-0000-0000001A0000}"/>
    <cellStyle name="Normal 5 3 3 4 6 2 2" xfId="16211" xr:uid="{D4A62D7F-0B5D-435A-BA53-9E587254F677}"/>
    <cellStyle name="Normal 5 3 3 4 6 3" xfId="11994" xr:uid="{257E1CA7-1A42-4837-A178-3DB7A6570423}"/>
    <cellStyle name="Normal 5 3 3 4 7" xfId="4820" xr:uid="{00000000-0005-0000-0000-0000011A0000}"/>
    <cellStyle name="Normal 5 3 3 4 7 2" xfId="14146" xr:uid="{309332CE-2655-40C5-85BB-8C8D1E71B6BA}"/>
    <cellStyle name="Normal 5 3 3 4 8" xfId="8989" xr:uid="{20FA1483-98E6-46C4-B00B-4EAF7957981D}"/>
    <cellStyle name="Normal 5 3 3 4 8 2" xfId="18313" xr:uid="{58120AD9-9D2C-46E2-ACE9-9DC648B6D777}"/>
    <cellStyle name="Normal 5 3 3 4 9" xfId="9929" xr:uid="{EB6DAC53-2354-48C8-97D6-572189F93568}"/>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CE0C669C-E86D-4DB3-BAFC-0508D6168343}"/>
    <cellStyle name="Normal 5 3 3 5 2 3" xfId="12480" xr:uid="{74E073D1-9CD8-44B4-A6AE-324C364090B3}"/>
    <cellStyle name="Normal 5 3 3 5 3" xfId="5226" xr:uid="{00000000-0005-0000-0000-0000051A0000}"/>
    <cellStyle name="Normal 5 3 3 5 3 2" xfId="14552" xr:uid="{E30251AD-18C3-44F8-87C4-49F20AA2A409}"/>
    <cellStyle name="Normal 5 3 3 5 4" xfId="9206" xr:uid="{CA749CBB-EAB5-483B-862D-D7B95A23D45C}"/>
    <cellStyle name="Normal 5 3 3 5 4 2" xfId="18522" xr:uid="{46877770-B0FE-42F9-92C1-A6FC7A095DB2}"/>
    <cellStyle name="Normal 5 3 3 5 5" xfId="10335" xr:uid="{F588E250-B557-4533-8DDC-7C63ECC7A31C}"/>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745E1853-FF57-4DDE-9E46-F0F5C2F084D1}"/>
    <cellStyle name="Normal 5 3 3 6 2 3" xfId="12893" xr:uid="{52A8E5E9-43A0-45EA-B3A3-A6CEF1A8F0D4}"/>
    <cellStyle name="Normal 5 3 3 6 3" xfId="5639" xr:uid="{00000000-0005-0000-0000-0000091A0000}"/>
    <cellStyle name="Normal 5 3 3 6 3 2" xfId="14965" xr:uid="{0B9CB6A7-B065-44F8-BC56-325A973665AE}"/>
    <cellStyle name="Normal 5 3 3 6 4" xfId="10748" xr:uid="{054209B6-B0B4-4673-92ED-488722A1B7E6}"/>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D2EEFFF2-3167-4534-8AE6-8E6462CA06B9}"/>
    <cellStyle name="Normal 5 3 3 7 2 3" xfId="13306" xr:uid="{073A10D9-1647-47AF-BDCA-F7CF400A7C82}"/>
    <cellStyle name="Normal 5 3 3 7 3" xfId="6052" xr:uid="{00000000-0005-0000-0000-00000D1A0000}"/>
    <cellStyle name="Normal 5 3 3 7 3 2" xfId="15378" xr:uid="{428C2A91-DDB6-4195-A619-232EF5A6B002}"/>
    <cellStyle name="Normal 5 3 3 7 4" xfId="11161" xr:uid="{7E3B93E8-A9AD-45EB-9931-ACF9E43E3DC8}"/>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8CEAA09D-3FB2-4FAE-9BE2-1F1C4B152368}"/>
    <cellStyle name="Normal 5 3 3 8 2 3" xfId="13719" xr:uid="{CC862863-2A21-47BB-95C1-6BB8A881F440}"/>
    <cellStyle name="Normal 5 3 3 8 3" xfId="6465" xr:uid="{00000000-0005-0000-0000-0000111A0000}"/>
    <cellStyle name="Normal 5 3 3 8 3 2" xfId="15791" xr:uid="{FACCC80B-F5B2-4EB7-B583-4FFE11AB1239}"/>
    <cellStyle name="Normal 5 3 3 8 4" xfId="11574" xr:uid="{DECEF15B-66D6-4394-A0E4-050D2DB61BF3}"/>
    <cellStyle name="Normal 5 3 3 9" xfId="2595" xr:uid="{00000000-0005-0000-0000-0000121A0000}"/>
    <cellStyle name="Normal 5 3 3 9 2" xfId="6878" xr:uid="{00000000-0005-0000-0000-0000131A0000}"/>
    <cellStyle name="Normal 5 3 3 9 2 2" xfId="16204" xr:uid="{45F5053B-3FCB-44A9-8BEE-3BB6A49EF405}"/>
    <cellStyle name="Normal 5 3 3 9 3" xfId="11987" xr:uid="{446455B4-BECF-4829-89E7-A044040A039A}"/>
    <cellStyle name="Normal 5 3 4" xfId="449" xr:uid="{00000000-0005-0000-0000-0000141A0000}"/>
    <cellStyle name="Normal 5 3 4 10" xfId="8831" xr:uid="{39AD872D-FBC2-4C4A-B537-79F8014E4247}"/>
    <cellStyle name="Normal 5 3 4 10 2" xfId="18155" xr:uid="{122EA479-8182-4822-B7FE-06B7186B758B}"/>
    <cellStyle name="Normal 5 3 4 11" xfId="9930" xr:uid="{20F4EAA6-CD85-4D70-9D10-C39718799740}"/>
    <cellStyle name="Normal 5 3 4 2" xfId="450" xr:uid="{00000000-0005-0000-0000-0000151A0000}"/>
    <cellStyle name="Normal 5 3 4 2 10" xfId="9931" xr:uid="{20AF847E-B662-490A-A9A9-15331C7E5744}"/>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8B991E8B-4D80-4AC0-A9AA-7DCA82B010FF}"/>
    <cellStyle name="Normal 5 3 4 2 2 2 2 3" xfId="12490" xr:uid="{CA4480DF-3D92-49D8-B4AA-05F63FFD85B0}"/>
    <cellStyle name="Normal 5 3 4 2 2 2 3" xfId="5236" xr:uid="{00000000-0005-0000-0000-00001A1A0000}"/>
    <cellStyle name="Normal 5 3 4 2 2 2 3 2" xfId="14562" xr:uid="{6FE76F7F-651E-4987-8582-5096C3DFEA12}"/>
    <cellStyle name="Normal 5 3 4 2 2 2 4" xfId="9566" xr:uid="{D483C248-9680-462F-989C-42C712CD6EB7}"/>
    <cellStyle name="Normal 5 3 4 2 2 2 4 2" xfId="18881" xr:uid="{1E5ED342-ACBA-4AB4-8804-D8697104CD9F}"/>
    <cellStyle name="Normal 5 3 4 2 2 2 5" xfId="10345" xr:uid="{49DF9608-CE40-486B-B511-EF4F272CBC22}"/>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BF2AD227-E3AC-4446-B175-3B8F6EA045D2}"/>
    <cellStyle name="Normal 5 3 4 2 2 3 2 3" xfId="12903" xr:uid="{93157872-03DA-46F0-9C2C-35557375B1A4}"/>
    <cellStyle name="Normal 5 3 4 2 2 3 3" xfId="5649" xr:uid="{00000000-0005-0000-0000-00001E1A0000}"/>
    <cellStyle name="Normal 5 3 4 2 2 3 3 2" xfId="14975" xr:uid="{05ED3A9F-691E-4944-A1D0-3D5FFA76D80B}"/>
    <cellStyle name="Normal 5 3 4 2 2 3 4" xfId="10758" xr:uid="{E8A8400C-85FD-46AF-BD98-AB303A6C9D3A}"/>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9B02487D-AAE9-41A5-B4BF-B6F7792688E5}"/>
    <cellStyle name="Normal 5 3 4 2 2 4 2 3" xfId="13316" xr:uid="{2D6899CF-CFBC-40D8-85DE-8654C71A4E63}"/>
    <cellStyle name="Normal 5 3 4 2 2 4 3" xfId="6062" xr:uid="{00000000-0005-0000-0000-0000221A0000}"/>
    <cellStyle name="Normal 5 3 4 2 2 4 3 2" xfId="15388" xr:uid="{48BCFE8C-3C84-4A52-A059-83A2395BE89B}"/>
    <cellStyle name="Normal 5 3 4 2 2 4 4" xfId="11171" xr:uid="{2B73334D-F7C7-4403-B42F-AB2627CEA99A}"/>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A076FC1E-6E94-4075-86F5-099589C8B1DB}"/>
    <cellStyle name="Normal 5 3 4 2 2 5 2 3" xfId="13729" xr:uid="{A3FDE932-CC39-4DF8-9006-61ED0B56D3EE}"/>
    <cellStyle name="Normal 5 3 4 2 2 5 3" xfId="6475" xr:uid="{00000000-0005-0000-0000-0000261A0000}"/>
    <cellStyle name="Normal 5 3 4 2 2 5 3 2" xfId="15801" xr:uid="{355EEAC7-AEBF-4833-8F3D-A012349FE693}"/>
    <cellStyle name="Normal 5 3 4 2 2 5 4" xfId="11584" xr:uid="{6E6BDD19-74F8-4D13-8161-CC9E936348B9}"/>
    <cellStyle name="Normal 5 3 4 2 2 6" xfId="2605" xr:uid="{00000000-0005-0000-0000-0000271A0000}"/>
    <cellStyle name="Normal 5 3 4 2 2 6 2" xfId="6888" xr:uid="{00000000-0005-0000-0000-0000281A0000}"/>
    <cellStyle name="Normal 5 3 4 2 2 6 2 2" xfId="16214" xr:uid="{9AF4E484-C071-470E-9369-3BA599B73CA4}"/>
    <cellStyle name="Normal 5 3 4 2 2 6 3" xfId="11997" xr:uid="{6B6E3C1F-7E87-4DBF-9F44-5DF8B015FBB1}"/>
    <cellStyle name="Normal 5 3 4 2 2 7" xfId="4823" xr:uid="{00000000-0005-0000-0000-0000291A0000}"/>
    <cellStyle name="Normal 5 3 4 2 2 7 2" xfId="14149" xr:uid="{D0355097-4909-4A89-ABF6-D79DDD43CD6D}"/>
    <cellStyle name="Normal 5 3 4 2 2 8" xfId="9141" xr:uid="{6B63A6D0-0E60-498B-8E53-451D5144533A}"/>
    <cellStyle name="Normal 5 3 4 2 2 8 2" xfId="18465" xr:uid="{1D25CFFA-10F6-4A79-A79B-55841A01D719}"/>
    <cellStyle name="Normal 5 3 4 2 2 9" xfId="9932" xr:uid="{1A19415C-EF96-4FFC-B6FF-4968429A9556}"/>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6A7ED84D-83FD-4560-A15D-63BFA67D22EE}"/>
    <cellStyle name="Normal 5 3 4 2 3 2 3" xfId="12489" xr:uid="{32BCF829-118E-4930-BCB1-6E4BBD526878}"/>
    <cellStyle name="Normal 5 3 4 2 3 3" xfId="5235" xr:uid="{00000000-0005-0000-0000-00002D1A0000}"/>
    <cellStyle name="Normal 5 3 4 2 3 3 2" xfId="14561" xr:uid="{B9AB2E0F-4EB0-40B6-BFF0-C10D0CC9B456}"/>
    <cellStyle name="Normal 5 3 4 2 3 4" xfId="9359" xr:uid="{FAC41203-2BC4-411F-9296-10781BA4F1AB}"/>
    <cellStyle name="Normal 5 3 4 2 3 4 2" xfId="18674" xr:uid="{A67A8292-446C-4442-84BC-8DD3196415EE}"/>
    <cellStyle name="Normal 5 3 4 2 3 5" xfId="10344" xr:uid="{A4C777CA-3253-45A6-A9D0-3738C3F673C9}"/>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356729E3-F672-44D4-BFB7-CCF26C68781C}"/>
    <cellStyle name="Normal 5 3 4 2 4 2 3" xfId="12902" xr:uid="{BA48EAB4-9C8F-47EB-B1FE-1CBF7AD9D4FC}"/>
    <cellStyle name="Normal 5 3 4 2 4 3" xfId="5648" xr:uid="{00000000-0005-0000-0000-0000311A0000}"/>
    <cellStyle name="Normal 5 3 4 2 4 3 2" xfId="14974" xr:uid="{3362C815-F215-44DB-9F85-F2F17850CFB1}"/>
    <cellStyle name="Normal 5 3 4 2 4 4" xfId="10757" xr:uid="{49A2F7E6-C2F2-48A2-94EF-E0697B3D3A54}"/>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9389E1E7-9D0C-4898-84FE-4356A6075604}"/>
    <cellStyle name="Normal 5 3 4 2 5 2 3" xfId="13315" xr:uid="{21298070-9D4C-4800-AD03-0A50340687DA}"/>
    <cellStyle name="Normal 5 3 4 2 5 3" xfId="6061" xr:uid="{00000000-0005-0000-0000-0000351A0000}"/>
    <cellStyle name="Normal 5 3 4 2 5 3 2" xfId="15387" xr:uid="{097A296B-4530-4AF0-858D-66687B2AAE31}"/>
    <cellStyle name="Normal 5 3 4 2 5 4" xfId="11170" xr:uid="{D76E8DDF-3A3D-4DF7-8C46-FF81312786E0}"/>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B503E278-BA70-4B9D-A037-0165ADB5D2F6}"/>
    <cellStyle name="Normal 5 3 4 2 6 2 3" xfId="13728" xr:uid="{277E1715-48DC-4A35-84CF-B69EA1F8D070}"/>
    <cellStyle name="Normal 5 3 4 2 6 3" xfId="6474" xr:uid="{00000000-0005-0000-0000-0000391A0000}"/>
    <cellStyle name="Normal 5 3 4 2 6 3 2" xfId="15800" xr:uid="{CF8FE914-C9C7-49D3-B365-9DEA1F4DF51D}"/>
    <cellStyle name="Normal 5 3 4 2 6 4" xfId="11583" xr:uid="{4237566A-BC6C-499A-955C-09894692872F}"/>
    <cellStyle name="Normal 5 3 4 2 7" xfId="2604" xr:uid="{00000000-0005-0000-0000-00003A1A0000}"/>
    <cellStyle name="Normal 5 3 4 2 7 2" xfId="6887" xr:uid="{00000000-0005-0000-0000-00003B1A0000}"/>
    <cellStyle name="Normal 5 3 4 2 7 2 2" xfId="16213" xr:uid="{D35F7056-0F62-4711-A2C5-A4111D1D1363}"/>
    <cellStyle name="Normal 5 3 4 2 7 3" xfId="11996" xr:uid="{4F044590-1351-40AA-9226-6EEB36CCDCA6}"/>
    <cellStyle name="Normal 5 3 4 2 8" xfId="4822" xr:uid="{00000000-0005-0000-0000-00003C1A0000}"/>
    <cellStyle name="Normal 5 3 4 2 8 2" xfId="14148" xr:uid="{9FDCF612-1E09-4D4D-998E-888D09E18C40}"/>
    <cellStyle name="Normal 5 3 4 2 9" xfId="8934" xr:uid="{D16D0DF9-4576-4200-8972-8AAD50545E0D}"/>
    <cellStyle name="Normal 5 3 4 2 9 2" xfId="18258" xr:uid="{003E9D53-1DA2-4F15-AFAB-D4F3D064FE06}"/>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8FEA80B7-0F20-4FC6-9654-4D53367237EB}"/>
    <cellStyle name="Normal 5 3 4 3 2 2 3" xfId="12491" xr:uid="{41B9D15D-DCE1-4878-B6D8-7FA9851668F9}"/>
    <cellStyle name="Normal 5 3 4 3 2 3" xfId="5237" xr:uid="{00000000-0005-0000-0000-0000411A0000}"/>
    <cellStyle name="Normal 5 3 4 3 2 3 2" xfId="14563" xr:uid="{E3D26A1F-FB74-43EA-908D-C6686EA698D9}"/>
    <cellStyle name="Normal 5 3 4 3 2 4" xfId="9463" xr:uid="{1CC38E89-013B-404F-9F3E-11BABC37F656}"/>
    <cellStyle name="Normal 5 3 4 3 2 4 2" xfId="18778" xr:uid="{5D07E0FD-EB82-464A-9BF7-E36CD1E249AD}"/>
    <cellStyle name="Normal 5 3 4 3 2 5" xfId="10346" xr:uid="{09470F33-2999-4284-9B4E-0968317313B8}"/>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D71E4694-39F0-46F2-8974-EBF5BAE875CD}"/>
    <cellStyle name="Normal 5 3 4 3 3 2 3" xfId="12904" xr:uid="{2DEC8AA4-1914-4E98-9592-C0EE2EFF04CF}"/>
    <cellStyle name="Normal 5 3 4 3 3 3" xfId="5650" xr:uid="{00000000-0005-0000-0000-0000451A0000}"/>
    <cellStyle name="Normal 5 3 4 3 3 3 2" xfId="14976" xr:uid="{1C22A78E-8E90-4AA9-B08D-CF71EB94B3EE}"/>
    <cellStyle name="Normal 5 3 4 3 3 4" xfId="10759" xr:uid="{8299A3DA-4309-4642-A5C8-53C07017411E}"/>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CCF3FA11-E56F-4C1D-835B-8B9E441081FD}"/>
    <cellStyle name="Normal 5 3 4 3 4 2 3" xfId="13317" xr:uid="{2A8B3819-068C-41E2-9E2B-22964A6D7708}"/>
    <cellStyle name="Normal 5 3 4 3 4 3" xfId="6063" xr:uid="{00000000-0005-0000-0000-0000491A0000}"/>
    <cellStyle name="Normal 5 3 4 3 4 3 2" xfId="15389" xr:uid="{EB0C77F8-D888-435B-B487-30E5BA966DC4}"/>
    <cellStyle name="Normal 5 3 4 3 4 4" xfId="11172" xr:uid="{BF045CC2-4041-4B52-9174-D27D19E2AD3C}"/>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E5B4F362-94E5-4D6C-8142-57D54E8E2FA4}"/>
    <cellStyle name="Normal 5 3 4 3 5 2 3" xfId="13730" xr:uid="{C79BF235-B853-4EB4-8597-4317E3181B5B}"/>
    <cellStyle name="Normal 5 3 4 3 5 3" xfId="6476" xr:uid="{00000000-0005-0000-0000-00004D1A0000}"/>
    <cellStyle name="Normal 5 3 4 3 5 3 2" xfId="15802" xr:uid="{A893804D-E6C8-4987-B6EA-1B27D7F652BC}"/>
    <cellStyle name="Normal 5 3 4 3 5 4" xfId="11585" xr:uid="{9D937C78-B9B2-402E-B535-356BBFBC4C11}"/>
    <cellStyle name="Normal 5 3 4 3 6" xfId="2606" xr:uid="{00000000-0005-0000-0000-00004E1A0000}"/>
    <cellStyle name="Normal 5 3 4 3 6 2" xfId="6889" xr:uid="{00000000-0005-0000-0000-00004F1A0000}"/>
    <cellStyle name="Normal 5 3 4 3 6 2 2" xfId="16215" xr:uid="{A3B79997-0423-46B8-8E87-2DCBDCF9DEAF}"/>
    <cellStyle name="Normal 5 3 4 3 6 3" xfId="11998" xr:uid="{4E30C0E7-C25D-480E-8C8F-97C1C9DC4A54}"/>
    <cellStyle name="Normal 5 3 4 3 7" xfId="4824" xr:uid="{00000000-0005-0000-0000-0000501A0000}"/>
    <cellStyle name="Normal 5 3 4 3 7 2" xfId="14150" xr:uid="{7524750F-F352-4134-AE43-6238D5BB98B3}"/>
    <cellStyle name="Normal 5 3 4 3 8" xfId="9038" xr:uid="{15024032-E3C2-4FDD-B674-481D39A836C5}"/>
    <cellStyle name="Normal 5 3 4 3 8 2" xfId="18362" xr:uid="{EC27A384-212B-41FE-8E80-E6134225BF2E}"/>
    <cellStyle name="Normal 5 3 4 3 9" xfId="9933" xr:uid="{0B94D925-FAFC-4D0D-9917-2359EE9135DE}"/>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2F47C541-0961-439F-94DA-D7A4BD6207F4}"/>
    <cellStyle name="Normal 5 3 4 4 2 3" xfId="12488" xr:uid="{1A902C52-0755-4908-8C54-68F96EB50529}"/>
    <cellStyle name="Normal 5 3 4 4 3" xfId="5234" xr:uid="{00000000-0005-0000-0000-0000541A0000}"/>
    <cellStyle name="Normal 5 3 4 4 3 2" xfId="14560" xr:uid="{3583EB1F-654C-4ADA-9D9F-D45CE8735F4E}"/>
    <cellStyle name="Normal 5 3 4 4 4" xfId="9256" xr:uid="{69A14F57-2B46-4294-8CA5-E21858516C25}"/>
    <cellStyle name="Normal 5 3 4 4 4 2" xfId="18571" xr:uid="{8635E631-E825-41DD-8D4B-7D8C1570163B}"/>
    <cellStyle name="Normal 5 3 4 4 5" xfId="10343" xr:uid="{6594D27D-C267-4DB2-8524-78FBB5ED1152}"/>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B4161D09-EF74-4E4E-9095-AB78465A560A}"/>
    <cellStyle name="Normal 5 3 4 5 2 3" xfId="12901" xr:uid="{33DAC90A-F681-45FF-AF96-96F19092A5F3}"/>
    <cellStyle name="Normal 5 3 4 5 3" xfId="5647" xr:uid="{00000000-0005-0000-0000-0000581A0000}"/>
    <cellStyle name="Normal 5 3 4 5 3 2" xfId="14973" xr:uid="{B945F76C-85BF-4800-A7D6-88F3F0F05D5D}"/>
    <cellStyle name="Normal 5 3 4 5 4" xfId="10756" xr:uid="{6D14AAF4-01D7-43A3-B575-F9978E364095}"/>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42CA1FA8-5BF1-4042-9990-172F9D327AE4}"/>
    <cellStyle name="Normal 5 3 4 6 2 3" xfId="13314" xr:uid="{84008F00-B0AD-4A9C-AEED-050E8D835F78}"/>
    <cellStyle name="Normal 5 3 4 6 3" xfId="6060" xr:uid="{00000000-0005-0000-0000-00005C1A0000}"/>
    <cellStyle name="Normal 5 3 4 6 3 2" xfId="15386" xr:uid="{269C428A-2699-4549-9207-520D3DDC646F}"/>
    <cellStyle name="Normal 5 3 4 6 4" xfId="11169" xr:uid="{A07EB059-F967-4A78-B230-5380EC5594C7}"/>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0CF6AA51-8C9C-4E23-A9D2-5797E5EA066F}"/>
    <cellStyle name="Normal 5 3 4 7 2 3" xfId="13727" xr:uid="{388DD11F-2E64-47A2-88E3-C197A8E1393F}"/>
    <cellStyle name="Normal 5 3 4 7 3" xfId="6473" xr:uid="{00000000-0005-0000-0000-0000601A0000}"/>
    <cellStyle name="Normal 5 3 4 7 3 2" xfId="15799" xr:uid="{E4DE645D-CA70-407D-B7EA-8665E8C5630E}"/>
    <cellStyle name="Normal 5 3 4 7 4" xfId="11582" xr:uid="{FFFEE426-57CE-4293-ACF8-653F5E16C70B}"/>
    <cellStyle name="Normal 5 3 4 8" xfId="2603" xr:uid="{00000000-0005-0000-0000-0000611A0000}"/>
    <cellStyle name="Normal 5 3 4 8 2" xfId="6886" xr:uid="{00000000-0005-0000-0000-0000621A0000}"/>
    <cellStyle name="Normal 5 3 4 8 2 2" xfId="16212" xr:uid="{E98E9FEF-26AA-4C75-9B63-09F243EBB979}"/>
    <cellStyle name="Normal 5 3 4 8 3" xfId="11995" xr:uid="{46426568-E258-4BBE-8EB6-64D698E5799F}"/>
    <cellStyle name="Normal 5 3 4 9" xfId="4821" xr:uid="{00000000-0005-0000-0000-0000631A0000}"/>
    <cellStyle name="Normal 5 3 4 9 2" xfId="14147" xr:uid="{0DC1299E-12D6-4201-B168-815E3D8AC801}"/>
    <cellStyle name="Normal 5 3 5" xfId="453" xr:uid="{00000000-0005-0000-0000-0000641A0000}"/>
    <cellStyle name="Normal 5 3 5 10" xfId="9934" xr:uid="{D6755B85-E48F-47F8-9127-B2CA0A0A4949}"/>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BF84C206-AB6E-4C76-ADAF-174ED925044E}"/>
    <cellStyle name="Normal 5 3 5 2 2 2 3" xfId="12493" xr:uid="{C2EB934B-527A-4A21-B81A-46FC2699CE30}"/>
    <cellStyle name="Normal 5 3 5 2 2 3" xfId="5239" xr:uid="{00000000-0005-0000-0000-0000691A0000}"/>
    <cellStyle name="Normal 5 3 5 2 2 3 2" xfId="14565" xr:uid="{D9931513-F408-4F44-9604-3F11E3E65C6B}"/>
    <cellStyle name="Normal 5 3 5 2 2 4" xfId="9485" xr:uid="{E88A0512-4544-44F7-B02F-696DEB177F8E}"/>
    <cellStyle name="Normal 5 3 5 2 2 4 2" xfId="18800" xr:uid="{932A8C5A-83F2-4E56-A8DD-80C5AAE2EBA4}"/>
    <cellStyle name="Normal 5 3 5 2 2 5" xfId="10348" xr:uid="{B0A549BF-FB57-454B-A8FF-E45833E7E0A8}"/>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8347CF00-84EC-4F75-8768-DD5B184E35B6}"/>
    <cellStyle name="Normal 5 3 5 2 3 2 3" xfId="12906" xr:uid="{90572C57-943D-4067-B109-6BA9FBF3B1CB}"/>
    <cellStyle name="Normal 5 3 5 2 3 3" xfId="5652" xr:uid="{00000000-0005-0000-0000-00006D1A0000}"/>
    <cellStyle name="Normal 5 3 5 2 3 3 2" xfId="14978" xr:uid="{58037D1D-C85F-4D08-B6B5-809A1B921082}"/>
    <cellStyle name="Normal 5 3 5 2 3 4" xfId="10761" xr:uid="{BDD534E6-89E4-46F6-940B-6E7A74187CB3}"/>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3889AE12-6778-4FE9-BD2F-E89BA88118AD}"/>
    <cellStyle name="Normal 5 3 5 2 4 2 3" xfId="13319" xr:uid="{8443ACC7-BEE6-4751-8DDA-3104F2B29F8F}"/>
    <cellStyle name="Normal 5 3 5 2 4 3" xfId="6065" xr:uid="{00000000-0005-0000-0000-0000711A0000}"/>
    <cellStyle name="Normal 5 3 5 2 4 3 2" xfId="15391" xr:uid="{00C487B0-BEB0-48AA-B2CF-93F4DF2172C1}"/>
    <cellStyle name="Normal 5 3 5 2 4 4" xfId="11174" xr:uid="{7372A207-E519-49A9-AF6D-905F37DC1498}"/>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9BBFDF89-C783-4145-9037-625B29190B18}"/>
    <cellStyle name="Normal 5 3 5 2 5 2 3" xfId="13732" xr:uid="{A16540B8-87B0-420D-B892-AA1EB4085D94}"/>
    <cellStyle name="Normal 5 3 5 2 5 3" xfId="6478" xr:uid="{00000000-0005-0000-0000-0000751A0000}"/>
    <cellStyle name="Normal 5 3 5 2 5 3 2" xfId="15804" xr:uid="{5FA7F1D9-B6E2-44F0-9B66-1A020FDFFD7E}"/>
    <cellStyle name="Normal 5 3 5 2 5 4" xfId="11587" xr:uid="{419D3E3D-77E2-470C-B350-6DFF24ABCF3F}"/>
    <cellStyle name="Normal 5 3 5 2 6" xfId="2608" xr:uid="{00000000-0005-0000-0000-0000761A0000}"/>
    <cellStyle name="Normal 5 3 5 2 6 2" xfId="6891" xr:uid="{00000000-0005-0000-0000-0000771A0000}"/>
    <cellStyle name="Normal 5 3 5 2 6 2 2" xfId="16217" xr:uid="{3972AF7C-E260-4DD7-9769-76F2A85FB9CD}"/>
    <cellStyle name="Normal 5 3 5 2 6 3" xfId="12000" xr:uid="{D9EA3F68-9509-4816-91ED-0B7EBD4EF3F0}"/>
    <cellStyle name="Normal 5 3 5 2 7" xfId="4826" xr:uid="{00000000-0005-0000-0000-0000781A0000}"/>
    <cellStyle name="Normal 5 3 5 2 7 2" xfId="14152" xr:uid="{D054B2EE-D4CA-4E15-A84D-477C2E05F5C7}"/>
    <cellStyle name="Normal 5 3 5 2 8" xfId="9060" xr:uid="{D76124DC-5753-46E4-97E7-1D76E6E20EEE}"/>
    <cellStyle name="Normal 5 3 5 2 8 2" xfId="18384" xr:uid="{269E7FA4-06CD-4AD9-A34D-6FD396CD0AAD}"/>
    <cellStyle name="Normal 5 3 5 2 9" xfId="9935" xr:uid="{6886BECE-CB6D-4A54-85EE-342A85AA97EB}"/>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07D0CBE2-6D37-4966-A76E-2CD42DB311FE}"/>
    <cellStyle name="Normal 5 3 5 3 2 3" xfId="12492" xr:uid="{DBA7E379-1062-4FA3-B4A9-8AF105F30FCD}"/>
    <cellStyle name="Normal 5 3 5 3 3" xfId="5238" xr:uid="{00000000-0005-0000-0000-00007C1A0000}"/>
    <cellStyle name="Normal 5 3 5 3 3 2" xfId="14564" xr:uid="{D8653A7D-647C-4D79-B83F-521B2ACD53D6}"/>
    <cellStyle name="Normal 5 3 5 3 4" xfId="9278" xr:uid="{6197750A-97CA-41EF-A67C-63E25EE58E9E}"/>
    <cellStyle name="Normal 5 3 5 3 4 2" xfId="18593" xr:uid="{987923DC-8069-4440-AD24-0E73FEE4835E}"/>
    <cellStyle name="Normal 5 3 5 3 5" xfId="10347" xr:uid="{F350E8F8-73C4-4C4F-968A-49256026021F}"/>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A6F0A411-3A54-4850-865E-962C230BCB20}"/>
    <cellStyle name="Normal 5 3 5 4 2 3" xfId="12905" xr:uid="{5303C228-6699-4F49-B05C-ED166E15879E}"/>
    <cellStyle name="Normal 5 3 5 4 3" xfId="5651" xr:uid="{00000000-0005-0000-0000-0000801A0000}"/>
    <cellStyle name="Normal 5 3 5 4 3 2" xfId="14977" xr:uid="{9113CC80-229A-42C1-9247-4B1AD5BF64F7}"/>
    <cellStyle name="Normal 5 3 5 4 4" xfId="10760" xr:uid="{BDDD82CE-3F2F-4029-930E-EE4E2C6DCC93}"/>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348C8E90-927B-4C88-8070-18AF945F8986}"/>
    <cellStyle name="Normal 5 3 5 5 2 3" xfId="13318" xr:uid="{EC0F2900-58BF-4403-A94A-691D536CBDD8}"/>
    <cellStyle name="Normal 5 3 5 5 3" xfId="6064" xr:uid="{00000000-0005-0000-0000-0000841A0000}"/>
    <cellStyle name="Normal 5 3 5 5 3 2" xfId="15390" xr:uid="{2DED4B9F-754F-4EB7-9416-858BB42F7079}"/>
    <cellStyle name="Normal 5 3 5 5 4" xfId="11173" xr:uid="{CE0AA287-B0A5-45C9-A74A-D2DBA75E1DF2}"/>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A1E93DA8-54A7-4F95-BADB-8D56DCEEA233}"/>
    <cellStyle name="Normal 5 3 5 6 2 3" xfId="13731" xr:uid="{F4EE19F4-1D77-4E0D-A70E-AA6EBB35F2F0}"/>
    <cellStyle name="Normal 5 3 5 6 3" xfId="6477" xr:uid="{00000000-0005-0000-0000-0000881A0000}"/>
    <cellStyle name="Normal 5 3 5 6 3 2" xfId="15803" xr:uid="{643B7975-66E6-4030-80AE-142D07428FF6}"/>
    <cellStyle name="Normal 5 3 5 6 4" xfId="11586" xr:uid="{9AB0C34D-2261-4E81-9608-0B192DDEEB06}"/>
    <cellStyle name="Normal 5 3 5 7" xfId="2607" xr:uid="{00000000-0005-0000-0000-0000891A0000}"/>
    <cellStyle name="Normal 5 3 5 7 2" xfId="6890" xr:uid="{00000000-0005-0000-0000-00008A1A0000}"/>
    <cellStyle name="Normal 5 3 5 7 2 2" xfId="16216" xr:uid="{5FDBB84E-C1DA-47E0-954F-55C53FA691AE}"/>
    <cellStyle name="Normal 5 3 5 7 3" xfId="11999" xr:uid="{BF2F7B60-5D60-4478-A914-E65BFACE10A0}"/>
    <cellStyle name="Normal 5 3 5 8" xfId="4825" xr:uid="{00000000-0005-0000-0000-00008B1A0000}"/>
    <cellStyle name="Normal 5 3 5 8 2" xfId="14151" xr:uid="{3DDBAF46-96FE-45C5-8BBA-AD7ECACA7394}"/>
    <cellStyle name="Normal 5 3 5 9" xfId="8853" xr:uid="{049FA2CE-003F-47C1-A264-645323886F35}"/>
    <cellStyle name="Normal 5 3 5 9 2" xfId="18177" xr:uid="{ADE70CFE-4B5A-45D0-AD2C-A02779F70781}"/>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56273C7B-17DC-4AB4-93E9-5EA86EE4670D}"/>
    <cellStyle name="Normal 5 3 6 2 2 3" xfId="12494" xr:uid="{E49405BA-67BD-48A0-ABBD-838697F54CA8}"/>
    <cellStyle name="Normal 5 3 6 2 3" xfId="5240" xr:uid="{00000000-0005-0000-0000-0000901A0000}"/>
    <cellStyle name="Normal 5 3 6 2 3 2" xfId="14566" xr:uid="{5D8A24D1-64A7-4437-AC61-AF37E16DC794}"/>
    <cellStyle name="Normal 5 3 6 2 4" xfId="9394" xr:uid="{040FDD8C-10C9-4583-9A6E-8F76047ECA0C}"/>
    <cellStyle name="Normal 5 3 6 2 4 2" xfId="18709" xr:uid="{BA2C3233-7EC0-40DF-8E81-D7EA2B88BED7}"/>
    <cellStyle name="Normal 5 3 6 2 5" xfId="10349" xr:uid="{320F7F22-BC9E-44A0-861D-FBF5BAF5DE68}"/>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22795CAA-F708-4AB1-B2B7-30329DBF60DB}"/>
    <cellStyle name="Normal 5 3 6 3 2 3" xfId="12907" xr:uid="{A5B1D7EB-026D-45DE-BED8-A198AC9CC47E}"/>
    <cellStyle name="Normal 5 3 6 3 3" xfId="5653" xr:uid="{00000000-0005-0000-0000-0000941A0000}"/>
    <cellStyle name="Normal 5 3 6 3 3 2" xfId="14979" xr:uid="{F7A52BB8-C004-4F81-8877-3677488A49AE}"/>
    <cellStyle name="Normal 5 3 6 3 4" xfId="10762" xr:uid="{4FC19147-DA65-4D30-A022-8A78798DA73A}"/>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D472FD5C-BA72-47AB-8DAB-109D1F337D12}"/>
    <cellStyle name="Normal 5 3 6 4 2 3" xfId="13320" xr:uid="{FD648963-BBF6-4651-B9BA-9F63FD897360}"/>
    <cellStyle name="Normal 5 3 6 4 3" xfId="6066" xr:uid="{00000000-0005-0000-0000-0000981A0000}"/>
    <cellStyle name="Normal 5 3 6 4 3 2" xfId="15392" xr:uid="{50CFA2E0-EB4A-40AA-96F5-665926D88CB0}"/>
    <cellStyle name="Normal 5 3 6 4 4" xfId="11175" xr:uid="{03D91D79-25F0-4699-82E4-CAF45D7A831E}"/>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7B20B7C8-7B86-4465-9535-E59AEA966061}"/>
    <cellStyle name="Normal 5 3 6 5 2 3" xfId="13733" xr:uid="{316D2816-4BE5-43C6-9446-61F096C90161}"/>
    <cellStyle name="Normal 5 3 6 5 3" xfId="6479" xr:uid="{00000000-0005-0000-0000-00009C1A0000}"/>
    <cellStyle name="Normal 5 3 6 5 3 2" xfId="15805" xr:uid="{E83EBB73-7154-403C-A10D-9444DED224A9}"/>
    <cellStyle name="Normal 5 3 6 5 4" xfId="11588" xr:uid="{C8418E74-B67A-4BBC-AFB7-870B7C17EB91}"/>
    <cellStyle name="Normal 5 3 6 6" xfId="2609" xr:uid="{00000000-0005-0000-0000-00009D1A0000}"/>
    <cellStyle name="Normal 5 3 6 6 2" xfId="6892" xr:uid="{00000000-0005-0000-0000-00009E1A0000}"/>
    <cellStyle name="Normal 5 3 6 6 2 2" xfId="16218" xr:uid="{285926C4-599F-4CFA-8B8E-0BFB4203FD21}"/>
    <cellStyle name="Normal 5 3 6 6 3" xfId="12001" xr:uid="{02B52099-382D-4B07-8AA6-F90F2BB5BE14}"/>
    <cellStyle name="Normal 5 3 6 7" xfId="4827" xr:uid="{00000000-0005-0000-0000-00009F1A0000}"/>
    <cellStyle name="Normal 5 3 6 7 2" xfId="14153" xr:uid="{756796A6-B5A0-4C3D-ADB2-DFDEE7A7CB79}"/>
    <cellStyle name="Normal 5 3 6 8" xfId="8969" xr:uid="{FA7ABEAF-BFEA-4D3E-A53B-E23F3117BFD8}"/>
    <cellStyle name="Normal 5 3 6 8 2" xfId="18293" xr:uid="{F2FDFD34-4569-4479-9267-72CCE63B9CC1}"/>
    <cellStyle name="Normal 5 3 6 9" xfId="9936" xr:uid="{5961F5C3-81BA-42AB-90AC-81CBF6013ECC}"/>
    <cellStyle name="Normal 5 3 7" xfId="913" xr:uid="{00000000-0005-0000-0000-0000A01A0000}"/>
    <cellStyle name="Normal 5 3 7 2" xfId="3148" xr:uid="{00000000-0005-0000-0000-0000A11A0000}"/>
    <cellStyle name="Normal 5 3 7 2 2" xfId="7370" xr:uid="{00000000-0005-0000-0000-0000A21A0000}"/>
    <cellStyle name="Normal 5 3 7 2 2 2" xfId="16696" xr:uid="{E65C48D8-78AE-4D03-92FB-15041176E7D8}"/>
    <cellStyle name="Normal 5 3 7 2 3" xfId="12479" xr:uid="{31AE3D42-22DA-412D-A2E6-4253133792CC}"/>
    <cellStyle name="Normal 5 3 7 3" xfId="5225" xr:uid="{00000000-0005-0000-0000-0000A31A0000}"/>
    <cellStyle name="Normal 5 3 7 3 2" xfId="14551" xr:uid="{F5F29687-4E80-4053-8345-AD126EFCBCB0}"/>
    <cellStyle name="Normal 5 3 7 4" xfId="9172" xr:uid="{5609ABAF-B913-41DD-9CCE-B28C6A880815}"/>
    <cellStyle name="Normal 5 3 7 4 2" xfId="18490" xr:uid="{CF774C14-2D42-463D-AA22-72F057E2F890}"/>
    <cellStyle name="Normal 5 3 7 5" xfId="10334" xr:uid="{66C617EA-71B0-4380-AA21-681FA2444BE4}"/>
    <cellStyle name="Normal 5 3 8" xfId="1331" xr:uid="{00000000-0005-0000-0000-0000A41A0000}"/>
    <cellStyle name="Normal 5 3 8 2" xfId="3561" xr:uid="{00000000-0005-0000-0000-0000A51A0000}"/>
    <cellStyle name="Normal 5 3 8 2 2" xfId="7783" xr:uid="{00000000-0005-0000-0000-0000A61A0000}"/>
    <cellStyle name="Normal 5 3 8 2 2 2" xfId="17109" xr:uid="{4255C9EB-B0C4-4624-9916-759AD2A6092D}"/>
    <cellStyle name="Normal 5 3 8 2 3" xfId="12892" xr:uid="{35AD13D6-1962-4E57-8C4F-996821601393}"/>
    <cellStyle name="Normal 5 3 8 3" xfId="5638" xr:uid="{00000000-0005-0000-0000-0000A71A0000}"/>
    <cellStyle name="Normal 5 3 8 3 2" xfId="14964" xr:uid="{2E432820-C674-4FC6-B24A-799FEC8A7D63}"/>
    <cellStyle name="Normal 5 3 8 4" xfId="10747" xr:uid="{1401AF27-A9A4-4DD8-8120-BD4994FE9D35}"/>
    <cellStyle name="Normal 5 3 9" xfId="1744" xr:uid="{00000000-0005-0000-0000-0000A81A0000}"/>
    <cellStyle name="Normal 5 3 9 2" xfId="3974" xr:uid="{00000000-0005-0000-0000-0000A91A0000}"/>
    <cellStyle name="Normal 5 3 9 2 2" xfId="8196" xr:uid="{00000000-0005-0000-0000-0000AA1A0000}"/>
    <cellStyle name="Normal 5 3 9 2 2 2" xfId="17522" xr:uid="{17EB422C-2A50-44FB-9189-12F8C4D7F726}"/>
    <cellStyle name="Normal 5 3 9 2 3" xfId="13305" xr:uid="{742E5690-149E-40AC-BB26-3512E662D23E}"/>
    <cellStyle name="Normal 5 3 9 3" xfId="6051" xr:uid="{00000000-0005-0000-0000-0000AB1A0000}"/>
    <cellStyle name="Normal 5 3 9 3 2" xfId="15377" xr:uid="{50ADCBEF-C344-49A2-8E7E-4DAC946225B7}"/>
    <cellStyle name="Normal 5 3 9 4" xfId="11160" xr:uid="{042C986A-D706-4A55-B6E9-2EF99E1A20C6}"/>
    <cellStyle name="Normal 5 4" xfId="456" xr:uid="{00000000-0005-0000-0000-0000AC1A0000}"/>
    <cellStyle name="Normal 5 4 10" xfId="4828" xr:uid="{00000000-0005-0000-0000-0000AD1A0000}"/>
    <cellStyle name="Normal 5 4 10 2" xfId="14154" xr:uid="{530ED93F-5616-4772-8E2C-6EB0268AD2E0}"/>
    <cellStyle name="Normal 5 4 11" xfId="8773" xr:uid="{50472F80-32FD-428C-B078-8DE338D6CA16}"/>
    <cellStyle name="Normal 5 4 11 2" xfId="18097" xr:uid="{4FF80DAB-89DC-4614-8938-781ED5F6476D}"/>
    <cellStyle name="Normal 5 4 12" xfId="9937" xr:uid="{DCEE4EF0-14E7-4769-AA24-104227FFACA0}"/>
    <cellStyle name="Normal 5 4 2" xfId="457" xr:uid="{00000000-0005-0000-0000-0000AE1A0000}"/>
    <cellStyle name="Normal 5 4 2 10" xfId="8833" xr:uid="{6EA55230-8E5B-4EF6-B83C-8DF4202F8C31}"/>
    <cellStyle name="Normal 5 4 2 10 2" xfId="18157" xr:uid="{E223C5EC-7C98-4446-B164-1D25AB7190E1}"/>
    <cellStyle name="Normal 5 4 2 11" xfId="9938" xr:uid="{FFD89430-8A6D-43E6-A3A6-60E2B70636FC}"/>
    <cellStyle name="Normal 5 4 2 2" xfId="458" xr:uid="{00000000-0005-0000-0000-0000AF1A0000}"/>
    <cellStyle name="Normal 5 4 2 2 10" xfId="9939" xr:uid="{636344F5-B62B-4428-BB19-BD622C20290D}"/>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4DD358D5-F87E-436C-83DF-2386ACE0B0EA}"/>
    <cellStyle name="Normal 5 4 2 2 2 2 2 3" xfId="12498" xr:uid="{171F7E68-F249-4A99-9D0A-D2F9E93FB209}"/>
    <cellStyle name="Normal 5 4 2 2 2 2 3" xfId="5244" xr:uid="{00000000-0005-0000-0000-0000B41A0000}"/>
    <cellStyle name="Normal 5 4 2 2 2 2 3 2" xfId="14570" xr:uid="{6FA14026-53B7-45EF-A1D6-FE682F6C8B88}"/>
    <cellStyle name="Normal 5 4 2 2 2 2 4" xfId="9568" xr:uid="{C9922021-D284-4633-BD4E-F2DB1197482A}"/>
    <cellStyle name="Normal 5 4 2 2 2 2 4 2" xfId="18883" xr:uid="{7A24968A-9066-4D71-AC67-2176625531AC}"/>
    <cellStyle name="Normal 5 4 2 2 2 2 5" xfId="10353" xr:uid="{6D47E673-1495-46B6-9070-A6506C1FE3A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5A707AD5-83E0-4E71-ABAA-92DE990B78A6}"/>
    <cellStyle name="Normal 5 4 2 2 2 3 2 3" xfId="12911" xr:uid="{FD066D48-BEC1-464D-8C76-E2E6EC5E220B}"/>
    <cellStyle name="Normal 5 4 2 2 2 3 3" xfId="5657" xr:uid="{00000000-0005-0000-0000-0000B81A0000}"/>
    <cellStyle name="Normal 5 4 2 2 2 3 3 2" xfId="14983" xr:uid="{8A2177B2-CBF5-4C2F-A7F0-9A7B7E2FA86C}"/>
    <cellStyle name="Normal 5 4 2 2 2 3 4" xfId="10766" xr:uid="{5F4B0521-E715-46AD-A9DF-5340C23E1EF9}"/>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7B827963-4EA5-461F-A9D7-7E6F4B54448B}"/>
    <cellStyle name="Normal 5 4 2 2 2 4 2 3" xfId="13324" xr:uid="{2719FA19-63B7-4DD4-8F80-B8215CE616ED}"/>
    <cellStyle name="Normal 5 4 2 2 2 4 3" xfId="6070" xr:uid="{00000000-0005-0000-0000-0000BC1A0000}"/>
    <cellStyle name="Normal 5 4 2 2 2 4 3 2" xfId="15396" xr:uid="{7A7FDFC9-EEBB-4B7A-8FAA-6416C0ED5BB9}"/>
    <cellStyle name="Normal 5 4 2 2 2 4 4" xfId="11179" xr:uid="{9202D2E7-6E2D-4C99-B082-E3166A91D162}"/>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58A7040A-F681-47FB-9CC4-2B8C80493368}"/>
    <cellStyle name="Normal 5 4 2 2 2 5 2 3" xfId="13737" xr:uid="{2F4D8851-5836-4EAA-B9E7-8DB7E323D6E7}"/>
    <cellStyle name="Normal 5 4 2 2 2 5 3" xfId="6483" xr:uid="{00000000-0005-0000-0000-0000C01A0000}"/>
    <cellStyle name="Normal 5 4 2 2 2 5 3 2" xfId="15809" xr:uid="{2589C5BB-04D4-4315-A8B3-C3C0D9E23E30}"/>
    <cellStyle name="Normal 5 4 2 2 2 5 4" xfId="11592" xr:uid="{89A5CBE8-347D-46BC-99C7-795800E2CAD0}"/>
    <cellStyle name="Normal 5 4 2 2 2 6" xfId="2613" xr:uid="{00000000-0005-0000-0000-0000C11A0000}"/>
    <cellStyle name="Normal 5 4 2 2 2 6 2" xfId="6896" xr:uid="{00000000-0005-0000-0000-0000C21A0000}"/>
    <cellStyle name="Normal 5 4 2 2 2 6 2 2" xfId="16222" xr:uid="{3D049F4B-BC4C-4296-9ED2-63EB36350EA8}"/>
    <cellStyle name="Normal 5 4 2 2 2 6 3" xfId="12005" xr:uid="{29A21542-C91C-4E22-9F88-7CCD59F93C82}"/>
    <cellStyle name="Normal 5 4 2 2 2 7" xfId="4831" xr:uid="{00000000-0005-0000-0000-0000C31A0000}"/>
    <cellStyle name="Normal 5 4 2 2 2 7 2" xfId="14157" xr:uid="{CBE7DE53-95D8-4051-8C88-B4B6D509118F}"/>
    <cellStyle name="Normal 5 4 2 2 2 8" xfId="9143" xr:uid="{C8F15FA9-FDFE-4358-95A8-17B14299B14C}"/>
    <cellStyle name="Normal 5 4 2 2 2 8 2" xfId="18467" xr:uid="{9C5419AF-C8E8-4484-B541-6F68ACADEEE7}"/>
    <cellStyle name="Normal 5 4 2 2 2 9" xfId="9940" xr:uid="{63D53271-CBC7-44FE-AD56-51A3BB4E125A}"/>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FD2459AC-2C0C-4E2C-99E8-820B8146EFD5}"/>
    <cellStyle name="Normal 5 4 2 2 3 2 3" xfId="12497" xr:uid="{64B32862-9DE9-4E35-8D1A-670E27EC1F1A}"/>
    <cellStyle name="Normal 5 4 2 2 3 3" xfId="5243" xr:uid="{00000000-0005-0000-0000-0000C71A0000}"/>
    <cellStyle name="Normal 5 4 2 2 3 3 2" xfId="14569" xr:uid="{8D911876-9AA3-48B6-8383-E7C5687C02D4}"/>
    <cellStyle name="Normal 5 4 2 2 3 4" xfId="9361" xr:uid="{421F0FC8-8E8F-498F-BD31-B00CB58D5B43}"/>
    <cellStyle name="Normal 5 4 2 2 3 4 2" xfId="18676" xr:uid="{E79CF8D7-4E59-4D84-9805-8E3DE21757AF}"/>
    <cellStyle name="Normal 5 4 2 2 3 5" xfId="10352" xr:uid="{1E0B5B17-C9B1-4B3D-AF2A-950B75A23675}"/>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DFE77B5A-FF36-4F3C-8592-8B9064069D51}"/>
    <cellStyle name="Normal 5 4 2 2 4 2 3" xfId="12910" xr:uid="{F8735571-17E6-430E-97CC-7EAC18A1B7B0}"/>
    <cellStyle name="Normal 5 4 2 2 4 3" xfId="5656" xr:uid="{00000000-0005-0000-0000-0000CB1A0000}"/>
    <cellStyle name="Normal 5 4 2 2 4 3 2" xfId="14982" xr:uid="{4698AC36-8045-4849-A8D6-22F0A83DD814}"/>
    <cellStyle name="Normal 5 4 2 2 4 4" xfId="10765" xr:uid="{07051C3A-D355-499B-8DDC-AB3F1C6EE535}"/>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20D69872-AB25-4FA7-91B2-0F07465591AB}"/>
    <cellStyle name="Normal 5 4 2 2 5 2 3" xfId="13323" xr:uid="{61826624-9312-4CAC-B95A-CB3100C27EC4}"/>
    <cellStyle name="Normal 5 4 2 2 5 3" xfId="6069" xr:uid="{00000000-0005-0000-0000-0000CF1A0000}"/>
    <cellStyle name="Normal 5 4 2 2 5 3 2" xfId="15395" xr:uid="{3B0E4AEA-5493-41A5-B06B-E5C2061B4C45}"/>
    <cellStyle name="Normal 5 4 2 2 5 4" xfId="11178" xr:uid="{734DF8C3-0F1C-4733-952A-9740B8AD8EF0}"/>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21B0EFF7-ED83-447B-9AB4-EAFE5FEA8B29}"/>
    <cellStyle name="Normal 5 4 2 2 6 2 3" xfId="13736" xr:uid="{1101D685-E840-439D-A3BE-504445AA62B2}"/>
    <cellStyle name="Normal 5 4 2 2 6 3" xfId="6482" xr:uid="{00000000-0005-0000-0000-0000D31A0000}"/>
    <cellStyle name="Normal 5 4 2 2 6 3 2" xfId="15808" xr:uid="{084AB76D-99D2-47C3-95C8-AC7392CC9777}"/>
    <cellStyle name="Normal 5 4 2 2 6 4" xfId="11591" xr:uid="{3C27D335-EBAD-4D1A-8AE3-9784E3449406}"/>
    <cellStyle name="Normal 5 4 2 2 7" xfId="2612" xr:uid="{00000000-0005-0000-0000-0000D41A0000}"/>
    <cellStyle name="Normal 5 4 2 2 7 2" xfId="6895" xr:uid="{00000000-0005-0000-0000-0000D51A0000}"/>
    <cellStyle name="Normal 5 4 2 2 7 2 2" xfId="16221" xr:uid="{9E4640FB-6979-4A5A-B67E-491FA653DDB0}"/>
    <cellStyle name="Normal 5 4 2 2 7 3" xfId="12004" xr:uid="{757F3BFA-96E5-4AAF-8187-04EB7A7E2BBE}"/>
    <cellStyle name="Normal 5 4 2 2 8" xfId="4830" xr:uid="{00000000-0005-0000-0000-0000D61A0000}"/>
    <cellStyle name="Normal 5 4 2 2 8 2" xfId="14156" xr:uid="{8508CEE2-2964-4E85-8CE5-0750DCE2EABD}"/>
    <cellStyle name="Normal 5 4 2 2 9" xfId="8936" xr:uid="{31CF7A09-919D-40D2-B5FD-098CEA44D314}"/>
    <cellStyle name="Normal 5 4 2 2 9 2" xfId="18260" xr:uid="{63D7C6AE-56B2-484D-9AE7-A136178B69CE}"/>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81F5DA93-4D81-4449-BC04-8A3BE99DA9E1}"/>
    <cellStyle name="Normal 5 4 2 3 2 2 3" xfId="12499" xr:uid="{95DC3B98-EA3B-4FAA-9750-C7F96A609C04}"/>
    <cellStyle name="Normal 5 4 2 3 2 3" xfId="5245" xr:uid="{00000000-0005-0000-0000-0000DB1A0000}"/>
    <cellStyle name="Normal 5 4 2 3 2 3 2" xfId="14571" xr:uid="{E384AB5F-5704-452B-A235-52928A90C852}"/>
    <cellStyle name="Normal 5 4 2 3 2 4" xfId="9465" xr:uid="{B8459C73-266B-467B-A163-FFDFF015A460}"/>
    <cellStyle name="Normal 5 4 2 3 2 4 2" xfId="18780" xr:uid="{884E1449-B940-43A2-A109-BE7228E510D7}"/>
    <cellStyle name="Normal 5 4 2 3 2 5" xfId="10354" xr:uid="{AFDBA207-3F2B-4610-801E-E7F76D43361F}"/>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39FBB8A6-9ED6-4A59-AD6D-F76B844D0B5F}"/>
    <cellStyle name="Normal 5 4 2 3 3 2 3" xfId="12912" xr:uid="{6389DB58-266B-485B-854A-A685A12ED927}"/>
    <cellStyle name="Normal 5 4 2 3 3 3" xfId="5658" xr:uid="{00000000-0005-0000-0000-0000DF1A0000}"/>
    <cellStyle name="Normal 5 4 2 3 3 3 2" xfId="14984" xr:uid="{F1B0C33C-BC66-4A6B-9DDC-D637503CE715}"/>
    <cellStyle name="Normal 5 4 2 3 3 4" xfId="10767" xr:uid="{B2FEAE45-9477-43D5-B108-7ACDB629C8C7}"/>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A45C40BC-330D-4BF3-92A9-76B4DD9FDAD9}"/>
    <cellStyle name="Normal 5 4 2 3 4 2 3" xfId="13325" xr:uid="{DD48DCEA-0BA7-4041-B8BB-7597ABD3C430}"/>
    <cellStyle name="Normal 5 4 2 3 4 3" xfId="6071" xr:uid="{00000000-0005-0000-0000-0000E31A0000}"/>
    <cellStyle name="Normal 5 4 2 3 4 3 2" xfId="15397" xr:uid="{5EA9D3CD-FE22-4060-B20C-5EC9E1EAF488}"/>
    <cellStyle name="Normal 5 4 2 3 4 4" xfId="11180" xr:uid="{6ED3F224-DF42-4736-A69E-04E3402BE6D0}"/>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DE4F8FF0-1171-475D-A0EC-A031F4F9D2EA}"/>
    <cellStyle name="Normal 5 4 2 3 5 2 3" xfId="13738" xr:uid="{07859047-A82D-402B-BF62-79B1B3A04CD0}"/>
    <cellStyle name="Normal 5 4 2 3 5 3" xfId="6484" xr:uid="{00000000-0005-0000-0000-0000E71A0000}"/>
    <cellStyle name="Normal 5 4 2 3 5 3 2" xfId="15810" xr:uid="{A47E89F7-6092-40C9-AF4C-F30848D1016A}"/>
    <cellStyle name="Normal 5 4 2 3 5 4" xfId="11593" xr:uid="{4C27B394-5DC1-4D5E-B3F8-49FA7ADA5D78}"/>
    <cellStyle name="Normal 5 4 2 3 6" xfId="2614" xr:uid="{00000000-0005-0000-0000-0000E81A0000}"/>
    <cellStyle name="Normal 5 4 2 3 6 2" xfId="6897" xr:uid="{00000000-0005-0000-0000-0000E91A0000}"/>
    <cellStyle name="Normal 5 4 2 3 6 2 2" xfId="16223" xr:uid="{EDC5712E-8ACD-4763-91E1-5608C98B7F66}"/>
    <cellStyle name="Normal 5 4 2 3 6 3" xfId="12006" xr:uid="{779580BB-B5B3-4E3A-BE3C-D0228C4E60CF}"/>
    <cellStyle name="Normal 5 4 2 3 7" xfId="4832" xr:uid="{00000000-0005-0000-0000-0000EA1A0000}"/>
    <cellStyle name="Normal 5 4 2 3 7 2" xfId="14158" xr:uid="{B6B39142-CBD9-4AF2-8DA2-1681AC349642}"/>
    <cellStyle name="Normal 5 4 2 3 8" xfId="9040" xr:uid="{D68CAB17-BB41-4D9B-AA76-76FE511392DC}"/>
    <cellStyle name="Normal 5 4 2 3 8 2" xfId="18364" xr:uid="{9131BC92-A416-46EA-B34F-BB75182980EC}"/>
    <cellStyle name="Normal 5 4 2 3 9" xfId="9941" xr:uid="{59458A0C-6226-4753-951E-077F6EAA885B}"/>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5939A070-0A30-47A4-A71C-032C6E440F4A}"/>
    <cellStyle name="Normal 5 4 2 4 2 3" xfId="12496" xr:uid="{39B958FA-9F6B-4B8F-924D-452B80793155}"/>
    <cellStyle name="Normal 5 4 2 4 3" xfId="5242" xr:uid="{00000000-0005-0000-0000-0000EE1A0000}"/>
    <cellStyle name="Normal 5 4 2 4 3 2" xfId="14568" xr:uid="{F0CB0D59-52BD-4D2F-BD60-8041900081B1}"/>
    <cellStyle name="Normal 5 4 2 4 4" xfId="9258" xr:uid="{971C48A9-8200-405B-A9BE-B3AFD2CDDA76}"/>
    <cellStyle name="Normal 5 4 2 4 4 2" xfId="18573" xr:uid="{B8D8EC7C-1C95-4570-9158-D10CDE89DF78}"/>
    <cellStyle name="Normal 5 4 2 4 5" xfId="10351" xr:uid="{122B6CD7-BEA0-4E41-8C1F-84F61400E422}"/>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EA8C6D42-2306-42C9-AE65-AFD9F959E319}"/>
    <cellStyle name="Normal 5 4 2 5 2 3" xfId="12909" xr:uid="{AB350F73-836C-413F-AF30-7598B8E6A76C}"/>
    <cellStyle name="Normal 5 4 2 5 3" xfId="5655" xr:uid="{00000000-0005-0000-0000-0000F21A0000}"/>
    <cellStyle name="Normal 5 4 2 5 3 2" xfId="14981" xr:uid="{CBF01FF0-9F0F-46EE-A7B9-8E01466AA0F8}"/>
    <cellStyle name="Normal 5 4 2 5 4" xfId="10764" xr:uid="{07AC1132-27F4-46A8-B62F-E75B38EB7CDF}"/>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0AAEEF75-9500-4588-87C7-CC520EE63149}"/>
    <cellStyle name="Normal 5 4 2 6 2 3" xfId="13322" xr:uid="{66F1FD0B-5006-437A-A775-27A46B93650F}"/>
    <cellStyle name="Normal 5 4 2 6 3" xfId="6068" xr:uid="{00000000-0005-0000-0000-0000F61A0000}"/>
    <cellStyle name="Normal 5 4 2 6 3 2" xfId="15394" xr:uid="{6AF63BB6-B1C3-465D-BFAA-25D77B7666DD}"/>
    <cellStyle name="Normal 5 4 2 6 4" xfId="11177" xr:uid="{FB749A82-3C03-490C-B51B-B35302D48280}"/>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4D8D4B91-2CA6-47C2-B712-419B1296A267}"/>
    <cellStyle name="Normal 5 4 2 7 2 3" xfId="13735" xr:uid="{C936AC30-78EA-4FE1-A6C6-D2CB0C3FE604}"/>
    <cellStyle name="Normal 5 4 2 7 3" xfId="6481" xr:uid="{00000000-0005-0000-0000-0000FA1A0000}"/>
    <cellStyle name="Normal 5 4 2 7 3 2" xfId="15807" xr:uid="{B0EEDA1E-04C2-430B-8A7B-B147699D95E8}"/>
    <cellStyle name="Normal 5 4 2 7 4" xfId="11590" xr:uid="{2D68C9AC-F78E-4A6E-A01D-497F98E37235}"/>
    <cellStyle name="Normal 5 4 2 8" xfId="2611" xr:uid="{00000000-0005-0000-0000-0000FB1A0000}"/>
    <cellStyle name="Normal 5 4 2 8 2" xfId="6894" xr:uid="{00000000-0005-0000-0000-0000FC1A0000}"/>
    <cellStyle name="Normal 5 4 2 8 2 2" xfId="16220" xr:uid="{FA2B1B93-8F8D-42D2-84F6-731A6BDF48A1}"/>
    <cellStyle name="Normal 5 4 2 8 3" xfId="12003" xr:uid="{D38D50B0-C9F9-48C4-AF4C-E8448FC015DA}"/>
    <cellStyle name="Normal 5 4 2 9" xfId="4829" xr:uid="{00000000-0005-0000-0000-0000FD1A0000}"/>
    <cellStyle name="Normal 5 4 2 9 2" xfId="14155" xr:uid="{9A16866A-67C1-4A23-87AC-63C87CBA2928}"/>
    <cellStyle name="Normal 5 4 3" xfId="461" xr:uid="{00000000-0005-0000-0000-0000FE1A0000}"/>
    <cellStyle name="Normal 5 4 3 10" xfId="9942" xr:uid="{37171B6D-0D8B-4E6D-A736-599C3C578E65}"/>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D6D0D26D-2155-4FC7-B0DB-B4A56A602555}"/>
    <cellStyle name="Normal 5 4 3 2 2 2 3" xfId="12501" xr:uid="{108C360D-1C2F-440C-9CA4-8D6EC5143135}"/>
    <cellStyle name="Normal 5 4 3 2 2 3" xfId="5247" xr:uid="{00000000-0005-0000-0000-0000031B0000}"/>
    <cellStyle name="Normal 5 4 3 2 2 3 2" xfId="14573" xr:uid="{44F617CF-2D07-432D-B6B4-BE42F06A9443}"/>
    <cellStyle name="Normal 5 4 3 2 2 4" xfId="9508" xr:uid="{1F9B5A8F-2A45-43C5-9422-E8BC84424A55}"/>
    <cellStyle name="Normal 5 4 3 2 2 4 2" xfId="18823" xr:uid="{25F05FE0-F103-49CF-9B4D-2E97CC111CB6}"/>
    <cellStyle name="Normal 5 4 3 2 2 5" xfId="10356" xr:uid="{4A3FEF82-CF83-433A-B290-7648CE4AE920}"/>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54B58815-0DDE-4270-8D88-4D55BE14E62E}"/>
    <cellStyle name="Normal 5 4 3 2 3 2 3" xfId="12914" xr:uid="{B9ABAF77-CE64-4765-8DE3-BCAB1408F966}"/>
    <cellStyle name="Normal 5 4 3 2 3 3" xfId="5660" xr:uid="{00000000-0005-0000-0000-0000071B0000}"/>
    <cellStyle name="Normal 5 4 3 2 3 3 2" xfId="14986" xr:uid="{3CD3561F-56F8-4CDA-A2CA-FC80486BAC86}"/>
    <cellStyle name="Normal 5 4 3 2 3 4" xfId="10769" xr:uid="{1E08AC71-BB21-490B-9E22-8A9A48F6F10D}"/>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7E11C4B8-B89F-4B79-882E-5DC235CF0452}"/>
    <cellStyle name="Normal 5 4 3 2 4 2 3" xfId="13327" xr:uid="{E5A98DB4-3E1E-4CCD-ABF5-EE50646A6B9D}"/>
    <cellStyle name="Normal 5 4 3 2 4 3" xfId="6073" xr:uid="{00000000-0005-0000-0000-00000B1B0000}"/>
    <cellStyle name="Normal 5 4 3 2 4 3 2" xfId="15399" xr:uid="{0BC5CC44-0866-4C90-9248-60C140194D1D}"/>
    <cellStyle name="Normal 5 4 3 2 4 4" xfId="11182" xr:uid="{C901B2B0-53EF-4241-BEB9-26EC56814B0A}"/>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04F06B9E-C298-4CD0-8B32-93A20440C4E5}"/>
    <cellStyle name="Normal 5 4 3 2 5 2 3" xfId="13740" xr:uid="{B1840A6B-CD28-4A67-8A09-B7878C2C0C4C}"/>
    <cellStyle name="Normal 5 4 3 2 5 3" xfId="6486" xr:uid="{00000000-0005-0000-0000-00000F1B0000}"/>
    <cellStyle name="Normal 5 4 3 2 5 3 2" xfId="15812" xr:uid="{64EB33DF-2A94-41FB-AAFA-7FEE084F36E4}"/>
    <cellStyle name="Normal 5 4 3 2 5 4" xfId="11595" xr:uid="{6BB9D248-8BE9-4637-9B63-1F99EA5FD404}"/>
    <cellStyle name="Normal 5 4 3 2 6" xfId="2616" xr:uid="{00000000-0005-0000-0000-0000101B0000}"/>
    <cellStyle name="Normal 5 4 3 2 6 2" xfId="6899" xr:uid="{00000000-0005-0000-0000-0000111B0000}"/>
    <cellStyle name="Normal 5 4 3 2 6 2 2" xfId="16225" xr:uid="{8ADF41AA-68A9-49E6-B675-44D1523A561C}"/>
    <cellStyle name="Normal 5 4 3 2 6 3" xfId="12008" xr:uid="{79F7894B-F778-4CCC-82FE-8C7DB7F8139D}"/>
    <cellStyle name="Normal 5 4 3 2 7" xfId="4834" xr:uid="{00000000-0005-0000-0000-0000121B0000}"/>
    <cellStyle name="Normal 5 4 3 2 7 2" xfId="14160" xr:uid="{97BCA8AC-4092-4160-AEB8-B36BF5C1A35C}"/>
    <cellStyle name="Normal 5 4 3 2 8" xfId="9083" xr:uid="{206384C8-6AD8-4D28-8F99-3033A80D68FC}"/>
    <cellStyle name="Normal 5 4 3 2 8 2" xfId="18407" xr:uid="{D8F8B3FB-29F0-4F6B-AF63-19E2190B74EF}"/>
    <cellStyle name="Normal 5 4 3 2 9" xfId="9943" xr:uid="{DEEAD913-19E3-4910-A7BB-ABB6069909E6}"/>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373FE042-D7A5-412B-B013-4239548F5723}"/>
    <cellStyle name="Normal 5 4 3 3 2 3" xfId="12500" xr:uid="{15DFF58B-62A4-439A-8A67-9D15E309CB98}"/>
    <cellStyle name="Normal 5 4 3 3 3" xfId="5246" xr:uid="{00000000-0005-0000-0000-0000161B0000}"/>
    <cellStyle name="Normal 5 4 3 3 3 2" xfId="14572" xr:uid="{E31421D0-649D-4F7C-BFEC-1C06D4DDF16D}"/>
    <cellStyle name="Normal 5 4 3 3 4" xfId="9301" xr:uid="{CB02BBE7-2E3D-4C67-A62E-BA84DE882039}"/>
    <cellStyle name="Normal 5 4 3 3 4 2" xfId="18616" xr:uid="{FB4E76D0-999F-4618-90F6-43CFDCBEAD75}"/>
    <cellStyle name="Normal 5 4 3 3 5" xfId="10355" xr:uid="{956C8421-EBFC-46B9-ABA9-D866B9069D6C}"/>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FBD7D3BF-317B-4EF7-93CE-E4E34345EC5E}"/>
    <cellStyle name="Normal 5 4 3 4 2 3" xfId="12913" xr:uid="{FD75267F-54A8-4586-91E3-FEA3DFFFB39A}"/>
    <cellStyle name="Normal 5 4 3 4 3" xfId="5659" xr:uid="{00000000-0005-0000-0000-00001A1B0000}"/>
    <cellStyle name="Normal 5 4 3 4 3 2" xfId="14985" xr:uid="{A0EB553D-1DD4-4ECE-8389-A89C11DE9359}"/>
    <cellStyle name="Normal 5 4 3 4 4" xfId="10768" xr:uid="{DE8AB8CC-167B-4ECB-9244-B14E619496D4}"/>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370354DF-C8D9-4941-AFA1-7893636A51B5}"/>
    <cellStyle name="Normal 5 4 3 5 2 3" xfId="13326" xr:uid="{7D0F9056-3D03-405B-BB8F-116DAFC3DEA7}"/>
    <cellStyle name="Normal 5 4 3 5 3" xfId="6072" xr:uid="{00000000-0005-0000-0000-00001E1B0000}"/>
    <cellStyle name="Normal 5 4 3 5 3 2" xfId="15398" xr:uid="{0EA5D1FD-21DC-4294-B2F4-D3542F186A8B}"/>
    <cellStyle name="Normal 5 4 3 5 4" xfId="11181" xr:uid="{98E9E4B2-9CC2-4D5C-B34D-4E0040275BEB}"/>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BA86C673-6244-4AB6-B841-47BEFDA8BF00}"/>
    <cellStyle name="Normal 5 4 3 6 2 3" xfId="13739" xr:uid="{0323C974-CC24-4F39-A122-A4D3F2DE12BF}"/>
    <cellStyle name="Normal 5 4 3 6 3" xfId="6485" xr:uid="{00000000-0005-0000-0000-0000221B0000}"/>
    <cellStyle name="Normal 5 4 3 6 3 2" xfId="15811" xr:uid="{DAB622B8-7530-4C2B-88E2-FA66720362CC}"/>
    <cellStyle name="Normal 5 4 3 6 4" xfId="11594" xr:uid="{EBD8EC0A-BBB8-4F83-B940-FD8BEEC3A48A}"/>
    <cellStyle name="Normal 5 4 3 7" xfId="2615" xr:uid="{00000000-0005-0000-0000-0000231B0000}"/>
    <cellStyle name="Normal 5 4 3 7 2" xfId="6898" xr:uid="{00000000-0005-0000-0000-0000241B0000}"/>
    <cellStyle name="Normal 5 4 3 7 2 2" xfId="16224" xr:uid="{02C83E75-110F-46AB-B001-DB514E8287DB}"/>
    <cellStyle name="Normal 5 4 3 7 3" xfId="12007" xr:uid="{B0E1A094-7A16-43F6-BC26-AB70C547EF26}"/>
    <cellStyle name="Normal 5 4 3 8" xfId="4833" xr:uid="{00000000-0005-0000-0000-0000251B0000}"/>
    <cellStyle name="Normal 5 4 3 8 2" xfId="14159" xr:uid="{F778F122-E8A6-4E59-ADD4-7DC3258D1FBA}"/>
    <cellStyle name="Normal 5 4 3 9" xfId="8876" xr:uid="{D636A598-175F-46A4-8005-1A20EC6CCEC9}"/>
    <cellStyle name="Normal 5 4 3 9 2" xfId="18200" xr:uid="{FD075F4D-9331-407C-AECE-4F30F37C94CF}"/>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FE9F7610-DC83-42D1-8683-8858549E6AE6}"/>
    <cellStyle name="Normal 5 4 4 2 2 3" xfId="12502" xr:uid="{C826FADA-0B92-4E6D-B9F0-59F0703CCB5F}"/>
    <cellStyle name="Normal 5 4 4 2 3" xfId="5248" xr:uid="{00000000-0005-0000-0000-00002A1B0000}"/>
    <cellStyle name="Normal 5 4 4 2 3 2" xfId="14574" xr:uid="{901F4BB4-79CC-45AC-931F-82F2F6082EE3}"/>
    <cellStyle name="Normal 5 4 4 2 4" xfId="9405" xr:uid="{F05DE0DC-A0AA-4CEB-9ABC-0D70F781B819}"/>
    <cellStyle name="Normal 5 4 4 2 4 2" xfId="18720" xr:uid="{A88D98E0-175B-49A6-A036-49878EEE572B}"/>
    <cellStyle name="Normal 5 4 4 2 5" xfId="10357" xr:uid="{B6526CFB-550E-4D54-BADD-098EA7BD96F7}"/>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97B52B72-EC94-45B1-9FDE-8FA9D4C5A892}"/>
    <cellStyle name="Normal 5 4 4 3 2 3" xfId="12915" xr:uid="{39CA9D39-E4A3-4ADF-8C6D-27A189C3BC02}"/>
    <cellStyle name="Normal 5 4 4 3 3" xfId="5661" xr:uid="{00000000-0005-0000-0000-00002E1B0000}"/>
    <cellStyle name="Normal 5 4 4 3 3 2" xfId="14987" xr:uid="{89E2B65C-0E35-49B2-B1F7-76504C525F02}"/>
    <cellStyle name="Normal 5 4 4 3 4" xfId="10770" xr:uid="{225DD237-C2C9-458C-9798-212AD673A74C}"/>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AB5A0636-B0CC-451A-9287-A89C1350D042}"/>
    <cellStyle name="Normal 5 4 4 4 2 3" xfId="13328" xr:uid="{1D408735-76C3-4659-841A-5AFEBFF2FFEC}"/>
    <cellStyle name="Normal 5 4 4 4 3" xfId="6074" xr:uid="{00000000-0005-0000-0000-0000321B0000}"/>
    <cellStyle name="Normal 5 4 4 4 3 2" xfId="15400" xr:uid="{97C6B23C-F927-4C52-A612-7B1D99F04DC0}"/>
    <cellStyle name="Normal 5 4 4 4 4" xfId="11183" xr:uid="{F2065B17-D424-4AFD-AC5C-EA0E2AEB94CD}"/>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B565C48A-0139-4379-9F51-D9147BC8055F}"/>
    <cellStyle name="Normal 5 4 4 5 2 3" xfId="13741" xr:uid="{BFA8EF87-C42D-47D7-A0BD-FE80DEB8CB6E}"/>
    <cellStyle name="Normal 5 4 4 5 3" xfId="6487" xr:uid="{00000000-0005-0000-0000-0000361B0000}"/>
    <cellStyle name="Normal 5 4 4 5 3 2" xfId="15813" xr:uid="{962D8CE5-C5F3-4906-8A87-39A60D50564E}"/>
    <cellStyle name="Normal 5 4 4 5 4" xfId="11596" xr:uid="{82B3535A-764E-4C29-A1DA-ABA3A8D003A2}"/>
    <cellStyle name="Normal 5 4 4 6" xfId="2617" xr:uid="{00000000-0005-0000-0000-0000371B0000}"/>
    <cellStyle name="Normal 5 4 4 6 2" xfId="6900" xr:uid="{00000000-0005-0000-0000-0000381B0000}"/>
    <cellStyle name="Normal 5 4 4 6 2 2" xfId="16226" xr:uid="{BCE8403D-4329-45A0-8C19-E955334056BF}"/>
    <cellStyle name="Normal 5 4 4 6 3" xfId="12009" xr:uid="{5A6030AA-F9C5-4179-B63D-45DB574A291E}"/>
    <cellStyle name="Normal 5 4 4 7" xfId="4835" xr:uid="{00000000-0005-0000-0000-0000391B0000}"/>
    <cellStyle name="Normal 5 4 4 7 2" xfId="14161" xr:uid="{1B22495F-1F73-4C3B-B4DE-3768AB169400}"/>
    <cellStyle name="Normal 5 4 4 8" xfId="8980" xr:uid="{B1DB48A4-94CB-4CC2-8D4B-8FD478363D48}"/>
    <cellStyle name="Normal 5 4 4 8 2" xfId="18304" xr:uid="{0061F64C-9A8F-4198-8624-594C9B343746}"/>
    <cellStyle name="Normal 5 4 4 9" xfId="9944" xr:uid="{4AEFBED5-1E73-4300-BAD3-3F9AF111BCB4}"/>
    <cellStyle name="Normal 5 4 5" xfId="930" xr:uid="{00000000-0005-0000-0000-00003A1B0000}"/>
    <cellStyle name="Normal 5 4 5 2" xfId="3164" xr:uid="{00000000-0005-0000-0000-00003B1B0000}"/>
    <cellStyle name="Normal 5 4 5 2 2" xfId="7386" xr:uid="{00000000-0005-0000-0000-00003C1B0000}"/>
    <cellStyle name="Normal 5 4 5 2 2 2" xfId="16712" xr:uid="{7546B4FF-023B-449A-8DA0-19DFBB59033C}"/>
    <cellStyle name="Normal 5 4 5 2 3" xfId="12495" xr:uid="{662F7686-6F75-4EED-8EF5-0DB0BBA456BF}"/>
    <cellStyle name="Normal 5 4 5 3" xfId="5241" xr:uid="{00000000-0005-0000-0000-00003D1B0000}"/>
    <cellStyle name="Normal 5 4 5 3 2" xfId="14567" xr:uid="{F6ED35CD-2EBE-490D-ABBD-129EAAFDA5FF}"/>
    <cellStyle name="Normal 5 4 5 4" xfId="9197" xr:uid="{44FF0EFB-444B-4C40-B695-8C256ADB5563}"/>
    <cellStyle name="Normal 5 4 5 4 2" xfId="18513" xr:uid="{18B667B1-87F3-48A6-8E5E-C83F0BBF37D9}"/>
    <cellStyle name="Normal 5 4 5 5" xfId="10350" xr:uid="{AE3BE758-1AFB-42EA-ACDD-DD7950189ED7}"/>
    <cellStyle name="Normal 5 4 6" xfId="1347" xr:uid="{00000000-0005-0000-0000-00003E1B0000}"/>
    <cellStyle name="Normal 5 4 6 2" xfId="3577" xr:uid="{00000000-0005-0000-0000-00003F1B0000}"/>
    <cellStyle name="Normal 5 4 6 2 2" xfId="7799" xr:uid="{00000000-0005-0000-0000-0000401B0000}"/>
    <cellStyle name="Normal 5 4 6 2 2 2" xfId="17125" xr:uid="{CBAD33B0-A802-4E60-9852-314B13E7AAFC}"/>
    <cellStyle name="Normal 5 4 6 2 3" xfId="12908" xr:uid="{539E29B0-19AC-4092-8BD5-FAD4F1852431}"/>
    <cellStyle name="Normal 5 4 6 3" xfId="5654" xr:uid="{00000000-0005-0000-0000-0000411B0000}"/>
    <cellStyle name="Normal 5 4 6 3 2" xfId="14980" xr:uid="{84DE8C8A-0E94-4903-AD68-0BFD93941992}"/>
    <cellStyle name="Normal 5 4 6 4" xfId="10763" xr:uid="{3E41BA72-AC8F-4C59-94A8-F4E0F7068F22}"/>
    <cellStyle name="Normal 5 4 7" xfId="1760" xr:uid="{00000000-0005-0000-0000-0000421B0000}"/>
    <cellStyle name="Normal 5 4 7 2" xfId="3990" xr:uid="{00000000-0005-0000-0000-0000431B0000}"/>
    <cellStyle name="Normal 5 4 7 2 2" xfId="8212" xr:uid="{00000000-0005-0000-0000-0000441B0000}"/>
    <cellStyle name="Normal 5 4 7 2 2 2" xfId="17538" xr:uid="{A4B2E1A6-8590-4B58-A964-047DE2E67D06}"/>
    <cellStyle name="Normal 5 4 7 2 3" xfId="13321" xr:uid="{E215B2F1-0923-4BE8-9883-44D361F7CDE4}"/>
    <cellStyle name="Normal 5 4 7 3" xfId="6067" xr:uid="{00000000-0005-0000-0000-0000451B0000}"/>
    <cellStyle name="Normal 5 4 7 3 2" xfId="15393" xr:uid="{1AB2061A-B45E-4555-A41D-4FC1D6BBE30F}"/>
    <cellStyle name="Normal 5 4 7 4" xfId="11176" xr:uid="{670633C0-D398-44E7-B010-C16A6286939F}"/>
    <cellStyle name="Normal 5 4 8" xfId="2174" xr:uid="{00000000-0005-0000-0000-0000461B0000}"/>
    <cellStyle name="Normal 5 4 8 2" xfId="4403" xr:uid="{00000000-0005-0000-0000-0000471B0000}"/>
    <cellStyle name="Normal 5 4 8 2 2" xfId="8625" xr:uid="{00000000-0005-0000-0000-0000481B0000}"/>
    <cellStyle name="Normal 5 4 8 2 2 2" xfId="17951" xr:uid="{5B5BABF0-B390-4B11-8B3B-3DE6381F80F3}"/>
    <cellStyle name="Normal 5 4 8 2 3" xfId="13734" xr:uid="{6AC82F03-838F-42EC-810C-A45E1213BB75}"/>
    <cellStyle name="Normal 5 4 8 3" xfId="6480" xr:uid="{00000000-0005-0000-0000-0000491B0000}"/>
    <cellStyle name="Normal 5 4 8 3 2" xfId="15806" xr:uid="{3D0798DB-89C5-4184-B071-707A1127F3D3}"/>
    <cellStyle name="Normal 5 4 8 4" xfId="11589" xr:uid="{0D26AFF7-ABEC-41C8-A98F-B07FD583BC0B}"/>
    <cellStyle name="Normal 5 4 9" xfId="2610" xr:uid="{00000000-0005-0000-0000-00004A1B0000}"/>
    <cellStyle name="Normal 5 4 9 2" xfId="6893" xr:uid="{00000000-0005-0000-0000-00004B1B0000}"/>
    <cellStyle name="Normal 5 4 9 2 2" xfId="16219" xr:uid="{165FF325-3134-4FCD-A51A-4600B880E64A}"/>
    <cellStyle name="Normal 5 4 9 3" xfId="12002" xr:uid="{FA522C66-EAD2-4223-B33B-F1FE60620D6A}"/>
    <cellStyle name="Normal 5 5" xfId="464" xr:uid="{00000000-0005-0000-0000-00004C1B0000}"/>
    <cellStyle name="Normal 5 5 10" xfId="8826" xr:uid="{5746674A-546A-44BF-97FB-6D298BF3AD61}"/>
    <cellStyle name="Normal 5 5 10 2" xfId="18150" xr:uid="{ABFB79CC-7212-43A8-ACE2-4F74EB2483F2}"/>
    <cellStyle name="Normal 5 5 11" xfId="9945" xr:uid="{984F1DC8-CD62-433C-9086-CB7C02E3AE85}"/>
    <cellStyle name="Normal 5 5 2" xfId="465" xr:uid="{00000000-0005-0000-0000-00004D1B0000}"/>
    <cellStyle name="Normal 5 5 2 10" xfId="9946" xr:uid="{29B1CCF7-05C0-421B-9EEE-6DD215F03A41}"/>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36D0138E-F820-4473-8BB2-E4F395087789}"/>
    <cellStyle name="Normal 5 5 2 2 2 2 3" xfId="12505" xr:uid="{1AF12757-D7C9-43B4-BFCA-BF40A9AE125E}"/>
    <cellStyle name="Normal 5 5 2 2 2 3" xfId="5251" xr:uid="{00000000-0005-0000-0000-0000521B0000}"/>
    <cellStyle name="Normal 5 5 2 2 2 3 2" xfId="14577" xr:uid="{091E273C-F2E1-4AB0-AF31-5E8BF5BDAFBE}"/>
    <cellStyle name="Normal 5 5 2 2 2 4" xfId="9561" xr:uid="{FF1EB4DD-E23E-4228-816B-D59B021F724D}"/>
    <cellStyle name="Normal 5 5 2 2 2 4 2" xfId="18876" xr:uid="{B870169F-68D7-45FB-A778-405A24EF5DD6}"/>
    <cellStyle name="Normal 5 5 2 2 2 5" xfId="10360" xr:uid="{631F7F8D-1F1B-4CC9-A011-E24B7E7F43A9}"/>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CA65E3F7-0EC7-44FC-8583-C4DEE950D861}"/>
    <cellStyle name="Normal 5 5 2 2 3 2 3" xfId="12918" xr:uid="{ABCF43BE-20A8-439C-8F4F-9EB8D39CE3F1}"/>
    <cellStyle name="Normal 5 5 2 2 3 3" xfId="5664" xr:uid="{00000000-0005-0000-0000-0000561B0000}"/>
    <cellStyle name="Normal 5 5 2 2 3 3 2" xfId="14990" xr:uid="{454647C4-A3D8-4B43-BF2F-1720A45BB5EB}"/>
    <cellStyle name="Normal 5 5 2 2 3 4" xfId="10773" xr:uid="{D4C15297-4866-4213-94EE-033E45614DD4}"/>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86F60D3B-69A2-45CD-ACAD-28652CC7ADF2}"/>
    <cellStyle name="Normal 5 5 2 2 4 2 3" xfId="13331" xr:uid="{B9114A2F-C435-47F9-BF4D-D847411923E8}"/>
    <cellStyle name="Normal 5 5 2 2 4 3" xfId="6077" xr:uid="{00000000-0005-0000-0000-00005A1B0000}"/>
    <cellStyle name="Normal 5 5 2 2 4 3 2" xfId="15403" xr:uid="{D73D980F-6321-4222-874A-4A55A10CFF05}"/>
    <cellStyle name="Normal 5 5 2 2 4 4" xfId="11186" xr:uid="{880056C7-BD98-495C-AED5-DE6545388967}"/>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7B03CBE6-AA74-49DC-83AD-20678A89E98C}"/>
    <cellStyle name="Normal 5 5 2 2 5 2 3" xfId="13744" xr:uid="{C7A22ADB-78C3-4B50-BD9E-2D8285B4A0E9}"/>
    <cellStyle name="Normal 5 5 2 2 5 3" xfId="6490" xr:uid="{00000000-0005-0000-0000-00005E1B0000}"/>
    <cellStyle name="Normal 5 5 2 2 5 3 2" xfId="15816" xr:uid="{9881355C-F318-4FB5-973C-01C7008EF085}"/>
    <cellStyle name="Normal 5 5 2 2 5 4" xfId="11599" xr:uid="{DB30031E-ECC6-47FF-A28A-9A1B9588D1C1}"/>
    <cellStyle name="Normal 5 5 2 2 6" xfId="2620" xr:uid="{00000000-0005-0000-0000-00005F1B0000}"/>
    <cellStyle name="Normal 5 5 2 2 6 2" xfId="6903" xr:uid="{00000000-0005-0000-0000-0000601B0000}"/>
    <cellStyle name="Normal 5 5 2 2 6 2 2" xfId="16229" xr:uid="{17928ED1-7430-48E1-8CA2-5F9932547BDD}"/>
    <cellStyle name="Normal 5 5 2 2 6 3" xfId="12012" xr:uid="{945E08B0-747C-4358-8973-D6D7E312F78A}"/>
    <cellStyle name="Normal 5 5 2 2 7" xfId="4838" xr:uid="{00000000-0005-0000-0000-0000611B0000}"/>
    <cellStyle name="Normal 5 5 2 2 7 2" xfId="14164" xr:uid="{9D8390A0-2708-41BC-A350-CCFF54129EEC}"/>
    <cellStyle name="Normal 5 5 2 2 8" xfId="9136" xr:uid="{D41453B5-3BE6-4F01-B336-45A274529844}"/>
    <cellStyle name="Normal 5 5 2 2 8 2" xfId="18460" xr:uid="{5736BE3A-45BC-4EAF-99DA-4690ACC6B240}"/>
    <cellStyle name="Normal 5 5 2 2 9" xfId="9947" xr:uid="{BA8C0F01-8C77-480A-9F5F-E6D6C1D051E7}"/>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4052CAF1-B6B5-4B56-AAB9-9AD6DD285131}"/>
    <cellStyle name="Normal 5 5 2 3 2 3" xfId="12504" xr:uid="{5648C3BD-328D-405C-A538-245B558AB424}"/>
    <cellStyle name="Normal 5 5 2 3 3" xfId="5250" xr:uid="{00000000-0005-0000-0000-0000651B0000}"/>
    <cellStyle name="Normal 5 5 2 3 3 2" xfId="14576" xr:uid="{12804293-B033-4F12-9CE2-BAE7D2409437}"/>
    <cellStyle name="Normal 5 5 2 3 4" xfId="9354" xr:uid="{3251F49D-E700-469D-9840-28045D408641}"/>
    <cellStyle name="Normal 5 5 2 3 4 2" xfId="18669" xr:uid="{85D67AF8-83EF-407A-B1D3-9D62CC75F1A2}"/>
    <cellStyle name="Normal 5 5 2 3 5" xfId="10359" xr:uid="{979FCADC-6DC7-43EE-9E10-43BBDE243014}"/>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26FEF77F-C86E-4B0D-A340-41964900FE24}"/>
    <cellStyle name="Normal 5 5 2 4 2 3" xfId="12917" xr:uid="{47BD84C4-0082-437B-ABF1-5D3650C992A2}"/>
    <cellStyle name="Normal 5 5 2 4 3" xfId="5663" xr:uid="{00000000-0005-0000-0000-0000691B0000}"/>
    <cellStyle name="Normal 5 5 2 4 3 2" xfId="14989" xr:uid="{3454C9ED-A0C5-4BBA-A284-C0BF820052D8}"/>
    <cellStyle name="Normal 5 5 2 4 4" xfId="10772" xr:uid="{ADEBBE8B-22A2-40C8-8E5B-E28607786AB6}"/>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96F653ED-5C38-4BFC-8838-01A3D37129E7}"/>
    <cellStyle name="Normal 5 5 2 5 2 3" xfId="13330" xr:uid="{03F15FE1-CC63-4774-87EE-5EA511B42615}"/>
    <cellStyle name="Normal 5 5 2 5 3" xfId="6076" xr:uid="{00000000-0005-0000-0000-00006D1B0000}"/>
    <cellStyle name="Normal 5 5 2 5 3 2" xfId="15402" xr:uid="{E3908564-A030-40ED-BFD2-FD6AB039E313}"/>
    <cellStyle name="Normal 5 5 2 5 4" xfId="11185" xr:uid="{9CBC155F-6081-4DA3-B442-284AEA54D265}"/>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E1C29C9A-E1F6-4B51-BC70-2D7023921D11}"/>
    <cellStyle name="Normal 5 5 2 6 2 3" xfId="13743" xr:uid="{98BEB945-A114-4609-9207-9D4FB915FDA6}"/>
    <cellStyle name="Normal 5 5 2 6 3" xfId="6489" xr:uid="{00000000-0005-0000-0000-0000711B0000}"/>
    <cellStyle name="Normal 5 5 2 6 3 2" xfId="15815" xr:uid="{2AA51F72-BE1B-4C53-973C-61BDD5B52C9F}"/>
    <cellStyle name="Normal 5 5 2 6 4" xfId="11598" xr:uid="{C3E01301-7474-4D38-BDAC-1E6EFAEE6D13}"/>
    <cellStyle name="Normal 5 5 2 7" xfId="2619" xr:uid="{00000000-0005-0000-0000-0000721B0000}"/>
    <cellStyle name="Normal 5 5 2 7 2" xfId="6902" xr:uid="{00000000-0005-0000-0000-0000731B0000}"/>
    <cellStyle name="Normal 5 5 2 7 2 2" xfId="16228" xr:uid="{2725303E-6811-4F97-A081-B87FC2998FB6}"/>
    <cellStyle name="Normal 5 5 2 7 3" xfId="12011" xr:uid="{3D6C266F-00B3-4E91-A6C5-B7BE2B00B7BD}"/>
    <cellStyle name="Normal 5 5 2 8" xfId="4837" xr:uid="{00000000-0005-0000-0000-0000741B0000}"/>
    <cellStyle name="Normal 5 5 2 8 2" xfId="14163" xr:uid="{379C23D9-F09C-445E-A55B-4C15E9B106EF}"/>
    <cellStyle name="Normal 5 5 2 9" xfId="8929" xr:uid="{918246BA-1946-46D4-8BAF-6DC0C4DC8AC3}"/>
    <cellStyle name="Normal 5 5 2 9 2" xfId="18253" xr:uid="{852B2E9E-C27B-48AD-A626-9B2A3BFC8577}"/>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0D7D05A8-316F-4A4F-88BA-5D7D9AA7161D}"/>
    <cellStyle name="Normal 5 5 3 2 2 3" xfId="12506" xr:uid="{242C855C-E1E5-4526-9508-B1AC5794EBD9}"/>
    <cellStyle name="Normal 5 5 3 2 3" xfId="5252" xr:uid="{00000000-0005-0000-0000-0000791B0000}"/>
    <cellStyle name="Normal 5 5 3 2 3 2" xfId="14578" xr:uid="{1762A797-FAEF-44B9-9B35-D1697A3B0F41}"/>
    <cellStyle name="Normal 5 5 3 2 4" xfId="9458" xr:uid="{8AD16727-CFBF-4DB5-B58F-04D48E2B564D}"/>
    <cellStyle name="Normal 5 5 3 2 4 2" xfId="18773" xr:uid="{59C5F08D-C3DC-4320-A3E9-C9829944551D}"/>
    <cellStyle name="Normal 5 5 3 2 5" xfId="10361" xr:uid="{AA8105C0-E0A1-47DC-9785-767E06FDF33A}"/>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CD3A3627-4709-4303-9C0B-483E49B412E5}"/>
    <cellStyle name="Normal 5 5 3 3 2 3" xfId="12919" xr:uid="{A9543C12-198A-4CBA-9BEB-0423629E6D3F}"/>
    <cellStyle name="Normal 5 5 3 3 3" xfId="5665" xr:uid="{00000000-0005-0000-0000-00007D1B0000}"/>
    <cellStyle name="Normal 5 5 3 3 3 2" xfId="14991" xr:uid="{7D30F900-B2F8-4D76-9BE1-F7B8C3D4AD70}"/>
    <cellStyle name="Normal 5 5 3 3 4" xfId="10774" xr:uid="{E3AF1948-F1BA-43BE-AF89-8718F638D907}"/>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7B0E7C09-5FFF-4942-AC2B-0BD511C7DDDD}"/>
    <cellStyle name="Normal 5 5 3 4 2 3" xfId="13332" xr:uid="{9AC109BC-020A-40D2-AD7A-042F4A459299}"/>
    <cellStyle name="Normal 5 5 3 4 3" xfId="6078" xr:uid="{00000000-0005-0000-0000-0000811B0000}"/>
    <cellStyle name="Normal 5 5 3 4 3 2" xfId="15404" xr:uid="{B62A25C6-DF3D-4CE4-A25B-23B2A84A0A76}"/>
    <cellStyle name="Normal 5 5 3 4 4" xfId="11187" xr:uid="{C58B6F4E-B1F1-44A0-AB9D-5C5D536DBF2C}"/>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061B4D03-BDEB-4FB6-A837-2E9F44C9AF19}"/>
    <cellStyle name="Normal 5 5 3 5 2 3" xfId="13745" xr:uid="{21B3EE68-0708-4509-A3E0-65311AF5910F}"/>
    <cellStyle name="Normal 5 5 3 5 3" xfId="6491" xr:uid="{00000000-0005-0000-0000-0000851B0000}"/>
    <cellStyle name="Normal 5 5 3 5 3 2" xfId="15817" xr:uid="{56AD6D0A-CC40-4827-A0DF-8519583E1F00}"/>
    <cellStyle name="Normal 5 5 3 5 4" xfId="11600" xr:uid="{9406713F-031C-4C99-BF94-05C0F98F4A95}"/>
    <cellStyle name="Normal 5 5 3 6" xfId="2621" xr:uid="{00000000-0005-0000-0000-0000861B0000}"/>
    <cellStyle name="Normal 5 5 3 6 2" xfId="6904" xr:uid="{00000000-0005-0000-0000-0000871B0000}"/>
    <cellStyle name="Normal 5 5 3 6 2 2" xfId="16230" xr:uid="{0262F084-55DE-403C-A827-7C5827F0117A}"/>
    <cellStyle name="Normal 5 5 3 6 3" xfId="12013" xr:uid="{B9104563-93C1-4756-A674-F1D39F4E59F2}"/>
    <cellStyle name="Normal 5 5 3 7" xfId="4839" xr:uid="{00000000-0005-0000-0000-0000881B0000}"/>
    <cellStyle name="Normal 5 5 3 7 2" xfId="14165" xr:uid="{A4C45D9A-EE61-4503-911F-49ACA7385092}"/>
    <cellStyle name="Normal 5 5 3 8" xfId="9033" xr:uid="{08F77EF7-8D03-42D9-B538-FE3582C4B971}"/>
    <cellStyle name="Normal 5 5 3 8 2" xfId="18357" xr:uid="{18A51526-21E1-428E-BA07-4B0402F55591}"/>
    <cellStyle name="Normal 5 5 3 9" xfId="9948" xr:uid="{643CE6AC-476D-4211-895C-0EFD2EA4DA0C}"/>
    <cellStyle name="Normal 5 5 4" xfId="938" xr:uid="{00000000-0005-0000-0000-0000891B0000}"/>
    <cellStyle name="Normal 5 5 4 2" xfId="3172" xr:uid="{00000000-0005-0000-0000-00008A1B0000}"/>
    <cellStyle name="Normal 5 5 4 2 2" xfId="7394" xr:uid="{00000000-0005-0000-0000-00008B1B0000}"/>
    <cellStyle name="Normal 5 5 4 2 2 2" xfId="16720" xr:uid="{F055C6A1-53E1-41D7-945D-DF02A12166BF}"/>
    <cellStyle name="Normal 5 5 4 2 3" xfId="12503" xr:uid="{CDB865D3-D0C5-4C59-AE6A-8AD47B7D2799}"/>
    <cellStyle name="Normal 5 5 4 3" xfId="5249" xr:uid="{00000000-0005-0000-0000-00008C1B0000}"/>
    <cellStyle name="Normal 5 5 4 3 2" xfId="14575" xr:uid="{49AD394C-4EEE-4DFB-BC1B-15D6375A711A}"/>
    <cellStyle name="Normal 5 5 4 4" xfId="9251" xr:uid="{4EAD9E35-D3C9-46BE-AE4D-29A1C6D5A6F7}"/>
    <cellStyle name="Normal 5 5 4 4 2" xfId="18566" xr:uid="{C7A22ECD-E6EA-4EB8-88D9-0061AA3A188C}"/>
    <cellStyle name="Normal 5 5 4 5" xfId="10358" xr:uid="{253AD07B-EF81-4110-B2C3-9C11E870E72F}"/>
    <cellStyle name="Normal 5 5 5" xfId="1355" xr:uid="{00000000-0005-0000-0000-00008D1B0000}"/>
    <cellStyle name="Normal 5 5 5 2" xfId="3585" xr:uid="{00000000-0005-0000-0000-00008E1B0000}"/>
    <cellStyle name="Normal 5 5 5 2 2" xfId="7807" xr:uid="{00000000-0005-0000-0000-00008F1B0000}"/>
    <cellStyle name="Normal 5 5 5 2 2 2" xfId="17133" xr:uid="{B47DAA97-FCDB-4693-B0CD-05C578EB5D9B}"/>
    <cellStyle name="Normal 5 5 5 2 3" xfId="12916" xr:uid="{E08F5A91-012B-45FA-9AEE-277EE5A1CCD4}"/>
    <cellStyle name="Normal 5 5 5 3" xfId="5662" xr:uid="{00000000-0005-0000-0000-0000901B0000}"/>
    <cellStyle name="Normal 5 5 5 3 2" xfId="14988" xr:uid="{2A2AB143-C158-431C-A0AC-812B58E778A3}"/>
    <cellStyle name="Normal 5 5 5 4" xfId="10771" xr:uid="{80CEDD25-9289-4B7A-ABF0-9E82DB70F0F7}"/>
    <cellStyle name="Normal 5 5 6" xfId="1768" xr:uid="{00000000-0005-0000-0000-0000911B0000}"/>
    <cellStyle name="Normal 5 5 6 2" xfId="3998" xr:uid="{00000000-0005-0000-0000-0000921B0000}"/>
    <cellStyle name="Normal 5 5 6 2 2" xfId="8220" xr:uid="{00000000-0005-0000-0000-0000931B0000}"/>
    <cellStyle name="Normal 5 5 6 2 2 2" xfId="17546" xr:uid="{F70C0BB5-E445-42B1-A19F-4E6B87727C82}"/>
    <cellStyle name="Normal 5 5 6 2 3" xfId="13329" xr:uid="{FD8F9578-ACEE-4AAC-B5A9-C2CF20F0A7E5}"/>
    <cellStyle name="Normal 5 5 6 3" xfId="6075" xr:uid="{00000000-0005-0000-0000-0000941B0000}"/>
    <cellStyle name="Normal 5 5 6 3 2" xfId="15401" xr:uid="{C4E8CC6C-0DF0-4BCC-B775-6C388C9F987C}"/>
    <cellStyle name="Normal 5 5 6 4" xfId="11184" xr:uid="{C4B516CF-E342-41AA-A792-1E578AC3F120}"/>
    <cellStyle name="Normal 5 5 7" xfId="2182" xr:uid="{00000000-0005-0000-0000-0000951B0000}"/>
    <cellStyle name="Normal 5 5 7 2" xfId="4411" xr:uid="{00000000-0005-0000-0000-0000961B0000}"/>
    <cellStyle name="Normal 5 5 7 2 2" xfId="8633" xr:uid="{00000000-0005-0000-0000-0000971B0000}"/>
    <cellStyle name="Normal 5 5 7 2 2 2" xfId="17959" xr:uid="{594FE897-AF5E-48C6-B9A2-527C465F957C}"/>
    <cellStyle name="Normal 5 5 7 2 3" xfId="13742" xr:uid="{A747CB53-4895-4BE1-8AA9-DD6067D12C7F}"/>
    <cellStyle name="Normal 5 5 7 3" xfId="6488" xr:uid="{00000000-0005-0000-0000-0000981B0000}"/>
    <cellStyle name="Normal 5 5 7 3 2" xfId="15814" xr:uid="{2F5FA4E1-4FF2-4DBD-8D5C-A9E8FF37DD83}"/>
    <cellStyle name="Normal 5 5 7 4" xfId="11597" xr:uid="{F8457DD0-F8F2-4893-B61F-1D6DC3B56B28}"/>
    <cellStyle name="Normal 5 5 8" xfId="2618" xr:uid="{00000000-0005-0000-0000-0000991B0000}"/>
    <cellStyle name="Normal 5 5 8 2" xfId="6901" xr:uid="{00000000-0005-0000-0000-00009A1B0000}"/>
    <cellStyle name="Normal 5 5 8 2 2" xfId="16227" xr:uid="{23E8CFC8-1C5B-4CEC-AB62-A86ABA3B51CA}"/>
    <cellStyle name="Normal 5 5 8 3" xfId="12010" xr:uid="{16BCE0A6-EDFA-4F4E-9CEC-B4E8ED38CC6E}"/>
    <cellStyle name="Normal 5 5 9" xfId="4836" xr:uid="{00000000-0005-0000-0000-00009B1B0000}"/>
    <cellStyle name="Normal 5 5 9 2" xfId="14162" xr:uid="{61D41042-BE00-42E8-8718-546949F9CF31}"/>
    <cellStyle name="Normal 5 6" xfId="468" xr:uid="{00000000-0005-0000-0000-00009C1B0000}"/>
    <cellStyle name="Normal 5 6 10" xfId="9949" xr:uid="{9D0F7913-594C-42B9-ACC9-521ECCFC8B3C}"/>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61CA0EA1-B7CD-4556-B6A8-83BCDAC2811F}"/>
    <cellStyle name="Normal 5 6 2 2 2 3" xfId="12508" xr:uid="{9740935B-A96C-4010-AC4A-B806E44BB4ED}"/>
    <cellStyle name="Normal 5 6 2 2 3" xfId="5254" xr:uid="{00000000-0005-0000-0000-0000A11B0000}"/>
    <cellStyle name="Normal 5 6 2 2 3 2" xfId="14580" xr:uid="{2491FC24-D3C0-4561-B6B6-32366789E954}"/>
    <cellStyle name="Normal 5 6 2 2 4" xfId="9476" xr:uid="{3B3E6CA1-4D97-4B11-99D5-4F82314AA0E0}"/>
    <cellStyle name="Normal 5 6 2 2 4 2" xfId="18791" xr:uid="{F0C67260-ECC4-43C5-9B97-F60E898F3384}"/>
    <cellStyle name="Normal 5 6 2 2 5" xfId="10363" xr:uid="{A4672F29-040A-453E-88E6-B4569E6CEF6C}"/>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6AACE1B5-9DB4-45A6-A860-3ED4A47A18D4}"/>
    <cellStyle name="Normal 5 6 2 3 2 3" xfId="12921" xr:uid="{4E7F6BC0-E02F-4D65-9AB7-A8A1911B75A4}"/>
    <cellStyle name="Normal 5 6 2 3 3" xfId="5667" xr:uid="{00000000-0005-0000-0000-0000A51B0000}"/>
    <cellStyle name="Normal 5 6 2 3 3 2" xfId="14993" xr:uid="{37A8D39B-7D81-4DC3-B46E-647E7A3F17ED}"/>
    <cellStyle name="Normal 5 6 2 3 4" xfId="10776" xr:uid="{912DD841-7F87-40E3-ABBC-434D665F4F9F}"/>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2CBE201D-E596-4879-A8FB-0C4211455E00}"/>
    <cellStyle name="Normal 5 6 2 4 2 3" xfId="13334" xr:uid="{6B54F4AD-0665-4667-A522-DFF8D99C84E7}"/>
    <cellStyle name="Normal 5 6 2 4 3" xfId="6080" xr:uid="{00000000-0005-0000-0000-0000A91B0000}"/>
    <cellStyle name="Normal 5 6 2 4 3 2" xfId="15406" xr:uid="{8ECE824D-2021-493D-A534-EF8A290D7206}"/>
    <cellStyle name="Normal 5 6 2 4 4" xfId="11189" xr:uid="{071AF9D9-6730-4176-9AA2-4D430C5562BC}"/>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8085DF27-910D-4F40-8A9B-DE63DD5E9A20}"/>
    <cellStyle name="Normal 5 6 2 5 2 3" xfId="13747" xr:uid="{0535A8FD-1FEA-4A28-BDDF-5CBFCFD9FF29}"/>
    <cellStyle name="Normal 5 6 2 5 3" xfId="6493" xr:uid="{00000000-0005-0000-0000-0000AD1B0000}"/>
    <cellStyle name="Normal 5 6 2 5 3 2" xfId="15819" xr:uid="{72DAE188-4BEF-42A8-BE7E-A104B33BF889}"/>
    <cellStyle name="Normal 5 6 2 5 4" xfId="11602" xr:uid="{3A5E4595-B20B-46DE-9ED9-D2735D075606}"/>
    <cellStyle name="Normal 5 6 2 6" xfId="2623" xr:uid="{00000000-0005-0000-0000-0000AE1B0000}"/>
    <cellStyle name="Normal 5 6 2 6 2" xfId="6906" xr:uid="{00000000-0005-0000-0000-0000AF1B0000}"/>
    <cellStyle name="Normal 5 6 2 6 2 2" xfId="16232" xr:uid="{73611B7A-37B1-4655-AB34-F8B4059E56C8}"/>
    <cellStyle name="Normal 5 6 2 6 3" xfId="12015" xr:uid="{1C4D736F-E3BA-4677-BBAF-EF836CD7ADBF}"/>
    <cellStyle name="Normal 5 6 2 7" xfId="4841" xr:uid="{00000000-0005-0000-0000-0000B01B0000}"/>
    <cellStyle name="Normal 5 6 2 7 2" xfId="14167" xr:uid="{4950D0FF-C95D-45B3-B9A5-974AB36B4038}"/>
    <cellStyle name="Normal 5 6 2 8" xfId="9051" xr:uid="{97C72229-9AC1-4DA9-8A0B-8B4B6D970DE8}"/>
    <cellStyle name="Normal 5 6 2 8 2" xfId="18375" xr:uid="{19957266-1DE9-4C7A-B582-12E729986677}"/>
    <cellStyle name="Normal 5 6 2 9" xfId="9950" xr:uid="{CE68008B-60B0-44C8-AE97-0DB4517AEFBB}"/>
    <cellStyle name="Normal 5 6 3" xfId="942" xr:uid="{00000000-0005-0000-0000-0000B11B0000}"/>
    <cellStyle name="Normal 5 6 3 2" xfId="3176" xr:uid="{00000000-0005-0000-0000-0000B21B0000}"/>
    <cellStyle name="Normal 5 6 3 2 2" xfId="7398" xr:uid="{00000000-0005-0000-0000-0000B31B0000}"/>
    <cellStyle name="Normal 5 6 3 2 2 2" xfId="16724" xr:uid="{B793401B-6370-47FD-BBA0-99E556774371}"/>
    <cellStyle name="Normal 5 6 3 2 3" xfId="12507" xr:uid="{AA0DEFE6-C659-4AFE-9744-2DD74B614945}"/>
    <cellStyle name="Normal 5 6 3 3" xfId="5253" xr:uid="{00000000-0005-0000-0000-0000B41B0000}"/>
    <cellStyle name="Normal 5 6 3 3 2" xfId="14579" xr:uid="{BD0153FC-524E-4056-A955-EAD0604C424B}"/>
    <cellStyle name="Normal 5 6 3 4" xfId="9269" xr:uid="{7D6728A0-C210-4F3F-8114-143B9AE0BFB4}"/>
    <cellStyle name="Normal 5 6 3 4 2" xfId="18584" xr:uid="{7A4A0DE2-8117-43EA-81DE-EE69AFC23EE1}"/>
    <cellStyle name="Normal 5 6 3 5" xfId="10362" xr:uid="{880D6C27-CEB5-4F77-8A00-472857B4492C}"/>
    <cellStyle name="Normal 5 6 4" xfId="1359" xr:uid="{00000000-0005-0000-0000-0000B51B0000}"/>
    <cellStyle name="Normal 5 6 4 2" xfId="3589" xr:uid="{00000000-0005-0000-0000-0000B61B0000}"/>
    <cellStyle name="Normal 5 6 4 2 2" xfId="7811" xr:uid="{00000000-0005-0000-0000-0000B71B0000}"/>
    <cellStyle name="Normal 5 6 4 2 2 2" xfId="17137" xr:uid="{1AD67551-3A99-43B8-93A9-23B2BEC0E5D6}"/>
    <cellStyle name="Normal 5 6 4 2 3" xfId="12920" xr:uid="{498C8B5B-9F06-42CD-BD8E-FAC7E5FBA9B5}"/>
    <cellStyle name="Normal 5 6 4 3" xfId="5666" xr:uid="{00000000-0005-0000-0000-0000B81B0000}"/>
    <cellStyle name="Normal 5 6 4 3 2" xfId="14992" xr:uid="{3EA170BC-042B-42CD-A935-5C83DFC39AC2}"/>
    <cellStyle name="Normal 5 6 4 4" xfId="10775" xr:uid="{5B45FD20-4159-4737-B3B8-A0E84724FAEC}"/>
    <cellStyle name="Normal 5 6 5" xfId="1772" xr:uid="{00000000-0005-0000-0000-0000B91B0000}"/>
    <cellStyle name="Normal 5 6 5 2" xfId="4002" xr:uid="{00000000-0005-0000-0000-0000BA1B0000}"/>
    <cellStyle name="Normal 5 6 5 2 2" xfId="8224" xr:uid="{00000000-0005-0000-0000-0000BB1B0000}"/>
    <cellStyle name="Normal 5 6 5 2 2 2" xfId="17550" xr:uid="{2460FE64-AFDF-4E51-874B-E228615A35AB}"/>
    <cellStyle name="Normal 5 6 5 2 3" xfId="13333" xr:uid="{C698373B-B67F-4E5B-8E9E-7E58D76B2712}"/>
    <cellStyle name="Normal 5 6 5 3" xfId="6079" xr:uid="{00000000-0005-0000-0000-0000BC1B0000}"/>
    <cellStyle name="Normal 5 6 5 3 2" xfId="15405" xr:uid="{70DCE0DD-D236-4554-80ED-D68653830D49}"/>
    <cellStyle name="Normal 5 6 5 4" xfId="11188" xr:uid="{02B8CEE3-6A43-44D0-8906-DA5A0D7F9B18}"/>
    <cellStyle name="Normal 5 6 6" xfId="2186" xr:uid="{00000000-0005-0000-0000-0000BD1B0000}"/>
    <cellStyle name="Normal 5 6 6 2" xfId="4415" xr:uid="{00000000-0005-0000-0000-0000BE1B0000}"/>
    <cellStyle name="Normal 5 6 6 2 2" xfId="8637" xr:uid="{00000000-0005-0000-0000-0000BF1B0000}"/>
    <cellStyle name="Normal 5 6 6 2 2 2" xfId="17963" xr:uid="{2F5FB62D-ABA6-4A7B-B55C-B3B5A751381D}"/>
    <cellStyle name="Normal 5 6 6 2 3" xfId="13746" xr:uid="{C3D6459D-7B52-43B6-9AEF-2799668ADE3D}"/>
    <cellStyle name="Normal 5 6 6 3" xfId="6492" xr:uid="{00000000-0005-0000-0000-0000C01B0000}"/>
    <cellStyle name="Normal 5 6 6 3 2" xfId="15818" xr:uid="{60E03EFE-E8D7-4D27-871C-3B1570B50781}"/>
    <cellStyle name="Normal 5 6 6 4" xfId="11601" xr:uid="{DF61B24D-1BB5-4403-B1EA-02B5D5602D8B}"/>
    <cellStyle name="Normal 5 6 7" xfId="2622" xr:uid="{00000000-0005-0000-0000-0000C11B0000}"/>
    <cellStyle name="Normal 5 6 7 2" xfId="6905" xr:uid="{00000000-0005-0000-0000-0000C21B0000}"/>
    <cellStyle name="Normal 5 6 7 2 2" xfId="16231" xr:uid="{F09E796A-368F-4EAC-A50D-673512381950}"/>
    <cellStyle name="Normal 5 6 7 3" xfId="12014" xr:uid="{D6B7E938-7057-44E6-A1D4-E76C28A5D810}"/>
    <cellStyle name="Normal 5 6 8" xfId="4840" xr:uid="{00000000-0005-0000-0000-0000C31B0000}"/>
    <cellStyle name="Normal 5 6 8 2" xfId="14166" xr:uid="{531CDD59-EFDF-4A13-902A-5411E1007B8A}"/>
    <cellStyle name="Normal 5 6 9" xfId="8844" xr:uid="{91B947E4-8FF0-409F-B157-688724766D9F}"/>
    <cellStyle name="Normal 5 6 9 2" xfId="18168" xr:uid="{3C20783E-826D-416B-8337-EF53B3725B1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C0C20020-C840-499F-B86B-4378B6D65B55}"/>
    <cellStyle name="Normal 5 7 2 2 3" xfId="12509" xr:uid="{D7FFBCDC-6E34-40A4-87E0-5D6655311114}"/>
    <cellStyle name="Normal 5 7 2 3" xfId="5255" xr:uid="{00000000-0005-0000-0000-0000C81B0000}"/>
    <cellStyle name="Normal 5 7 2 3 2" xfId="14581" xr:uid="{89AF8C76-F94B-4C29-8375-9736D7CE0DDF}"/>
    <cellStyle name="Normal 5 7 2 4" xfId="9385" xr:uid="{2E4A3B0A-2E42-41AC-9564-09D1598995A2}"/>
    <cellStyle name="Normal 5 7 2 4 2" xfId="18700" xr:uid="{27EBD0A8-0BBC-4440-AAA8-90D99C9407F3}"/>
    <cellStyle name="Normal 5 7 2 5" xfId="10364" xr:uid="{9D4C1F27-4131-4F15-8E79-DE1C53CE1E16}"/>
    <cellStyle name="Normal 5 7 3" xfId="1361" xr:uid="{00000000-0005-0000-0000-0000C91B0000}"/>
    <cellStyle name="Normal 5 7 3 2" xfId="3591" xr:uid="{00000000-0005-0000-0000-0000CA1B0000}"/>
    <cellStyle name="Normal 5 7 3 2 2" xfId="7813" xr:uid="{00000000-0005-0000-0000-0000CB1B0000}"/>
    <cellStyle name="Normal 5 7 3 2 2 2" xfId="17139" xr:uid="{D489DE52-133E-4B2E-B2AA-D1DC34C769B9}"/>
    <cellStyle name="Normal 5 7 3 2 3" xfId="12922" xr:uid="{B87E7DF1-7BF6-4487-ABDA-07B283D1A79D}"/>
    <cellStyle name="Normal 5 7 3 3" xfId="5668" xr:uid="{00000000-0005-0000-0000-0000CC1B0000}"/>
    <cellStyle name="Normal 5 7 3 3 2" xfId="14994" xr:uid="{14F76668-AD80-47AD-A231-DE1C7E3F30C3}"/>
    <cellStyle name="Normal 5 7 3 4" xfId="10777" xr:uid="{E5433958-4A00-4298-9124-FCBCF74B7059}"/>
    <cellStyle name="Normal 5 7 4" xfId="1774" xr:uid="{00000000-0005-0000-0000-0000CD1B0000}"/>
    <cellStyle name="Normal 5 7 4 2" xfId="4004" xr:uid="{00000000-0005-0000-0000-0000CE1B0000}"/>
    <cellStyle name="Normal 5 7 4 2 2" xfId="8226" xr:uid="{00000000-0005-0000-0000-0000CF1B0000}"/>
    <cellStyle name="Normal 5 7 4 2 2 2" xfId="17552" xr:uid="{02944269-6D9F-4116-A24B-5581C5CBE793}"/>
    <cellStyle name="Normal 5 7 4 2 3" xfId="13335" xr:uid="{577F33B8-3658-4213-B5ED-6A31ADA8F234}"/>
    <cellStyle name="Normal 5 7 4 3" xfId="6081" xr:uid="{00000000-0005-0000-0000-0000D01B0000}"/>
    <cellStyle name="Normal 5 7 4 3 2" xfId="15407" xr:uid="{F9C83766-143D-4069-965D-8D728A4A259D}"/>
    <cellStyle name="Normal 5 7 4 4" xfId="11190" xr:uid="{67594313-DDEB-4A00-963D-EAC772248B0B}"/>
    <cellStyle name="Normal 5 7 5" xfId="2188" xr:uid="{00000000-0005-0000-0000-0000D11B0000}"/>
    <cellStyle name="Normal 5 7 5 2" xfId="4417" xr:uid="{00000000-0005-0000-0000-0000D21B0000}"/>
    <cellStyle name="Normal 5 7 5 2 2" xfId="8639" xr:uid="{00000000-0005-0000-0000-0000D31B0000}"/>
    <cellStyle name="Normal 5 7 5 2 2 2" xfId="17965" xr:uid="{6B9462BB-7E2D-4B0A-BB4A-50C6F83C5679}"/>
    <cellStyle name="Normal 5 7 5 2 3" xfId="13748" xr:uid="{FC3FEC7C-6EDC-4E7D-9F4B-A148AFE73790}"/>
    <cellStyle name="Normal 5 7 5 3" xfId="6494" xr:uid="{00000000-0005-0000-0000-0000D41B0000}"/>
    <cellStyle name="Normal 5 7 5 3 2" xfId="15820" xr:uid="{DE378CF5-0264-4216-A817-20596CD691D6}"/>
    <cellStyle name="Normal 5 7 5 4" xfId="11603" xr:uid="{05FA47C2-76A8-43F6-A33E-6877ED10853D}"/>
    <cellStyle name="Normal 5 7 6" xfId="2624" xr:uid="{00000000-0005-0000-0000-0000D51B0000}"/>
    <cellStyle name="Normal 5 7 6 2" xfId="6907" xr:uid="{00000000-0005-0000-0000-0000D61B0000}"/>
    <cellStyle name="Normal 5 7 6 2 2" xfId="16233" xr:uid="{D48812E8-84F2-412B-8158-7DC1748F4EF1}"/>
    <cellStyle name="Normal 5 7 6 3" xfId="12016" xr:uid="{975162BF-BB8C-4B8D-92B2-58429653054D}"/>
    <cellStyle name="Normal 5 7 7" xfId="4842" xr:uid="{00000000-0005-0000-0000-0000D71B0000}"/>
    <cellStyle name="Normal 5 7 7 2" xfId="14168" xr:uid="{C04D3BEE-7321-4DBC-AAEB-57B014DFB647}"/>
    <cellStyle name="Normal 5 7 8" xfId="8960" xr:uid="{F4BEC964-53C9-4393-B7F1-69B47FC1FF25}"/>
    <cellStyle name="Normal 5 7 8 2" xfId="18284" xr:uid="{AC060251-70C2-439D-9D26-BD9774514A21}"/>
    <cellStyle name="Normal 5 7 9" xfId="9951" xr:uid="{4D6CC8DB-AA2A-4290-97B6-748CEEC9022B}"/>
    <cellStyle name="Normal 5 8" xfId="880" xr:uid="{00000000-0005-0000-0000-0000D81B0000}"/>
    <cellStyle name="Normal 5 8 2" xfId="3115" xr:uid="{00000000-0005-0000-0000-0000D91B0000}"/>
    <cellStyle name="Normal 5 8 2 2" xfId="7337" xr:uid="{00000000-0005-0000-0000-0000DA1B0000}"/>
    <cellStyle name="Normal 5 8 2 2 2" xfId="16663" xr:uid="{7EB4CA29-48B9-4960-A7C5-593D595BF53E}"/>
    <cellStyle name="Normal 5 8 2 3" xfId="12446" xr:uid="{DE01ABB3-E42B-4BA5-A4B6-706E2BBAD6FC}"/>
    <cellStyle name="Normal 5 8 3" xfId="5192" xr:uid="{00000000-0005-0000-0000-0000DB1B0000}"/>
    <cellStyle name="Normal 5 8 3 2" xfId="14518" xr:uid="{3F734E93-E03E-478D-B304-74D5EB8031A4}"/>
    <cellStyle name="Normal 5 8 4" xfId="9163" xr:uid="{44C7CAD4-DD7C-48E0-9142-8ED22123C662}"/>
    <cellStyle name="Normal 5 8 4 2" xfId="18481" xr:uid="{4B09EAE3-8BA3-4B34-8CAE-8B9B9AC8F883}"/>
    <cellStyle name="Normal 5 8 5" xfId="10301" xr:uid="{2FDEB6C6-B75D-4CE4-938E-E3F3AB08D1E9}"/>
    <cellStyle name="Normal 5 9" xfId="1298" xr:uid="{00000000-0005-0000-0000-0000DC1B0000}"/>
    <cellStyle name="Normal 5 9 2" xfId="3528" xr:uid="{00000000-0005-0000-0000-0000DD1B0000}"/>
    <cellStyle name="Normal 5 9 2 2" xfId="7750" xr:uid="{00000000-0005-0000-0000-0000DE1B0000}"/>
    <cellStyle name="Normal 5 9 2 2 2" xfId="17076" xr:uid="{1FE00C08-8A66-47D5-B6FE-C6907BF446F5}"/>
    <cellStyle name="Normal 5 9 2 3" xfId="12859" xr:uid="{9CD0DE53-4997-4EA6-B1B5-3A7A203C54F8}"/>
    <cellStyle name="Normal 5 9 3" xfId="5605" xr:uid="{00000000-0005-0000-0000-0000DF1B0000}"/>
    <cellStyle name="Normal 5 9 3 2" xfId="14931" xr:uid="{3ED614BA-08C9-4439-BD8E-5C41A0E7F3D6}"/>
    <cellStyle name="Normal 5 9 4" xfId="10714" xr:uid="{859D155C-C145-4252-8FE6-C07080C60382}"/>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38F52A0A-5A9A-4798-874E-D509722649B5}"/>
    <cellStyle name="Normal 8 10 2 3" xfId="13749" xr:uid="{E44EEED6-4113-43F8-9C1E-9E6769085469}"/>
    <cellStyle name="Normal 8 10 3" xfId="6495" xr:uid="{00000000-0005-0000-0000-0000EB1B0000}"/>
    <cellStyle name="Normal 8 10 3 2" xfId="15821" xr:uid="{4468A454-BBE2-4910-97BA-1C2DA117F76B}"/>
    <cellStyle name="Normal 8 10 4" xfId="11604" xr:uid="{C977BB03-C5C3-4DD5-A2A0-FD3A26736765}"/>
    <cellStyle name="Normal 8 11" xfId="2625" xr:uid="{00000000-0005-0000-0000-0000EC1B0000}"/>
    <cellStyle name="Normal 8 11 2" xfId="6908" xr:uid="{00000000-0005-0000-0000-0000ED1B0000}"/>
    <cellStyle name="Normal 8 11 2 2" xfId="16234" xr:uid="{6C50F29F-4123-43CF-8014-FE72669541C0}"/>
    <cellStyle name="Normal 8 11 3" xfId="12017" xr:uid="{F21CEEE4-3C94-4930-8DB9-DAAE70CD2608}"/>
    <cellStyle name="Normal 8 12" xfId="4843" xr:uid="{00000000-0005-0000-0000-0000EE1B0000}"/>
    <cellStyle name="Normal 8 12 2" xfId="14169" xr:uid="{8C1818BD-71CB-44CE-A6C9-B23CCA9167AD}"/>
    <cellStyle name="Normal 8 13" xfId="8742" xr:uid="{AF36CBBC-3EEB-4AC8-923B-65C7C2418AB0}"/>
    <cellStyle name="Normal 8 13 2" xfId="18066" xr:uid="{49DA16DF-8E30-4658-8547-75855A7714DD}"/>
    <cellStyle name="Normal 8 14" xfId="9952" xr:uid="{0EA7EC19-426B-4258-85BE-4337A2E0BFC5}"/>
    <cellStyle name="Normal 8 2" xfId="479" xr:uid="{00000000-0005-0000-0000-0000EF1B0000}"/>
    <cellStyle name="Normal 8 2 10" xfId="2626" xr:uid="{00000000-0005-0000-0000-0000F01B0000}"/>
    <cellStyle name="Normal 8 2 10 2" xfId="6909" xr:uid="{00000000-0005-0000-0000-0000F11B0000}"/>
    <cellStyle name="Normal 8 2 10 2 2" xfId="16235" xr:uid="{4FE155BA-7D13-4F8B-8F9E-2C39DE64FCB7}"/>
    <cellStyle name="Normal 8 2 10 3" xfId="12018" xr:uid="{E254BDFB-7B53-479E-8E06-F5CD299EC393}"/>
    <cellStyle name="Normal 8 2 11" xfId="4844" xr:uid="{00000000-0005-0000-0000-0000F21B0000}"/>
    <cellStyle name="Normal 8 2 11 2" xfId="14170" xr:uid="{F6CE4B34-FAFA-48E4-8D2E-E4F4F6A95A88}"/>
    <cellStyle name="Normal 8 2 12" xfId="8751" xr:uid="{476D0553-3387-4D9F-B05B-56EC7A36F7A1}"/>
    <cellStyle name="Normal 8 2 12 2" xfId="18075" xr:uid="{41C5097C-98A6-4585-8EA1-0FA99DA2D69B}"/>
    <cellStyle name="Normal 8 2 13" xfId="9953" xr:uid="{5D59B0E8-ED39-4D1E-8859-FC31045DECA6}"/>
    <cellStyle name="Normal 8 2 2" xfId="480" xr:uid="{00000000-0005-0000-0000-0000F31B0000}"/>
    <cellStyle name="Normal 8 2 2 10" xfId="4845" xr:uid="{00000000-0005-0000-0000-0000F41B0000}"/>
    <cellStyle name="Normal 8 2 2 10 2" xfId="14171" xr:uid="{1E763212-3299-4864-8A4A-D46F38F7CD1B}"/>
    <cellStyle name="Normal 8 2 2 11" xfId="8783" xr:uid="{3C426022-C415-47DA-A8EF-1D6CE72527BD}"/>
    <cellStyle name="Normal 8 2 2 11 2" xfId="18107" xr:uid="{A2C6A9BA-2F01-4DCE-8707-6CE16EA3044E}"/>
    <cellStyle name="Normal 8 2 2 12" xfId="9954" xr:uid="{CD0B19B8-D0CE-4158-B2F4-7B1BA5632FDD}"/>
    <cellStyle name="Normal 8 2 2 2" xfId="481" xr:uid="{00000000-0005-0000-0000-0000F51B0000}"/>
    <cellStyle name="Normal 8 2 2 2 10" xfId="8836" xr:uid="{870E50AF-610D-4E0C-BDE0-389D6B32A0FA}"/>
    <cellStyle name="Normal 8 2 2 2 10 2" xfId="18160" xr:uid="{50006B0F-EB92-4B24-8AA4-5003DAE7B4DF}"/>
    <cellStyle name="Normal 8 2 2 2 11" xfId="9955" xr:uid="{D2B53D9A-DBE5-448A-AEA0-DA52AD7F9314}"/>
    <cellStyle name="Normal 8 2 2 2 2" xfId="482" xr:uid="{00000000-0005-0000-0000-0000F61B0000}"/>
    <cellStyle name="Normal 8 2 2 2 2 10" xfId="9956" xr:uid="{FC6FC796-C68F-4D44-8855-CA9C07E91F26}"/>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B3E3FEA8-CCE9-442D-8725-4EBCF23360DC}"/>
    <cellStyle name="Normal 8 2 2 2 2 2 2 2 3" xfId="12515" xr:uid="{19AA0606-D5CE-4F30-AE14-DBA2AE9A6E00}"/>
    <cellStyle name="Normal 8 2 2 2 2 2 2 3" xfId="5261" xr:uid="{00000000-0005-0000-0000-0000FB1B0000}"/>
    <cellStyle name="Normal 8 2 2 2 2 2 2 3 2" xfId="14587" xr:uid="{C2E30EEE-0025-46E1-9910-1E209F4120B3}"/>
    <cellStyle name="Normal 8 2 2 2 2 2 2 4" xfId="9571" xr:uid="{B467C179-FE08-45F9-B1E6-E66379D80EBC}"/>
    <cellStyle name="Normal 8 2 2 2 2 2 2 4 2" xfId="18886" xr:uid="{60073933-FBC9-48BB-AB2D-8B5A49B6A5C6}"/>
    <cellStyle name="Normal 8 2 2 2 2 2 2 5" xfId="10370" xr:uid="{3CF9082B-361A-4867-AD45-0D8E283D204A}"/>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10D0BFE2-662F-4459-AD29-E9E552181931}"/>
    <cellStyle name="Normal 8 2 2 2 2 2 3 2 3" xfId="12928" xr:uid="{7C274A4B-D147-48CD-BA8B-6413D9188A01}"/>
    <cellStyle name="Normal 8 2 2 2 2 2 3 3" xfId="5674" xr:uid="{00000000-0005-0000-0000-0000FF1B0000}"/>
    <cellStyle name="Normal 8 2 2 2 2 2 3 3 2" xfId="15000" xr:uid="{D780FC73-4223-4E67-9D4D-A5822366A0C4}"/>
    <cellStyle name="Normal 8 2 2 2 2 2 3 4" xfId="10783" xr:uid="{778E39CB-5FB2-4BEC-8C97-378860B63FC6}"/>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29A8BE67-DB6E-4CDE-85E0-EDD592A14439}"/>
    <cellStyle name="Normal 8 2 2 2 2 2 4 2 3" xfId="13341" xr:uid="{A7C08468-ABB6-4D05-92DC-12ACC9883C2E}"/>
    <cellStyle name="Normal 8 2 2 2 2 2 4 3" xfId="6087" xr:uid="{00000000-0005-0000-0000-0000031C0000}"/>
    <cellStyle name="Normal 8 2 2 2 2 2 4 3 2" xfId="15413" xr:uid="{E5C718D4-1C27-4666-A69E-0F538DD27D75}"/>
    <cellStyle name="Normal 8 2 2 2 2 2 4 4" xfId="11196" xr:uid="{A324713F-CFD5-42E8-8A38-2DB3010F2783}"/>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D6BFC0F5-DEE1-4286-917D-34574F50E68C}"/>
    <cellStyle name="Normal 8 2 2 2 2 2 5 2 3" xfId="13754" xr:uid="{F540CCE0-BD33-4395-946C-F531A1ECE19B}"/>
    <cellStyle name="Normal 8 2 2 2 2 2 5 3" xfId="6500" xr:uid="{00000000-0005-0000-0000-0000071C0000}"/>
    <cellStyle name="Normal 8 2 2 2 2 2 5 3 2" xfId="15826" xr:uid="{9CAE6B5C-337F-4FB1-A29C-6D80EF974B35}"/>
    <cellStyle name="Normal 8 2 2 2 2 2 5 4" xfId="11609" xr:uid="{34DA2300-F4AC-4F27-897E-32E92ECBE4D9}"/>
    <cellStyle name="Normal 8 2 2 2 2 2 6" xfId="2630" xr:uid="{00000000-0005-0000-0000-0000081C0000}"/>
    <cellStyle name="Normal 8 2 2 2 2 2 6 2" xfId="6913" xr:uid="{00000000-0005-0000-0000-0000091C0000}"/>
    <cellStyle name="Normal 8 2 2 2 2 2 6 2 2" xfId="16239" xr:uid="{F9BA6F81-61B5-4933-8CF0-213B8D0EA964}"/>
    <cellStyle name="Normal 8 2 2 2 2 2 6 3" xfId="12022" xr:uid="{E99DD6E5-E504-4733-B1C3-35712CBD3A92}"/>
    <cellStyle name="Normal 8 2 2 2 2 2 7" xfId="4848" xr:uid="{00000000-0005-0000-0000-00000A1C0000}"/>
    <cellStyle name="Normal 8 2 2 2 2 2 7 2" xfId="14174" xr:uid="{A28D3A9C-0578-491A-B29E-237DB5E022C3}"/>
    <cellStyle name="Normal 8 2 2 2 2 2 8" xfId="9146" xr:uid="{0E570703-055D-406D-8BD9-575AF6037A75}"/>
    <cellStyle name="Normal 8 2 2 2 2 2 8 2" xfId="18470" xr:uid="{B206624C-C2BF-421F-B239-DAA6ABBDD3B9}"/>
    <cellStyle name="Normal 8 2 2 2 2 2 9" xfId="9957" xr:uid="{211E3F86-F64D-4F90-9585-704D58339AAD}"/>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21AA236E-F111-4F52-9674-3758DDF322D5}"/>
    <cellStyle name="Normal 8 2 2 2 2 3 2 3" xfId="12514" xr:uid="{3686EFB1-912E-4586-84EC-3F5D69260246}"/>
    <cellStyle name="Normal 8 2 2 2 2 3 3" xfId="5260" xr:uid="{00000000-0005-0000-0000-00000E1C0000}"/>
    <cellStyle name="Normal 8 2 2 2 2 3 3 2" xfId="14586" xr:uid="{B3324F82-4867-457A-9B91-20B1EFA31AC5}"/>
    <cellStyle name="Normal 8 2 2 2 2 3 4" xfId="9364" xr:uid="{21426B7C-FC96-483C-B560-AC4767107497}"/>
    <cellStyle name="Normal 8 2 2 2 2 3 4 2" xfId="18679" xr:uid="{4B2440B0-1E94-411D-B596-73851457A3E1}"/>
    <cellStyle name="Normal 8 2 2 2 2 3 5" xfId="10369" xr:uid="{782088E5-FC80-4639-A44D-ACE1EDBC33F3}"/>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2BCCA8DB-68F5-477A-92C1-724A42D9002F}"/>
    <cellStyle name="Normal 8 2 2 2 2 4 2 3" xfId="12927" xr:uid="{C03E1402-F1F2-42E7-8B9F-AA4A47FD0B5C}"/>
    <cellStyle name="Normal 8 2 2 2 2 4 3" xfId="5673" xr:uid="{00000000-0005-0000-0000-0000121C0000}"/>
    <cellStyle name="Normal 8 2 2 2 2 4 3 2" xfId="14999" xr:uid="{2D017906-8611-4519-A1E4-563E93C43B05}"/>
    <cellStyle name="Normal 8 2 2 2 2 4 4" xfId="10782" xr:uid="{1B58A412-BA5C-41F3-8DDF-778826D5362F}"/>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29F79CFD-C2E6-41FC-87DF-8463AFC4AAAF}"/>
    <cellStyle name="Normal 8 2 2 2 2 5 2 3" xfId="13340" xr:uid="{455A2463-E2EB-474B-9DAC-F3A73EE4DB6D}"/>
    <cellStyle name="Normal 8 2 2 2 2 5 3" xfId="6086" xr:uid="{00000000-0005-0000-0000-0000161C0000}"/>
    <cellStyle name="Normal 8 2 2 2 2 5 3 2" xfId="15412" xr:uid="{607F34EA-66C3-44FB-892B-4FAFB525DAAB}"/>
    <cellStyle name="Normal 8 2 2 2 2 5 4" xfId="11195" xr:uid="{CF39C7B2-745F-46AC-B807-740F4C6A47B8}"/>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6453D7BC-8E23-4FCA-9851-14611363829E}"/>
    <cellStyle name="Normal 8 2 2 2 2 6 2 3" xfId="13753" xr:uid="{AF2B562A-6453-402D-8358-500A75086E3A}"/>
    <cellStyle name="Normal 8 2 2 2 2 6 3" xfId="6499" xr:uid="{00000000-0005-0000-0000-00001A1C0000}"/>
    <cellStyle name="Normal 8 2 2 2 2 6 3 2" xfId="15825" xr:uid="{6A44C655-81F0-409C-A3E0-87A4F1681200}"/>
    <cellStyle name="Normal 8 2 2 2 2 6 4" xfId="11608" xr:uid="{9D6D24F1-B211-4535-813F-8AAAA9783EE9}"/>
    <cellStyle name="Normal 8 2 2 2 2 7" xfId="2629" xr:uid="{00000000-0005-0000-0000-00001B1C0000}"/>
    <cellStyle name="Normal 8 2 2 2 2 7 2" xfId="6912" xr:uid="{00000000-0005-0000-0000-00001C1C0000}"/>
    <cellStyle name="Normal 8 2 2 2 2 7 2 2" xfId="16238" xr:uid="{CD2501E1-4C2A-4271-863F-F8B8EE4BA5E7}"/>
    <cellStyle name="Normal 8 2 2 2 2 7 3" xfId="12021" xr:uid="{6C758F9F-0E90-49C5-9A00-A90E6AC9436F}"/>
    <cellStyle name="Normal 8 2 2 2 2 8" xfId="4847" xr:uid="{00000000-0005-0000-0000-00001D1C0000}"/>
    <cellStyle name="Normal 8 2 2 2 2 8 2" xfId="14173" xr:uid="{81C96912-2F8F-4824-A25A-A29DE8B4B76A}"/>
    <cellStyle name="Normal 8 2 2 2 2 9" xfId="8939" xr:uid="{385BAC75-25D1-414A-8E33-9B6DCCA130DE}"/>
    <cellStyle name="Normal 8 2 2 2 2 9 2" xfId="18263" xr:uid="{4CB63DEF-3786-46CB-97B0-9E445D04EACB}"/>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D72154CA-4A84-4032-91E7-9E9ABEDDAADD}"/>
    <cellStyle name="Normal 8 2 2 2 3 2 2 3" xfId="12516" xr:uid="{6C882E21-5BB7-4CB4-931B-0EDCC5249AC8}"/>
    <cellStyle name="Normal 8 2 2 2 3 2 3" xfId="5262" xr:uid="{00000000-0005-0000-0000-0000221C0000}"/>
    <cellStyle name="Normal 8 2 2 2 3 2 3 2" xfId="14588" xr:uid="{4F79881C-7389-4D67-9519-3FE93FBCBEB4}"/>
    <cellStyle name="Normal 8 2 2 2 3 2 4" xfId="9468" xr:uid="{8CC4AD0E-72B4-4935-8967-B171D7B5EF8D}"/>
    <cellStyle name="Normal 8 2 2 2 3 2 4 2" xfId="18783" xr:uid="{5DE9E575-CF0E-4DFD-8D2F-9F14BF67C103}"/>
    <cellStyle name="Normal 8 2 2 2 3 2 5" xfId="10371" xr:uid="{6E239FE3-32CE-4FD4-AA26-18583CE53CB7}"/>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70872DF7-06CA-4255-B227-1FB5CCBAF5D8}"/>
    <cellStyle name="Normal 8 2 2 2 3 3 2 3" xfId="12929" xr:uid="{3FDA4B2D-09BA-4896-B813-34CF43343B4E}"/>
    <cellStyle name="Normal 8 2 2 2 3 3 3" xfId="5675" xr:uid="{00000000-0005-0000-0000-0000261C0000}"/>
    <cellStyle name="Normal 8 2 2 2 3 3 3 2" xfId="15001" xr:uid="{2462B77A-BCBB-4965-B99D-4A0A649E88EC}"/>
    <cellStyle name="Normal 8 2 2 2 3 3 4" xfId="10784" xr:uid="{FA919016-A665-48A7-A02D-D60D6DD16BCA}"/>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B706757C-5871-4F9A-BF83-B7C786BCFFDF}"/>
    <cellStyle name="Normal 8 2 2 2 3 4 2 3" xfId="13342" xr:uid="{4889602D-7DBA-4179-A357-4E3F1C86A416}"/>
    <cellStyle name="Normal 8 2 2 2 3 4 3" xfId="6088" xr:uid="{00000000-0005-0000-0000-00002A1C0000}"/>
    <cellStyle name="Normal 8 2 2 2 3 4 3 2" xfId="15414" xr:uid="{55D063AF-30C8-4DCB-A358-BE30E21EC3EA}"/>
    <cellStyle name="Normal 8 2 2 2 3 4 4" xfId="11197" xr:uid="{C3FE57B4-44D4-4EBB-A9DD-28B722C7F876}"/>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D2711A54-134A-4049-B680-B629A9D41356}"/>
    <cellStyle name="Normal 8 2 2 2 3 5 2 3" xfId="13755" xr:uid="{9210D7CD-5124-4CCE-A8EE-B410C9B7A3C0}"/>
    <cellStyle name="Normal 8 2 2 2 3 5 3" xfId="6501" xr:uid="{00000000-0005-0000-0000-00002E1C0000}"/>
    <cellStyle name="Normal 8 2 2 2 3 5 3 2" xfId="15827" xr:uid="{A17533E0-0C5A-4BA9-9FFC-9ECFDB514F0F}"/>
    <cellStyle name="Normal 8 2 2 2 3 5 4" xfId="11610" xr:uid="{034CD960-E873-4032-B6EB-1E62D7B7402E}"/>
    <cellStyle name="Normal 8 2 2 2 3 6" xfId="2631" xr:uid="{00000000-0005-0000-0000-00002F1C0000}"/>
    <cellStyle name="Normal 8 2 2 2 3 6 2" xfId="6914" xr:uid="{00000000-0005-0000-0000-0000301C0000}"/>
    <cellStyle name="Normal 8 2 2 2 3 6 2 2" xfId="16240" xr:uid="{52FEA09C-0B7C-4F05-92D8-8D62D89E0550}"/>
    <cellStyle name="Normal 8 2 2 2 3 6 3" xfId="12023" xr:uid="{C466F40B-436B-420B-BAA5-1F81F29245C9}"/>
    <cellStyle name="Normal 8 2 2 2 3 7" xfId="4849" xr:uid="{00000000-0005-0000-0000-0000311C0000}"/>
    <cellStyle name="Normal 8 2 2 2 3 7 2" xfId="14175" xr:uid="{29D0DA47-60F7-4D33-8E4F-E47CA71F7124}"/>
    <cellStyle name="Normal 8 2 2 2 3 8" xfId="9043" xr:uid="{BAC463DF-40A7-4F07-ADD3-7274E57F505C}"/>
    <cellStyle name="Normal 8 2 2 2 3 8 2" xfId="18367" xr:uid="{CBABECBB-B268-4CD4-8F9B-7DFD36981D41}"/>
    <cellStyle name="Normal 8 2 2 2 3 9" xfId="9958" xr:uid="{3D62B7C0-55D4-4705-A792-7E109CF3EAD6}"/>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F6A8D8B8-81D0-4094-9876-65864A860840}"/>
    <cellStyle name="Normal 8 2 2 2 4 2 3" xfId="12513" xr:uid="{857EF43F-6C01-4F89-8582-C91139A6B240}"/>
    <cellStyle name="Normal 8 2 2 2 4 3" xfId="5259" xr:uid="{00000000-0005-0000-0000-0000351C0000}"/>
    <cellStyle name="Normal 8 2 2 2 4 3 2" xfId="14585" xr:uid="{D001977C-73B7-4216-A72D-41944EE50751}"/>
    <cellStyle name="Normal 8 2 2 2 4 4" xfId="9261" xr:uid="{70C29865-A6DE-4682-9EB1-83E4E07FD0A7}"/>
    <cellStyle name="Normal 8 2 2 2 4 4 2" xfId="18576" xr:uid="{BE5BD75A-1292-4AFD-99D4-AE26A34EC1E2}"/>
    <cellStyle name="Normal 8 2 2 2 4 5" xfId="10368" xr:uid="{B8A4A91A-8DAF-48F1-8781-65D3F44F3CFA}"/>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33D8268F-6C2B-4428-9279-CFDE81530D9D}"/>
    <cellStyle name="Normal 8 2 2 2 5 2 3" xfId="12926" xr:uid="{9418B0F5-F285-4035-8425-395E2AFBF216}"/>
    <cellStyle name="Normal 8 2 2 2 5 3" xfId="5672" xr:uid="{00000000-0005-0000-0000-0000391C0000}"/>
    <cellStyle name="Normal 8 2 2 2 5 3 2" xfId="14998" xr:uid="{5A320446-5B1F-450D-89E7-44FAE08709B4}"/>
    <cellStyle name="Normal 8 2 2 2 5 4" xfId="10781" xr:uid="{A696B41A-5926-46DA-81BE-20CF49AAECB0}"/>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3CF71CFC-A017-4008-84D6-F6680788BA7C}"/>
    <cellStyle name="Normal 8 2 2 2 6 2 3" xfId="13339" xr:uid="{01154FDA-9100-4B90-A3D8-5E26B16BC498}"/>
    <cellStyle name="Normal 8 2 2 2 6 3" xfId="6085" xr:uid="{00000000-0005-0000-0000-00003D1C0000}"/>
    <cellStyle name="Normal 8 2 2 2 6 3 2" xfId="15411" xr:uid="{F299F466-18ED-4809-9411-5807FE3842D3}"/>
    <cellStyle name="Normal 8 2 2 2 6 4" xfId="11194" xr:uid="{F44CC229-1DBB-4166-992B-00F2B5F987E0}"/>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DC6BB96A-1566-485A-A862-18F1722E5BF0}"/>
    <cellStyle name="Normal 8 2 2 2 7 2 3" xfId="13752" xr:uid="{8EFBF382-79A2-4632-BF92-FE9556116393}"/>
    <cellStyle name="Normal 8 2 2 2 7 3" xfId="6498" xr:uid="{00000000-0005-0000-0000-0000411C0000}"/>
    <cellStyle name="Normal 8 2 2 2 7 3 2" xfId="15824" xr:uid="{25EBA595-7BB3-490A-B8D8-C94FBC501099}"/>
    <cellStyle name="Normal 8 2 2 2 7 4" xfId="11607" xr:uid="{4A9EE0A7-A187-4588-A32C-2398B8483D82}"/>
    <cellStyle name="Normal 8 2 2 2 8" xfId="2628" xr:uid="{00000000-0005-0000-0000-0000421C0000}"/>
    <cellStyle name="Normal 8 2 2 2 8 2" xfId="6911" xr:uid="{00000000-0005-0000-0000-0000431C0000}"/>
    <cellStyle name="Normal 8 2 2 2 8 2 2" xfId="16237" xr:uid="{5083071B-014A-43F7-AA76-C25C4C88E790}"/>
    <cellStyle name="Normal 8 2 2 2 8 3" xfId="12020" xr:uid="{F6A21F26-0F8C-470E-BDCF-CAFB5EDC69D4}"/>
    <cellStyle name="Normal 8 2 2 2 9" xfId="4846" xr:uid="{00000000-0005-0000-0000-0000441C0000}"/>
    <cellStyle name="Normal 8 2 2 2 9 2" xfId="14172" xr:uid="{CBEFD086-0BC5-46E5-8297-241D14DB94F9}"/>
    <cellStyle name="Normal 8 2 2 3" xfId="485" xr:uid="{00000000-0005-0000-0000-0000451C0000}"/>
    <cellStyle name="Normal 8 2 2 3 10" xfId="9959" xr:uid="{D0A9F1D7-0287-49B5-8D39-2B9E063F0224}"/>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BA6B550A-96B1-4892-9AB0-E70C08C40717}"/>
    <cellStyle name="Normal 8 2 2 3 2 2 2 3" xfId="12518" xr:uid="{6BE1C073-A537-4187-8422-E61F82063AEC}"/>
    <cellStyle name="Normal 8 2 2 3 2 2 3" xfId="5264" xr:uid="{00000000-0005-0000-0000-00004A1C0000}"/>
    <cellStyle name="Normal 8 2 2 3 2 2 3 2" xfId="14590" xr:uid="{FBE2D4FA-048A-49D8-88B5-7E4A024DBB5D}"/>
    <cellStyle name="Normal 8 2 2 3 2 2 4" xfId="9518" xr:uid="{FDE93D5E-A6D1-456B-8726-FC2AB8FD16A4}"/>
    <cellStyle name="Normal 8 2 2 3 2 2 4 2" xfId="18833" xr:uid="{A1E47EF2-1445-41D3-A888-A8E0F4CFB7D5}"/>
    <cellStyle name="Normal 8 2 2 3 2 2 5" xfId="10373" xr:uid="{507BD885-1B51-4A6F-AFAF-879625E3DF35}"/>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436DCEC2-F400-40FB-957A-044EC43AECE0}"/>
    <cellStyle name="Normal 8 2 2 3 2 3 2 3" xfId="12931" xr:uid="{A1101CB5-F6B4-4669-9AE2-C88EE30EBFC1}"/>
    <cellStyle name="Normal 8 2 2 3 2 3 3" xfId="5677" xr:uid="{00000000-0005-0000-0000-00004E1C0000}"/>
    <cellStyle name="Normal 8 2 2 3 2 3 3 2" xfId="15003" xr:uid="{542D8E0B-EE38-4C2E-ADB7-46FEECF48093}"/>
    <cellStyle name="Normal 8 2 2 3 2 3 4" xfId="10786" xr:uid="{943FE210-1516-4C43-BA9E-9803D1B2483D}"/>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215A6512-0243-4744-84E1-2A665396B4B6}"/>
    <cellStyle name="Normal 8 2 2 3 2 4 2 3" xfId="13344" xr:uid="{C074251D-0C59-4659-BEFB-F7FB03A8FE1F}"/>
    <cellStyle name="Normal 8 2 2 3 2 4 3" xfId="6090" xr:uid="{00000000-0005-0000-0000-0000521C0000}"/>
    <cellStyle name="Normal 8 2 2 3 2 4 3 2" xfId="15416" xr:uid="{CCF1D100-AF41-4EEA-8D2D-16A9A04A6DA8}"/>
    <cellStyle name="Normal 8 2 2 3 2 4 4" xfId="11199" xr:uid="{BCE700C2-64A1-4C46-9331-8BBBE58F59E2}"/>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CC9EDC38-B30F-4EBB-9CBB-F5D30E1F8E6F}"/>
    <cellStyle name="Normal 8 2 2 3 2 5 2 3" xfId="13757" xr:uid="{40F9DA17-CCF9-4E16-9761-DE3231C22896}"/>
    <cellStyle name="Normal 8 2 2 3 2 5 3" xfId="6503" xr:uid="{00000000-0005-0000-0000-0000561C0000}"/>
    <cellStyle name="Normal 8 2 2 3 2 5 3 2" xfId="15829" xr:uid="{3E099BA0-30DA-4016-BD55-1D4AC424D4B8}"/>
    <cellStyle name="Normal 8 2 2 3 2 5 4" xfId="11612" xr:uid="{39957971-13D4-4C27-B026-F69B7284812B}"/>
    <cellStyle name="Normal 8 2 2 3 2 6" xfId="2633" xr:uid="{00000000-0005-0000-0000-0000571C0000}"/>
    <cellStyle name="Normal 8 2 2 3 2 6 2" xfId="6916" xr:uid="{00000000-0005-0000-0000-0000581C0000}"/>
    <cellStyle name="Normal 8 2 2 3 2 6 2 2" xfId="16242" xr:uid="{336CCF69-6C39-4DF4-8B4F-0BC5924DC282}"/>
    <cellStyle name="Normal 8 2 2 3 2 6 3" xfId="12025" xr:uid="{83988B2A-DC04-423C-94A6-FCD8DD976A73}"/>
    <cellStyle name="Normal 8 2 2 3 2 7" xfId="4851" xr:uid="{00000000-0005-0000-0000-0000591C0000}"/>
    <cellStyle name="Normal 8 2 2 3 2 7 2" xfId="14177" xr:uid="{934540CF-DE91-448F-B31D-75C1C1AAD508}"/>
    <cellStyle name="Normal 8 2 2 3 2 8" xfId="9093" xr:uid="{ADE34C72-BCCB-477C-B66A-BE7159CEB281}"/>
    <cellStyle name="Normal 8 2 2 3 2 8 2" xfId="18417" xr:uid="{4C822FE4-1973-44E9-8CB2-5C4D0084BC02}"/>
    <cellStyle name="Normal 8 2 2 3 2 9" xfId="9960" xr:uid="{EA8908A8-25BB-44DE-8916-9699D52919ED}"/>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6A1232EC-5415-44B9-9F1B-751747556844}"/>
    <cellStyle name="Normal 8 2 2 3 3 2 3" xfId="12517" xr:uid="{AC6C6935-32DA-45B9-9160-541646F0513C}"/>
    <cellStyle name="Normal 8 2 2 3 3 3" xfId="5263" xr:uid="{00000000-0005-0000-0000-00005D1C0000}"/>
    <cellStyle name="Normal 8 2 2 3 3 3 2" xfId="14589" xr:uid="{77DEF1B7-CF58-40E7-8F6F-37ECC3CFF8DD}"/>
    <cellStyle name="Normal 8 2 2 3 3 4" xfId="9311" xr:uid="{F4618F1E-1235-4269-B5C6-B09BE5034F6C}"/>
    <cellStyle name="Normal 8 2 2 3 3 4 2" xfId="18626" xr:uid="{DD4F5817-8357-4814-B854-E3DB44284AD2}"/>
    <cellStyle name="Normal 8 2 2 3 3 5" xfId="10372" xr:uid="{6C347962-88E9-493E-B1C3-8219736E3A21}"/>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26CED700-84D9-4588-BF31-4E292FB5C61A}"/>
    <cellStyle name="Normal 8 2 2 3 4 2 3" xfId="12930" xr:uid="{2A363A51-6A0E-40E7-9FB4-97B85060E919}"/>
    <cellStyle name="Normal 8 2 2 3 4 3" xfId="5676" xr:uid="{00000000-0005-0000-0000-0000611C0000}"/>
    <cellStyle name="Normal 8 2 2 3 4 3 2" xfId="15002" xr:uid="{B8362FA6-48C0-4FB7-9CC8-DD1115F0507B}"/>
    <cellStyle name="Normal 8 2 2 3 4 4" xfId="10785" xr:uid="{2B4393FA-03A9-4069-A6CE-FA68AFD4826A}"/>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CF195E52-46DE-47F3-9D75-0BD8659E30F1}"/>
    <cellStyle name="Normal 8 2 2 3 5 2 3" xfId="13343" xr:uid="{457DA3CD-CDB6-4CAF-ACCF-9B07A0B3545E}"/>
    <cellStyle name="Normal 8 2 2 3 5 3" xfId="6089" xr:uid="{00000000-0005-0000-0000-0000651C0000}"/>
    <cellStyle name="Normal 8 2 2 3 5 3 2" xfId="15415" xr:uid="{B5C25280-A5D5-4524-92B5-F3C56BFB6438}"/>
    <cellStyle name="Normal 8 2 2 3 5 4" xfId="11198" xr:uid="{DE9DB81E-F22D-4886-B573-F5EB83C1DF57}"/>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1808D5C9-01BA-4518-BDA4-08F13DEA5C58}"/>
    <cellStyle name="Normal 8 2 2 3 6 2 3" xfId="13756" xr:uid="{D8502B97-F7AC-4926-A55F-D1E7758B4807}"/>
    <cellStyle name="Normal 8 2 2 3 6 3" xfId="6502" xr:uid="{00000000-0005-0000-0000-0000691C0000}"/>
    <cellStyle name="Normal 8 2 2 3 6 3 2" xfId="15828" xr:uid="{04558279-5AE2-43BD-9F6A-716FE208CA3B}"/>
    <cellStyle name="Normal 8 2 2 3 6 4" xfId="11611" xr:uid="{4BE67E0D-C5E5-492F-91F7-564ADF21D8A3}"/>
    <cellStyle name="Normal 8 2 2 3 7" xfId="2632" xr:uid="{00000000-0005-0000-0000-00006A1C0000}"/>
    <cellStyle name="Normal 8 2 2 3 7 2" xfId="6915" xr:uid="{00000000-0005-0000-0000-00006B1C0000}"/>
    <cellStyle name="Normal 8 2 2 3 7 2 2" xfId="16241" xr:uid="{EA2D61C1-A357-42E2-B43A-ACD8C8D3C2D8}"/>
    <cellStyle name="Normal 8 2 2 3 7 3" xfId="12024" xr:uid="{53A10164-7594-405A-A263-0936952C94D0}"/>
    <cellStyle name="Normal 8 2 2 3 8" xfId="4850" xr:uid="{00000000-0005-0000-0000-00006C1C0000}"/>
    <cellStyle name="Normal 8 2 2 3 8 2" xfId="14176" xr:uid="{BA12CB0E-26DF-4C7B-A978-919E8E3D7A49}"/>
    <cellStyle name="Normal 8 2 2 3 9" xfId="8886" xr:uid="{B2A45ACA-2377-4A40-A818-E7106AD46E30}"/>
    <cellStyle name="Normal 8 2 2 3 9 2" xfId="18210" xr:uid="{24189DC1-DB88-40C9-B9C9-79DEB524246D}"/>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8D2341FD-2142-4873-8627-90514BA36426}"/>
    <cellStyle name="Normal 8 2 2 4 2 2 3" xfId="12519" xr:uid="{EC9E4389-C725-4716-943C-55D8B151E28F}"/>
    <cellStyle name="Normal 8 2 2 4 2 3" xfId="5265" xr:uid="{00000000-0005-0000-0000-0000711C0000}"/>
    <cellStyle name="Normal 8 2 2 4 2 3 2" xfId="14591" xr:uid="{56AF04EB-4603-4174-BDFC-4A039C0F8E0F}"/>
    <cellStyle name="Normal 8 2 2 4 2 4" xfId="9415" xr:uid="{88D7FF95-DEA9-4369-BE01-487FC7B2B7E8}"/>
    <cellStyle name="Normal 8 2 2 4 2 4 2" xfId="18730" xr:uid="{32670727-6F5D-4E4F-8AB0-D7F1F1680FC5}"/>
    <cellStyle name="Normal 8 2 2 4 2 5" xfId="10374" xr:uid="{EB4FE5E5-91F7-41CD-B96D-34236350403C}"/>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21D3163F-589B-4701-9E04-DF91AD1E8E19}"/>
    <cellStyle name="Normal 8 2 2 4 3 2 3" xfId="12932" xr:uid="{DB246FC8-2433-437E-84BC-79E2B16EABF6}"/>
    <cellStyle name="Normal 8 2 2 4 3 3" xfId="5678" xr:uid="{00000000-0005-0000-0000-0000751C0000}"/>
    <cellStyle name="Normal 8 2 2 4 3 3 2" xfId="15004" xr:uid="{A9E57642-53EC-4D5F-BAB9-86EAA1A39A78}"/>
    <cellStyle name="Normal 8 2 2 4 3 4" xfId="10787" xr:uid="{EADC9022-7657-44BA-B4A3-A31C9CF229E3}"/>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2CF14CAE-3009-47D8-9348-582E225B2F91}"/>
    <cellStyle name="Normal 8 2 2 4 4 2 3" xfId="13345" xr:uid="{51E03689-2D9A-4401-B524-8599950D62B2}"/>
    <cellStyle name="Normal 8 2 2 4 4 3" xfId="6091" xr:uid="{00000000-0005-0000-0000-0000791C0000}"/>
    <cellStyle name="Normal 8 2 2 4 4 3 2" xfId="15417" xr:uid="{5460A4EA-51A8-4BE1-99CD-5F1DB3264980}"/>
    <cellStyle name="Normal 8 2 2 4 4 4" xfId="11200" xr:uid="{0824814A-CED2-46AD-AE44-4ACD01DEC1B8}"/>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3E22E33B-B859-4DFA-9E27-9F77ED8858B6}"/>
    <cellStyle name="Normal 8 2 2 4 5 2 3" xfId="13758" xr:uid="{A25A398D-4D6C-42F1-A5CA-0A4568C32B55}"/>
    <cellStyle name="Normal 8 2 2 4 5 3" xfId="6504" xr:uid="{00000000-0005-0000-0000-00007D1C0000}"/>
    <cellStyle name="Normal 8 2 2 4 5 3 2" xfId="15830" xr:uid="{D19CBB71-C235-4111-8912-B836118F936D}"/>
    <cellStyle name="Normal 8 2 2 4 5 4" xfId="11613" xr:uid="{19AE2F43-D6DC-41CE-961C-69017AB8DE27}"/>
    <cellStyle name="Normal 8 2 2 4 6" xfId="2634" xr:uid="{00000000-0005-0000-0000-00007E1C0000}"/>
    <cellStyle name="Normal 8 2 2 4 6 2" xfId="6917" xr:uid="{00000000-0005-0000-0000-00007F1C0000}"/>
    <cellStyle name="Normal 8 2 2 4 6 2 2" xfId="16243" xr:uid="{7976A765-C00A-42CB-A858-F622BB20CDA5}"/>
    <cellStyle name="Normal 8 2 2 4 6 3" xfId="12026" xr:uid="{FA2B0215-BED6-4816-A16D-6E9E2AAF2ACF}"/>
    <cellStyle name="Normal 8 2 2 4 7" xfId="4852" xr:uid="{00000000-0005-0000-0000-0000801C0000}"/>
    <cellStyle name="Normal 8 2 2 4 7 2" xfId="14178" xr:uid="{F23A128A-67E4-4C22-9B10-393EDFDE289D}"/>
    <cellStyle name="Normal 8 2 2 4 8" xfId="8990" xr:uid="{F08D85C9-EB04-4227-BEA0-1B51DDB63DFA}"/>
    <cellStyle name="Normal 8 2 2 4 8 2" xfId="18314" xr:uid="{E1A7A03F-124A-4C20-90AC-36E87C7C79C8}"/>
    <cellStyle name="Normal 8 2 2 4 9" xfId="9961" xr:uid="{C6489013-6409-42A6-9034-82526909A440}"/>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C551089F-7F25-46DF-BB6D-6536BDAEB14F}"/>
    <cellStyle name="Normal 8 2 2 5 2 3" xfId="12512" xr:uid="{3C19CFEA-CC85-44DA-82DA-26764637047A}"/>
    <cellStyle name="Normal 8 2 2 5 3" xfId="5258" xr:uid="{00000000-0005-0000-0000-0000841C0000}"/>
    <cellStyle name="Normal 8 2 2 5 3 2" xfId="14584" xr:uid="{9E262B8A-D57C-458D-800B-859B49D1A091}"/>
    <cellStyle name="Normal 8 2 2 5 4" xfId="9207" xr:uid="{D4CDC4D2-5794-400F-B850-1B259D26C1FE}"/>
    <cellStyle name="Normal 8 2 2 5 4 2" xfId="18523" xr:uid="{A7FFD440-D938-488F-8069-A561BFEA4C59}"/>
    <cellStyle name="Normal 8 2 2 5 5" xfId="10367" xr:uid="{D519F5F5-D642-47A1-8696-63637F23034C}"/>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D86F896A-D297-412D-A35D-7B7F8B495D5A}"/>
    <cellStyle name="Normal 8 2 2 6 2 3" xfId="12925" xr:uid="{F063CF47-4570-4F52-B5F8-2F58983325CB}"/>
    <cellStyle name="Normal 8 2 2 6 3" xfId="5671" xr:uid="{00000000-0005-0000-0000-0000881C0000}"/>
    <cellStyle name="Normal 8 2 2 6 3 2" xfId="14997" xr:uid="{3B4C4A2F-8A2E-4E0E-B8FE-9BEE8690A6D3}"/>
    <cellStyle name="Normal 8 2 2 6 4" xfId="10780" xr:uid="{55D997B9-E9D3-4944-8079-8E0E4787E239}"/>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61809DDE-5FAB-45FE-821A-F24C17E66E77}"/>
    <cellStyle name="Normal 8 2 2 7 2 3" xfId="13338" xr:uid="{AA0DB2E7-B98E-4545-ABA3-F3A247EB6507}"/>
    <cellStyle name="Normal 8 2 2 7 3" xfId="6084" xr:uid="{00000000-0005-0000-0000-00008C1C0000}"/>
    <cellStyle name="Normal 8 2 2 7 3 2" xfId="15410" xr:uid="{65401F10-8080-459B-86A9-0B687B3464F3}"/>
    <cellStyle name="Normal 8 2 2 7 4" xfId="11193" xr:uid="{3766CC18-2B7F-4C63-BF5A-303B2ADBDB76}"/>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DB1A71D3-AC16-4366-A4FA-9979B781F1F8}"/>
    <cellStyle name="Normal 8 2 2 8 2 3" xfId="13751" xr:uid="{0D9D7A57-49A3-4089-80B2-154015D49C14}"/>
    <cellStyle name="Normal 8 2 2 8 3" xfId="6497" xr:uid="{00000000-0005-0000-0000-0000901C0000}"/>
    <cellStyle name="Normal 8 2 2 8 3 2" xfId="15823" xr:uid="{9AEFD222-7F61-47E0-B49D-F4D37914BE2C}"/>
    <cellStyle name="Normal 8 2 2 8 4" xfId="11606" xr:uid="{4B33E405-EBD1-4198-9202-8C02605C1DF3}"/>
    <cellStyle name="Normal 8 2 2 9" xfId="2627" xr:uid="{00000000-0005-0000-0000-0000911C0000}"/>
    <cellStyle name="Normal 8 2 2 9 2" xfId="6910" xr:uid="{00000000-0005-0000-0000-0000921C0000}"/>
    <cellStyle name="Normal 8 2 2 9 2 2" xfId="16236" xr:uid="{873FA951-DC7F-41FA-AE21-858B72650ACD}"/>
    <cellStyle name="Normal 8 2 2 9 3" xfId="12019" xr:uid="{ACB9BC70-6F5C-48B0-B36A-8D06205D63B5}"/>
    <cellStyle name="Normal 8 2 3" xfId="488" xr:uid="{00000000-0005-0000-0000-0000931C0000}"/>
    <cellStyle name="Normal 8 2 3 10" xfId="8835" xr:uid="{2F0FB8B3-D08B-41EB-93AB-2D83A1BD6036}"/>
    <cellStyle name="Normal 8 2 3 10 2" xfId="18159" xr:uid="{B27DA528-9EC1-4BD4-8DFE-3DAFBCB096BC}"/>
    <cellStyle name="Normal 8 2 3 11" xfId="9962" xr:uid="{FC7FF56D-B284-45D3-B817-B85CE9C31EB4}"/>
    <cellStyle name="Normal 8 2 3 2" xfId="489" xr:uid="{00000000-0005-0000-0000-0000941C0000}"/>
    <cellStyle name="Normal 8 2 3 2 10" xfId="9963" xr:uid="{482158B5-C5DD-4298-9832-7541C3977558}"/>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CE9E3526-8CBF-45D7-B06A-DAE9CC709D58}"/>
    <cellStyle name="Normal 8 2 3 2 2 2 2 3" xfId="12522" xr:uid="{58743B06-EF12-43E3-B882-1C22CD33B4CC}"/>
    <cellStyle name="Normal 8 2 3 2 2 2 3" xfId="5268" xr:uid="{00000000-0005-0000-0000-0000991C0000}"/>
    <cellStyle name="Normal 8 2 3 2 2 2 3 2" xfId="14594" xr:uid="{A34E9B7C-A6DD-4239-A55D-EDA1B5F9273F}"/>
    <cellStyle name="Normal 8 2 3 2 2 2 4" xfId="9570" xr:uid="{BA9732E0-D9E4-47DB-882D-D871A821FA55}"/>
    <cellStyle name="Normal 8 2 3 2 2 2 4 2" xfId="18885" xr:uid="{099583FD-AE03-4658-B066-FBE9352A0572}"/>
    <cellStyle name="Normal 8 2 3 2 2 2 5" xfId="10377" xr:uid="{0681DE66-B3BB-4E96-ACE0-EC616143AB62}"/>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FE9748BE-86E0-42AD-ADD2-9F4264687D1E}"/>
    <cellStyle name="Normal 8 2 3 2 2 3 2 3" xfId="12935" xr:uid="{A99CD923-A7D9-4EE7-A258-232A7B25D2C7}"/>
    <cellStyle name="Normal 8 2 3 2 2 3 3" xfId="5681" xr:uid="{00000000-0005-0000-0000-00009D1C0000}"/>
    <cellStyle name="Normal 8 2 3 2 2 3 3 2" xfId="15007" xr:uid="{F5145213-C4BB-41AE-92FE-E490470495CA}"/>
    <cellStyle name="Normal 8 2 3 2 2 3 4" xfId="10790" xr:uid="{ED16B372-8362-4C4C-8D03-A385011835F4}"/>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D3CD6B37-EAA1-4574-B51E-0890617E86B8}"/>
    <cellStyle name="Normal 8 2 3 2 2 4 2 3" xfId="13348" xr:uid="{18757E99-77A7-4BDD-8BAD-11074D78E059}"/>
    <cellStyle name="Normal 8 2 3 2 2 4 3" xfId="6094" xr:uid="{00000000-0005-0000-0000-0000A11C0000}"/>
    <cellStyle name="Normal 8 2 3 2 2 4 3 2" xfId="15420" xr:uid="{9B1E0AC2-BE12-47E8-ACE5-8E0ACE4B367F}"/>
    <cellStyle name="Normal 8 2 3 2 2 4 4" xfId="11203" xr:uid="{D0EA6A29-7726-4B45-81DD-1B70EBC33016}"/>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4D5C5A77-F77D-4C1D-81FD-0538EB43B695}"/>
    <cellStyle name="Normal 8 2 3 2 2 5 2 3" xfId="13761" xr:uid="{6C6FA2E9-F7A0-49AD-92A5-05B3B5F3E118}"/>
    <cellStyle name="Normal 8 2 3 2 2 5 3" xfId="6507" xr:uid="{00000000-0005-0000-0000-0000A51C0000}"/>
    <cellStyle name="Normal 8 2 3 2 2 5 3 2" xfId="15833" xr:uid="{4DEB8DA5-BFB9-4DBC-9019-DEB94D26F932}"/>
    <cellStyle name="Normal 8 2 3 2 2 5 4" xfId="11616" xr:uid="{59DBAEAB-A12B-40DC-AB9E-E9677070FE3A}"/>
    <cellStyle name="Normal 8 2 3 2 2 6" xfId="2637" xr:uid="{00000000-0005-0000-0000-0000A61C0000}"/>
    <cellStyle name="Normal 8 2 3 2 2 6 2" xfId="6920" xr:uid="{00000000-0005-0000-0000-0000A71C0000}"/>
    <cellStyle name="Normal 8 2 3 2 2 6 2 2" xfId="16246" xr:uid="{BEF8DBEC-07EF-4DBA-85C1-1568C0886EB8}"/>
    <cellStyle name="Normal 8 2 3 2 2 6 3" xfId="12029" xr:uid="{8A86D04F-5244-4496-A1AF-B656DE7D95A2}"/>
    <cellStyle name="Normal 8 2 3 2 2 7" xfId="4855" xr:uid="{00000000-0005-0000-0000-0000A81C0000}"/>
    <cellStyle name="Normal 8 2 3 2 2 7 2" xfId="14181" xr:uid="{82051570-EEDF-4F13-9BB0-8E17A7774D66}"/>
    <cellStyle name="Normal 8 2 3 2 2 8" xfId="9145" xr:uid="{C71E6005-187D-4837-92B4-619AF06B3A3B}"/>
    <cellStyle name="Normal 8 2 3 2 2 8 2" xfId="18469" xr:uid="{1ECF0679-DD2C-44C7-99C1-E31653D89752}"/>
    <cellStyle name="Normal 8 2 3 2 2 9" xfId="9964" xr:uid="{37A10AFE-ACF0-44E6-BDC9-F92F3F3055DF}"/>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C51F1260-E645-4066-8A39-7D63157F5FCC}"/>
    <cellStyle name="Normal 8 2 3 2 3 2 3" xfId="12521" xr:uid="{EAEBB922-ADC1-426B-B662-FF37BCE68692}"/>
    <cellStyle name="Normal 8 2 3 2 3 3" xfId="5267" xr:uid="{00000000-0005-0000-0000-0000AC1C0000}"/>
    <cellStyle name="Normal 8 2 3 2 3 3 2" xfId="14593" xr:uid="{DE488981-DB57-49E4-8DB2-7ECF99CFE055}"/>
    <cellStyle name="Normal 8 2 3 2 3 4" xfId="9363" xr:uid="{C94C6C98-A8BC-4AC9-B084-0D2219E89AA8}"/>
    <cellStyle name="Normal 8 2 3 2 3 4 2" xfId="18678" xr:uid="{57BABF29-D278-4140-B0F2-4B71B50367A3}"/>
    <cellStyle name="Normal 8 2 3 2 3 5" xfId="10376" xr:uid="{D84A3BFE-99D4-4E5E-916D-E7B18E179AD5}"/>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DEEA079D-F167-42DF-87B3-1AB105F94D73}"/>
    <cellStyle name="Normal 8 2 3 2 4 2 3" xfId="12934" xr:uid="{7F96D791-502D-4AE5-B292-36D06C98BC98}"/>
    <cellStyle name="Normal 8 2 3 2 4 3" xfId="5680" xr:uid="{00000000-0005-0000-0000-0000B01C0000}"/>
    <cellStyle name="Normal 8 2 3 2 4 3 2" xfId="15006" xr:uid="{916259B9-8771-4070-8710-655E4EBA72A8}"/>
    <cellStyle name="Normal 8 2 3 2 4 4" xfId="10789" xr:uid="{ECAFD064-FF87-4557-AEF7-81581FDE69E5}"/>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8211AF21-47BC-4B16-A032-89B24136BAE0}"/>
    <cellStyle name="Normal 8 2 3 2 5 2 3" xfId="13347" xr:uid="{EF05F696-48A4-4648-9638-CA7AACAB7FC2}"/>
    <cellStyle name="Normal 8 2 3 2 5 3" xfId="6093" xr:uid="{00000000-0005-0000-0000-0000B41C0000}"/>
    <cellStyle name="Normal 8 2 3 2 5 3 2" xfId="15419" xr:uid="{4548E594-FD7C-4FEE-8FE5-DF56710080C9}"/>
    <cellStyle name="Normal 8 2 3 2 5 4" xfId="11202" xr:uid="{886E484A-24D1-45C1-8210-89814A1BDFDB}"/>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D8E497D7-9ACC-4C26-9957-AEF80963A4FF}"/>
    <cellStyle name="Normal 8 2 3 2 6 2 3" xfId="13760" xr:uid="{C186FA65-6C61-4235-81EC-C23823A9DAAE}"/>
    <cellStyle name="Normal 8 2 3 2 6 3" xfId="6506" xr:uid="{00000000-0005-0000-0000-0000B81C0000}"/>
    <cellStyle name="Normal 8 2 3 2 6 3 2" xfId="15832" xr:uid="{F1B27CB9-A86D-4F5B-8701-FB840A5B158F}"/>
    <cellStyle name="Normal 8 2 3 2 6 4" xfId="11615" xr:uid="{4BDB4336-080C-4FA4-9B39-4C2CC6191823}"/>
    <cellStyle name="Normal 8 2 3 2 7" xfId="2636" xr:uid="{00000000-0005-0000-0000-0000B91C0000}"/>
    <cellStyle name="Normal 8 2 3 2 7 2" xfId="6919" xr:uid="{00000000-0005-0000-0000-0000BA1C0000}"/>
    <cellStyle name="Normal 8 2 3 2 7 2 2" xfId="16245" xr:uid="{9EFA5690-189F-4CE1-AC68-CEAC07A37AB4}"/>
    <cellStyle name="Normal 8 2 3 2 7 3" xfId="12028" xr:uid="{8B37C27A-41AD-40F1-9826-E442A1F817C3}"/>
    <cellStyle name="Normal 8 2 3 2 8" xfId="4854" xr:uid="{00000000-0005-0000-0000-0000BB1C0000}"/>
    <cellStyle name="Normal 8 2 3 2 8 2" xfId="14180" xr:uid="{6B13BC32-FDAB-4F9F-A396-FC90B8988A67}"/>
    <cellStyle name="Normal 8 2 3 2 9" xfId="8938" xr:uid="{1EAF77CE-4DC3-40DC-AA9D-31320D478EE9}"/>
    <cellStyle name="Normal 8 2 3 2 9 2" xfId="18262" xr:uid="{FC76130B-BA18-4870-B5C2-037528EFA31E}"/>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21626D89-4CBA-483D-8FE0-3DABA0912EC8}"/>
    <cellStyle name="Normal 8 2 3 3 2 2 3" xfId="12523" xr:uid="{F0DD1547-77AB-4273-A1F4-8742024EB35A}"/>
    <cellStyle name="Normal 8 2 3 3 2 3" xfId="5269" xr:uid="{00000000-0005-0000-0000-0000C01C0000}"/>
    <cellStyle name="Normal 8 2 3 3 2 3 2" xfId="14595" xr:uid="{41256F51-DACE-405F-9F4D-643871EA9FD4}"/>
    <cellStyle name="Normal 8 2 3 3 2 4" xfId="9467" xr:uid="{C16001D7-8508-4511-808F-E990F8EA0FE3}"/>
    <cellStyle name="Normal 8 2 3 3 2 4 2" xfId="18782" xr:uid="{8BE912B3-5DD4-4031-A951-0125F6201584}"/>
    <cellStyle name="Normal 8 2 3 3 2 5" xfId="10378" xr:uid="{4B2BB518-897C-4908-9063-4821EF222DAF}"/>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11DFFA2E-F9D0-42F7-9F29-5FB080A0E885}"/>
    <cellStyle name="Normal 8 2 3 3 3 2 3" xfId="12936" xr:uid="{DA79EAD8-0B4E-49B8-A0B5-13246C196234}"/>
    <cellStyle name="Normal 8 2 3 3 3 3" xfId="5682" xr:uid="{00000000-0005-0000-0000-0000C41C0000}"/>
    <cellStyle name="Normal 8 2 3 3 3 3 2" xfId="15008" xr:uid="{6FF778D1-F22A-4A54-81B6-373091966EE6}"/>
    <cellStyle name="Normal 8 2 3 3 3 4" xfId="10791" xr:uid="{EA3B0D79-9124-4A73-8E71-116888A6AF74}"/>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E052786B-BE4F-49F9-9CEA-88506B67D93A}"/>
    <cellStyle name="Normal 8 2 3 3 4 2 3" xfId="13349" xr:uid="{5C463183-6C25-4078-990D-30E338E52AAA}"/>
    <cellStyle name="Normal 8 2 3 3 4 3" xfId="6095" xr:uid="{00000000-0005-0000-0000-0000C81C0000}"/>
    <cellStyle name="Normal 8 2 3 3 4 3 2" xfId="15421" xr:uid="{2E4A7184-DECF-461C-AE9C-5935A410CE42}"/>
    <cellStyle name="Normal 8 2 3 3 4 4" xfId="11204" xr:uid="{058F8947-07FA-4DF2-96D6-C23DC2D515BC}"/>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C2550DD4-FDCE-4916-AAFD-EB5E0157A76B}"/>
    <cellStyle name="Normal 8 2 3 3 5 2 3" xfId="13762" xr:uid="{0DF8AE3A-555A-4A2F-845E-0E5B18823B00}"/>
    <cellStyle name="Normal 8 2 3 3 5 3" xfId="6508" xr:uid="{00000000-0005-0000-0000-0000CC1C0000}"/>
    <cellStyle name="Normal 8 2 3 3 5 3 2" xfId="15834" xr:uid="{7E1BC5CD-CA6E-47B1-A1BF-0D0C36DA3619}"/>
    <cellStyle name="Normal 8 2 3 3 5 4" xfId="11617" xr:uid="{A6219D37-AE83-4099-8312-159F117546AB}"/>
    <cellStyle name="Normal 8 2 3 3 6" xfId="2638" xr:uid="{00000000-0005-0000-0000-0000CD1C0000}"/>
    <cellStyle name="Normal 8 2 3 3 6 2" xfId="6921" xr:uid="{00000000-0005-0000-0000-0000CE1C0000}"/>
    <cellStyle name="Normal 8 2 3 3 6 2 2" xfId="16247" xr:uid="{08BA1E34-FA7E-46F0-8E5A-7C94687FA8DD}"/>
    <cellStyle name="Normal 8 2 3 3 6 3" xfId="12030" xr:uid="{FE3D7E7B-49D0-4BF2-89CE-E6CEF0C917C3}"/>
    <cellStyle name="Normal 8 2 3 3 7" xfId="4856" xr:uid="{00000000-0005-0000-0000-0000CF1C0000}"/>
    <cellStyle name="Normal 8 2 3 3 7 2" xfId="14182" xr:uid="{C7668241-5D0B-4A52-A4C7-B1345EC37630}"/>
    <cellStyle name="Normal 8 2 3 3 8" xfId="9042" xr:uid="{D820ED39-BAB1-48C1-A68D-2017E247E432}"/>
    <cellStyle name="Normal 8 2 3 3 8 2" xfId="18366" xr:uid="{C50DAED2-F90E-41E1-8C71-FE40E874836A}"/>
    <cellStyle name="Normal 8 2 3 3 9" xfId="9965" xr:uid="{FAA1DDA7-841E-4DA9-80B1-F58C97D56118}"/>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C41A7B1E-D4AF-4E86-94CE-CA0FCAC31E5B}"/>
    <cellStyle name="Normal 8 2 3 4 2 3" xfId="12520" xr:uid="{E1D8D1EB-BA4A-4841-B0DD-0D20609C1271}"/>
    <cellStyle name="Normal 8 2 3 4 3" xfId="5266" xr:uid="{00000000-0005-0000-0000-0000D31C0000}"/>
    <cellStyle name="Normal 8 2 3 4 3 2" xfId="14592" xr:uid="{5066E215-4BB4-4CBB-8558-FFA09C2CD670}"/>
    <cellStyle name="Normal 8 2 3 4 4" xfId="9260" xr:uid="{70FF5A16-C89A-42B7-A603-E23A7C2F443C}"/>
    <cellStyle name="Normal 8 2 3 4 4 2" xfId="18575" xr:uid="{1F210217-030E-4522-98DE-29D1AA572185}"/>
    <cellStyle name="Normal 8 2 3 4 5" xfId="10375" xr:uid="{22CC4798-38E4-4FC3-946E-41D6763D4646}"/>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02B69180-50EE-44AE-A425-960568AC4ADB}"/>
    <cellStyle name="Normal 8 2 3 5 2 3" xfId="12933" xr:uid="{B8BE6975-AC0E-48E5-99B1-80A1D5CC1F2F}"/>
    <cellStyle name="Normal 8 2 3 5 3" xfId="5679" xr:uid="{00000000-0005-0000-0000-0000D71C0000}"/>
    <cellStyle name="Normal 8 2 3 5 3 2" xfId="15005" xr:uid="{422FDB62-811D-4B19-9878-F9559F44C5F9}"/>
    <cellStyle name="Normal 8 2 3 5 4" xfId="10788" xr:uid="{17AFE5F9-FC04-42A0-A0F9-3645832B9517}"/>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E373C358-324E-46C5-A9B6-568CC9942DCF}"/>
    <cellStyle name="Normal 8 2 3 6 2 3" xfId="13346" xr:uid="{CD64AABE-8987-424E-866E-3E0786E72CAA}"/>
    <cellStyle name="Normal 8 2 3 6 3" xfId="6092" xr:uid="{00000000-0005-0000-0000-0000DB1C0000}"/>
    <cellStyle name="Normal 8 2 3 6 3 2" xfId="15418" xr:uid="{1A5B47A9-A40A-4CAB-A95B-000C0E7D33E8}"/>
    <cellStyle name="Normal 8 2 3 6 4" xfId="11201" xr:uid="{F26566A1-5305-4AA0-AB8E-E386FD5AC2EE}"/>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4E010600-38E6-4BA6-A53E-8CBBDB7AFCD8}"/>
    <cellStyle name="Normal 8 2 3 7 2 3" xfId="13759" xr:uid="{2EBD85B1-3384-42FA-BCD3-2D46F5AFDBF3}"/>
    <cellStyle name="Normal 8 2 3 7 3" xfId="6505" xr:uid="{00000000-0005-0000-0000-0000DF1C0000}"/>
    <cellStyle name="Normal 8 2 3 7 3 2" xfId="15831" xr:uid="{B460B010-86F0-4704-9F9C-C529E92460BB}"/>
    <cellStyle name="Normal 8 2 3 7 4" xfId="11614" xr:uid="{FAF8CCCA-839C-4EDE-B353-0CEF5FDD1370}"/>
    <cellStyle name="Normal 8 2 3 8" xfId="2635" xr:uid="{00000000-0005-0000-0000-0000E01C0000}"/>
    <cellStyle name="Normal 8 2 3 8 2" xfId="6918" xr:uid="{00000000-0005-0000-0000-0000E11C0000}"/>
    <cellStyle name="Normal 8 2 3 8 2 2" xfId="16244" xr:uid="{CD23D68A-7BCC-4E7D-B06F-4A85C96306DF}"/>
    <cellStyle name="Normal 8 2 3 8 3" xfId="12027" xr:uid="{0A79EB4C-649A-452B-9917-BFF8E01AF1FB}"/>
    <cellStyle name="Normal 8 2 3 9" xfId="4853" xr:uid="{00000000-0005-0000-0000-0000E21C0000}"/>
    <cellStyle name="Normal 8 2 3 9 2" xfId="14179" xr:uid="{B36B4965-BEAD-4283-AAD5-5D8B3F981083}"/>
    <cellStyle name="Normal 8 2 4" xfId="492" xr:uid="{00000000-0005-0000-0000-0000E31C0000}"/>
    <cellStyle name="Normal 8 2 4 10" xfId="9966" xr:uid="{469F6589-552A-4EA4-8CE8-206DA616C7CC}"/>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8D710145-4B50-449B-9679-072C9152D4A2}"/>
    <cellStyle name="Normal 8 2 4 2 2 2 3" xfId="12525" xr:uid="{4AD0F625-D227-45CD-A298-21C1A1CA200D}"/>
    <cellStyle name="Normal 8 2 4 2 2 3" xfId="5271" xr:uid="{00000000-0005-0000-0000-0000E81C0000}"/>
    <cellStyle name="Normal 8 2 4 2 2 3 2" xfId="14597" xr:uid="{5BCDC4FA-2B85-4247-89B3-FF3BBF1069CE}"/>
    <cellStyle name="Normal 8 2 4 2 2 4" xfId="9486" xr:uid="{9F6EBE4C-F02F-43A6-A388-D5EACB1B3099}"/>
    <cellStyle name="Normal 8 2 4 2 2 4 2" xfId="18801" xr:uid="{F433F27E-746A-4046-BBA7-785FE1F8AE14}"/>
    <cellStyle name="Normal 8 2 4 2 2 5" xfId="10380" xr:uid="{F60CED70-C6F8-4FD3-AD3C-815D4BB3DF8D}"/>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256F695C-BF79-4BFE-8CD9-5A6C769070D7}"/>
    <cellStyle name="Normal 8 2 4 2 3 2 3" xfId="12938" xr:uid="{6628ADA9-11FF-45FD-A038-068A22EC69EA}"/>
    <cellStyle name="Normal 8 2 4 2 3 3" xfId="5684" xr:uid="{00000000-0005-0000-0000-0000EC1C0000}"/>
    <cellStyle name="Normal 8 2 4 2 3 3 2" xfId="15010" xr:uid="{CEF4EA7E-B764-4633-9AE5-61D3ECC38171}"/>
    <cellStyle name="Normal 8 2 4 2 3 4" xfId="10793" xr:uid="{8E05D6E6-DED9-4AEE-80F2-0C819489EF39}"/>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4132EA0D-004D-4BD6-A774-94B613A45A19}"/>
    <cellStyle name="Normal 8 2 4 2 4 2 3" xfId="13351" xr:uid="{26D63D40-655C-457E-83A0-1265A4C25C08}"/>
    <cellStyle name="Normal 8 2 4 2 4 3" xfId="6097" xr:uid="{00000000-0005-0000-0000-0000F01C0000}"/>
    <cellStyle name="Normal 8 2 4 2 4 3 2" xfId="15423" xr:uid="{D7C50605-D7E0-4DBB-BAB1-4EBB70B713BE}"/>
    <cellStyle name="Normal 8 2 4 2 4 4" xfId="11206" xr:uid="{EDB68F72-F2FA-497A-AC40-42C5E42034E5}"/>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ED95A657-6DA7-4B55-9760-C56FD62C18B3}"/>
    <cellStyle name="Normal 8 2 4 2 5 2 3" xfId="13764" xr:uid="{95DF78FD-5D97-473B-9951-4E646F269E04}"/>
    <cellStyle name="Normal 8 2 4 2 5 3" xfId="6510" xr:uid="{00000000-0005-0000-0000-0000F41C0000}"/>
    <cellStyle name="Normal 8 2 4 2 5 3 2" xfId="15836" xr:uid="{9ECE7C44-9A32-4F89-9FF7-A99F3CC722BD}"/>
    <cellStyle name="Normal 8 2 4 2 5 4" xfId="11619" xr:uid="{AF082C4E-8815-4B70-A249-F27877F57AA6}"/>
    <cellStyle name="Normal 8 2 4 2 6" xfId="2640" xr:uid="{00000000-0005-0000-0000-0000F51C0000}"/>
    <cellStyle name="Normal 8 2 4 2 6 2" xfId="6923" xr:uid="{00000000-0005-0000-0000-0000F61C0000}"/>
    <cellStyle name="Normal 8 2 4 2 6 2 2" xfId="16249" xr:uid="{18D7E14D-3BC9-4982-B964-E99F079779F7}"/>
    <cellStyle name="Normal 8 2 4 2 6 3" xfId="12032" xr:uid="{FA02C52A-E76B-49E2-9296-71341CB181F0}"/>
    <cellStyle name="Normal 8 2 4 2 7" xfId="4858" xr:uid="{00000000-0005-0000-0000-0000F71C0000}"/>
    <cellStyle name="Normal 8 2 4 2 7 2" xfId="14184" xr:uid="{7C500071-0243-410C-B488-05EAD95AAF0A}"/>
    <cellStyle name="Normal 8 2 4 2 8" xfId="9061" xr:uid="{7295DB82-9441-436C-AA3E-91B68F6E59B3}"/>
    <cellStyle name="Normal 8 2 4 2 8 2" xfId="18385" xr:uid="{D28C85E3-882F-4EA1-A014-9862D76FB3AC}"/>
    <cellStyle name="Normal 8 2 4 2 9" xfId="9967" xr:uid="{B87F4081-5E0F-4FA1-9A7E-DD38B377B5C8}"/>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4F801B0F-3CF9-4391-BCB6-70B02F964B70}"/>
    <cellStyle name="Normal 8 2 4 3 2 3" xfId="12524" xr:uid="{D1677496-3F09-4E10-9C61-AF25FB2C4147}"/>
    <cellStyle name="Normal 8 2 4 3 3" xfId="5270" xr:uid="{00000000-0005-0000-0000-0000FB1C0000}"/>
    <cellStyle name="Normal 8 2 4 3 3 2" xfId="14596" xr:uid="{EC6C7826-FF59-4081-9147-B04B8EE5FD6C}"/>
    <cellStyle name="Normal 8 2 4 3 4" xfId="9279" xr:uid="{BA09D30D-BEBA-4223-83E6-57FB46A1EFA8}"/>
    <cellStyle name="Normal 8 2 4 3 4 2" xfId="18594" xr:uid="{A97006F7-889A-4C09-9772-1D4A035893D8}"/>
    <cellStyle name="Normal 8 2 4 3 5" xfId="10379" xr:uid="{53DB76DD-59C3-411C-B48D-8252AC0A64AC}"/>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E07FC77A-0A7F-4B41-A688-02C80BB8FB70}"/>
    <cellStyle name="Normal 8 2 4 4 2 3" xfId="12937" xr:uid="{8AFBB08A-EEBC-400D-9CCD-6C66E1EACA02}"/>
    <cellStyle name="Normal 8 2 4 4 3" xfId="5683" xr:uid="{00000000-0005-0000-0000-0000FF1C0000}"/>
    <cellStyle name="Normal 8 2 4 4 3 2" xfId="15009" xr:uid="{B7845F08-C277-4EC6-8CC3-DA1B4CC76DD6}"/>
    <cellStyle name="Normal 8 2 4 4 4" xfId="10792" xr:uid="{3627B6D4-5A2E-4686-A3A6-B6CBE4182FF5}"/>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DF1B903E-E7F0-4DA4-8851-11159ECF2BD1}"/>
    <cellStyle name="Normal 8 2 4 5 2 3" xfId="13350" xr:uid="{56F340B9-D7F3-447F-90FB-D00E93F7F0C7}"/>
    <cellStyle name="Normal 8 2 4 5 3" xfId="6096" xr:uid="{00000000-0005-0000-0000-0000031D0000}"/>
    <cellStyle name="Normal 8 2 4 5 3 2" xfId="15422" xr:uid="{2EB15D80-2A76-47BD-8531-5669B0B73862}"/>
    <cellStyle name="Normal 8 2 4 5 4" xfId="11205" xr:uid="{3A303F1C-4034-43EA-8AF6-C353412B595F}"/>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7B4924B4-2D25-495C-84F1-90D1A7E56ECE}"/>
    <cellStyle name="Normal 8 2 4 6 2 3" xfId="13763" xr:uid="{2D32149D-BF52-463B-ABF1-9F9EB0F7E6CB}"/>
    <cellStyle name="Normal 8 2 4 6 3" xfId="6509" xr:uid="{00000000-0005-0000-0000-0000071D0000}"/>
    <cellStyle name="Normal 8 2 4 6 3 2" xfId="15835" xr:uid="{68B04B79-B941-4BE6-B847-C28E4C26A983}"/>
    <cellStyle name="Normal 8 2 4 6 4" xfId="11618" xr:uid="{23BDC92E-53FA-46BD-8FEF-E33E42E60831}"/>
    <cellStyle name="Normal 8 2 4 7" xfId="2639" xr:uid="{00000000-0005-0000-0000-0000081D0000}"/>
    <cellStyle name="Normal 8 2 4 7 2" xfId="6922" xr:uid="{00000000-0005-0000-0000-0000091D0000}"/>
    <cellStyle name="Normal 8 2 4 7 2 2" xfId="16248" xr:uid="{37DEDCCF-6FCD-4F66-A4FA-BF51ABE45BCB}"/>
    <cellStyle name="Normal 8 2 4 7 3" xfId="12031" xr:uid="{B15F0500-BEE8-42D0-BBC3-1E0364C38783}"/>
    <cellStyle name="Normal 8 2 4 8" xfId="4857" xr:uid="{00000000-0005-0000-0000-00000A1D0000}"/>
    <cellStyle name="Normal 8 2 4 8 2" xfId="14183" xr:uid="{85615034-3742-4FC1-BA78-4F8D05A0E7E1}"/>
    <cellStyle name="Normal 8 2 4 9" xfId="8854" xr:uid="{F1F9C500-F3E2-475A-983E-BD697F4BACD1}"/>
    <cellStyle name="Normal 8 2 4 9 2" xfId="18178" xr:uid="{C97005B5-52B1-494B-91EB-F1FC8AD10797}"/>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F7C58842-3B5B-49BB-AB75-A21EBA39C8AD}"/>
    <cellStyle name="Normal 8 2 5 2 2 3" xfId="12526" xr:uid="{E3855367-29D9-4B0C-84CD-F3589DAF4B8A}"/>
    <cellStyle name="Normal 8 2 5 2 3" xfId="5272" xr:uid="{00000000-0005-0000-0000-00000F1D0000}"/>
    <cellStyle name="Normal 8 2 5 2 3 2" xfId="14598" xr:uid="{65433C87-E001-48AB-A0D9-F8EFEF1E9FCA}"/>
    <cellStyle name="Normal 8 2 5 2 4" xfId="9395" xr:uid="{D5766EF3-6042-484F-B510-7448518CF571}"/>
    <cellStyle name="Normal 8 2 5 2 4 2" xfId="18710" xr:uid="{90F487BF-A397-4B8E-95A5-F1D4FC1FD134}"/>
    <cellStyle name="Normal 8 2 5 2 5" xfId="10381" xr:uid="{9F14ED68-7DAC-45CF-9349-BC3547104368}"/>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4C13421F-331F-4664-AE1E-0543F6543D4D}"/>
    <cellStyle name="Normal 8 2 5 3 2 3" xfId="12939" xr:uid="{3EACB34E-8724-42FA-A7C3-B1D5F8B2AAE5}"/>
    <cellStyle name="Normal 8 2 5 3 3" xfId="5685" xr:uid="{00000000-0005-0000-0000-0000131D0000}"/>
    <cellStyle name="Normal 8 2 5 3 3 2" xfId="15011" xr:uid="{7439D60B-E143-49BA-9BB1-0C9A30DDD655}"/>
    <cellStyle name="Normal 8 2 5 3 4" xfId="10794" xr:uid="{80B2D127-EF42-4134-A855-564B5F4B95C3}"/>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61AE2A36-8DB5-4F55-8A03-4427B05A51E1}"/>
    <cellStyle name="Normal 8 2 5 4 2 3" xfId="13352" xr:uid="{D3F2E7C0-F1DA-4601-ADF9-6AF7CC7B8D35}"/>
    <cellStyle name="Normal 8 2 5 4 3" xfId="6098" xr:uid="{00000000-0005-0000-0000-0000171D0000}"/>
    <cellStyle name="Normal 8 2 5 4 3 2" xfId="15424" xr:uid="{FEB6C2A5-58F6-46DF-99E0-1979260FD0E2}"/>
    <cellStyle name="Normal 8 2 5 4 4" xfId="11207" xr:uid="{2AE205AC-5E5B-451C-AD1E-E211BD881A47}"/>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9045EE0A-4554-4887-852B-F51AAED83154}"/>
    <cellStyle name="Normal 8 2 5 5 2 3" xfId="13765" xr:uid="{355DA1AE-F932-4C24-84D5-76A67FB87EBE}"/>
    <cellStyle name="Normal 8 2 5 5 3" xfId="6511" xr:uid="{00000000-0005-0000-0000-00001B1D0000}"/>
    <cellStyle name="Normal 8 2 5 5 3 2" xfId="15837" xr:uid="{107A123F-6E9E-4DEB-B25D-084D3D522F2D}"/>
    <cellStyle name="Normal 8 2 5 5 4" xfId="11620" xr:uid="{83CADD4D-5905-412C-BCAE-386BF0A2B65C}"/>
    <cellStyle name="Normal 8 2 5 6" xfId="2641" xr:uid="{00000000-0005-0000-0000-00001C1D0000}"/>
    <cellStyle name="Normal 8 2 5 6 2" xfId="6924" xr:uid="{00000000-0005-0000-0000-00001D1D0000}"/>
    <cellStyle name="Normal 8 2 5 6 2 2" xfId="16250" xr:uid="{CE983194-BCC7-4174-A660-99FF285EEDEF}"/>
    <cellStyle name="Normal 8 2 5 6 3" xfId="12033" xr:uid="{A134EDD8-9C02-44F1-8D2A-054F5A15DBED}"/>
    <cellStyle name="Normal 8 2 5 7" xfId="4859" xr:uid="{00000000-0005-0000-0000-00001E1D0000}"/>
    <cellStyle name="Normal 8 2 5 7 2" xfId="14185" xr:uid="{DD34459F-9AB0-407A-ABDB-7EF3ADBDAB2E}"/>
    <cellStyle name="Normal 8 2 5 8" xfId="8970" xr:uid="{7E9ACEFF-1680-45D8-BC32-8CA9BA1D63D4}"/>
    <cellStyle name="Normal 8 2 5 8 2" xfId="18294" xr:uid="{27B67BE4-95DA-4A30-A5AC-BB4281F7A552}"/>
    <cellStyle name="Normal 8 2 5 9" xfId="9968" xr:uid="{B1D74955-B3AE-4720-AEBE-546D1C95B0B4}"/>
    <cellStyle name="Normal 8 2 6" xfId="946" xr:uid="{00000000-0005-0000-0000-00001F1D0000}"/>
    <cellStyle name="Normal 8 2 6 2" xfId="3180" xr:uid="{00000000-0005-0000-0000-0000201D0000}"/>
    <cellStyle name="Normal 8 2 6 2 2" xfId="7402" xr:uid="{00000000-0005-0000-0000-0000211D0000}"/>
    <cellStyle name="Normal 8 2 6 2 2 2" xfId="16728" xr:uid="{DE1A85E1-236A-4B85-9B58-02968DFD05E7}"/>
    <cellStyle name="Normal 8 2 6 2 3" xfId="12511" xr:uid="{FB7F290D-1C17-47B8-8E1A-CEF461A92EB7}"/>
    <cellStyle name="Normal 8 2 6 3" xfId="5257" xr:uid="{00000000-0005-0000-0000-0000221D0000}"/>
    <cellStyle name="Normal 8 2 6 3 2" xfId="14583" xr:uid="{1808A82E-936A-4DB0-BF5C-4133591A29A9}"/>
    <cellStyle name="Normal 8 2 6 4" xfId="9173" xr:uid="{C36295B3-E6F0-4A6D-AEE5-72C8177C13EE}"/>
    <cellStyle name="Normal 8 2 6 4 2" xfId="18491" xr:uid="{B5DFB00E-716D-4467-9B85-8B6990566BC2}"/>
    <cellStyle name="Normal 8 2 6 5" xfId="10366" xr:uid="{780870D4-AD68-4179-86BA-6E7DBF431220}"/>
    <cellStyle name="Normal 8 2 7" xfId="1363" xr:uid="{00000000-0005-0000-0000-0000231D0000}"/>
    <cellStyle name="Normal 8 2 7 2" xfId="3593" xr:uid="{00000000-0005-0000-0000-0000241D0000}"/>
    <cellStyle name="Normal 8 2 7 2 2" xfId="7815" xr:uid="{00000000-0005-0000-0000-0000251D0000}"/>
    <cellStyle name="Normal 8 2 7 2 2 2" xfId="17141" xr:uid="{1A12471E-1B82-4231-82FC-5E34823BB9EE}"/>
    <cellStyle name="Normal 8 2 7 2 3" xfId="12924" xr:uid="{4D949536-7E2D-4945-B094-DBE42B5BB544}"/>
    <cellStyle name="Normal 8 2 7 3" xfId="5670" xr:uid="{00000000-0005-0000-0000-0000261D0000}"/>
    <cellStyle name="Normal 8 2 7 3 2" xfId="14996" xr:uid="{A44F7ABF-7711-403D-8E37-7EF3A91CB7E4}"/>
    <cellStyle name="Normal 8 2 7 4" xfId="10779" xr:uid="{B1B8EF6B-0D81-48AC-AC5C-667A3E915348}"/>
    <cellStyle name="Normal 8 2 8" xfId="1776" xr:uid="{00000000-0005-0000-0000-0000271D0000}"/>
    <cellStyle name="Normal 8 2 8 2" xfId="4006" xr:uid="{00000000-0005-0000-0000-0000281D0000}"/>
    <cellStyle name="Normal 8 2 8 2 2" xfId="8228" xr:uid="{00000000-0005-0000-0000-0000291D0000}"/>
    <cellStyle name="Normal 8 2 8 2 2 2" xfId="17554" xr:uid="{A3D6FB97-6CD2-4C8E-BAF4-568F1078C3A2}"/>
    <cellStyle name="Normal 8 2 8 2 3" xfId="13337" xr:uid="{131A1DC3-0E51-46D1-B906-D1B89AC61EE9}"/>
    <cellStyle name="Normal 8 2 8 3" xfId="6083" xr:uid="{00000000-0005-0000-0000-00002A1D0000}"/>
    <cellStyle name="Normal 8 2 8 3 2" xfId="15409" xr:uid="{A146D53A-A061-4FAA-A886-4BC9E85403A1}"/>
    <cellStyle name="Normal 8 2 8 4" xfId="11192" xr:uid="{A96C2AA1-0260-40B5-9EA5-140A22558C4E}"/>
    <cellStyle name="Normal 8 2 9" xfId="2190" xr:uid="{00000000-0005-0000-0000-00002B1D0000}"/>
    <cellStyle name="Normal 8 2 9 2" xfId="4419" xr:uid="{00000000-0005-0000-0000-00002C1D0000}"/>
    <cellStyle name="Normal 8 2 9 2 2" xfId="8641" xr:uid="{00000000-0005-0000-0000-00002D1D0000}"/>
    <cellStyle name="Normal 8 2 9 2 2 2" xfId="17967" xr:uid="{99F87F45-1880-4A18-9C82-A7821E7052BE}"/>
    <cellStyle name="Normal 8 2 9 2 3" xfId="13750" xr:uid="{1A5E46B7-7455-4068-8BAF-52C2D0929733}"/>
    <cellStyle name="Normal 8 2 9 3" xfId="6496" xr:uid="{00000000-0005-0000-0000-00002E1D0000}"/>
    <cellStyle name="Normal 8 2 9 3 2" xfId="15822" xr:uid="{92802454-4A4A-4598-A920-9B7191A733F2}"/>
    <cellStyle name="Normal 8 2 9 4" xfId="11605" xr:uid="{B70CEE8E-2AD6-494C-A280-3B17FB25FE48}"/>
    <cellStyle name="Normal 8 3" xfId="495" xr:uid="{00000000-0005-0000-0000-00002F1D0000}"/>
    <cellStyle name="Normal 8 3 10" xfId="4860" xr:uid="{00000000-0005-0000-0000-0000301D0000}"/>
    <cellStyle name="Normal 8 3 10 2" xfId="14186" xr:uid="{FAAE57EC-54D5-4A70-8D6A-B746471BD7F3}"/>
    <cellStyle name="Normal 8 3 11" xfId="8774" xr:uid="{81BDDADD-940D-4F3A-BD6C-7E4719C8A3D2}"/>
    <cellStyle name="Normal 8 3 11 2" xfId="18098" xr:uid="{7878E9ED-4858-4098-842C-0CA1C6756CB2}"/>
    <cellStyle name="Normal 8 3 12" xfId="9969" xr:uid="{B217F3E1-0529-4801-93A6-DA44F3D38655}"/>
    <cellStyle name="Normal 8 3 2" xfId="496" xr:uid="{00000000-0005-0000-0000-0000311D0000}"/>
    <cellStyle name="Normal 8 3 2 10" xfId="8837" xr:uid="{392842AA-84B1-4A71-AE94-A1B631487B7E}"/>
    <cellStyle name="Normal 8 3 2 10 2" xfId="18161" xr:uid="{697EB166-6B31-468A-AF9A-C59DA80E5609}"/>
    <cellStyle name="Normal 8 3 2 11" xfId="9970" xr:uid="{0145995F-E167-4195-9A5D-2D04D744B89C}"/>
    <cellStyle name="Normal 8 3 2 2" xfId="497" xr:uid="{00000000-0005-0000-0000-0000321D0000}"/>
    <cellStyle name="Normal 8 3 2 2 10" xfId="9971" xr:uid="{E7A78CB1-4B66-4C1C-B419-576AAF1D0BBE}"/>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8481BF8B-319C-4D6A-8EBE-6FF7060D998D}"/>
    <cellStyle name="Normal 8 3 2 2 2 2 2 3" xfId="12530" xr:uid="{EC9A3688-2045-4A8D-9BF0-5CDB24B72BFE}"/>
    <cellStyle name="Normal 8 3 2 2 2 2 3" xfId="5276" xr:uid="{00000000-0005-0000-0000-0000371D0000}"/>
    <cellStyle name="Normal 8 3 2 2 2 2 3 2" xfId="14602" xr:uid="{61CFC956-B877-41B9-96D1-ACF955F39D75}"/>
    <cellStyle name="Normal 8 3 2 2 2 2 4" xfId="9572" xr:uid="{83269435-2305-4677-BD8B-8CB801DC108A}"/>
    <cellStyle name="Normal 8 3 2 2 2 2 4 2" xfId="18887" xr:uid="{82303ECA-3402-4800-BD4B-D25EA8F924AB}"/>
    <cellStyle name="Normal 8 3 2 2 2 2 5" xfId="10385" xr:uid="{731D3E20-E6AB-4600-B02C-380C181796C2}"/>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2838C27C-13A7-4D7F-AC3A-ADC0692F3D18}"/>
    <cellStyle name="Normal 8 3 2 2 2 3 2 3" xfId="12943" xr:uid="{FF98666C-2CA9-429B-BB78-6787F1E57260}"/>
    <cellStyle name="Normal 8 3 2 2 2 3 3" xfId="5689" xr:uid="{00000000-0005-0000-0000-00003B1D0000}"/>
    <cellStyle name="Normal 8 3 2 2 2 3 3 2" xfId="15015" xr:uid="{FDBF5E12-BFD4-4EC0-A3D0-4185C1F0EC0C}"/>
    <cellStyle name="Normal 8 3 2 2 2 3 4" xfId="10798" xr:uid="{5CDC5D67-36DA-458A-9112-509EAF4AF695}"/>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426E93EE-A8DF-42F6-BA4A-34BD60F9160C}"/>
    <cellStyle name="Normal 8 3 2 2 2 4 2 3" xfId="13356" xr:uid="{2975BAD5-B12F-49FF-A4DC-E162BB117F9C}"/>
    <cellStyle name="Normal 8 3 2 2 2 4 3" xfId="6102" xr:uid="{00000000-0005-0000-0000-00003F1D0000}"/>
    <cellStyle name="Normal 8 3 2 2 2 4 3 2" xfId="15428" xr:uid="{D36F5859-D2B2-4815-9071-6832B3B085C2}"/>
    <cellStyle name="Normal 8 3 2 2 2 4 4" xfId="11211" xr:uid="{45F3A8BD-47D8-4EA1-A5F9-45F5083B93CB}"/>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020EE51E-5EAE-4610-9264-968596A2BE28}"/>
    <cellStyle name="Normal 8 3 2 2 2 5 2 3" xfId="13769" xr:uid="{A4B32450-5608-4465-81D0-A504697AD5C0}"/>
    <cellStyle name="Normal 8 3 2 2 2 5 3" xfId="6515" xr:uid="{00000000-0005-0000-0000-0000431D0000}"/>
    <cellStyle name="Normal 8 3 2 2 2 5 3 2" xfId="15841" xr:uid="{74A31860-3872-48B4-AD59-AA96E267F139}"/>
    <cellStyle name="Normal 8 3 2 2 2 5 4" xfId="11624" xr:uid="{D3FB9683-8796-49B8-A567-E25E5FC396C7}"/>
    <cellStyle name="Normal 8 3 2 2 2 6" xfId="2645" xr:uid="{00000000-0005-0000-0000-0000441D0000}"/>
    <cellStyle name="Normal 8 3 2 2 2 6 2" xfId="6928" xr:uid="{00000000-0005-0000-0000-0000451D0000}"/>
    <cellStyle name="Normal 8 3 2 2 2 6 2 2" xfId="16254" xr:uid="{CE595432-E65C-4649-9D8D-2C31924821C5}"/>
    <cellStyle name="Normal 8 3 2 2 2 6 3" xfId="12037" xr:uid="{A31AE111-B159-46CD-9706-8C37E69279A7}"/>
    <cellStyle name="Normal 8 3 2 2 2 7" xfId="4863" xr:uid="{00000000-0005-0000-0000-0000461D0000}"/>
    <cellStyle name="Normal 8 3 2 2 2 7 2" xfId="14189" xr:uid="{6E9841A8-118D-4675-B8C1-DCD96CB55000}"/>
    <cellStyle name="Normal 8 3 2 2 2 8" xfId="9147" xr:uid="{16780743-13F5-44BF-919B-157B86988913}"/>
    <cellStyle name="Normal 8 3 2 2 2 8 2" xfId="18471" xr:uid="{92EE8FB2-549F-42D4-B550-6FDB71925BF7}"/>
    <cellStyle name="Normal 8 3 2 2 2 9" xfId="9972" xr:uid="{A11996E1-5A2C-4BB7-9CDE-7EA20309EF55}"/>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F03F53F9-E923-4B27-9CCD-6D8CBD48AA14}"/>
    <cellStyle name="Normal 8 3 2 2 3 2 3" xfId="12529" xr:uid="{94AD5E80-B343-4741-8955-764CD04316BB}"/>
    <cellStyle name="Normal 8 3 2 2 3 3" xfId="5275" xr:uid="{00000000-0005-0000-0000-00004A1D0000}"/>
    <cellStyle name="Normal 8 3 2 2 3 3 2" xfId="14601" xr:uid="{E7DB05B4-7A05-4F11-8AF8-3348EF46DF2E}"/>
    <cellStyle name="Normal 8 3 2 2 3 4" xfId="9365" xr:uid="{47FF7C14-7484-41B9-856F-11398F7B2C7C}"/>
    <cellStyle name="Normal 8 3 2 2 3 4 2" xfId="18680" xr:uid="{6B37516D-B10B-462D-9FC7-11BDF4417B3D}"/>
    <cellStyle name="Normal 8 3 2 2 3 5" xfId="10384" xr:uid="{5A9C6122-2FF2-48C5-B3A8-9D6E08C506B8}"/>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504CD66E-9574-4A1D-A6CC-360B6203971D}"/>
    <cellStyle name="Normal 8 3 2 2 4 2 3" xfId="12942" xr:uid="{563AAE01-0D93-4D2F-8F8C-0E61B81043AC}"/>
    <cellStyle name="Normal 8 3 2 2 4 3" xfId="5688" xr:uid="{00000000-0005-0000-0000-00004E1D0000}"/>
    <cellStyle name="Normal 8 3 2 2 4 3 2" xfId="15014" xr:uid="{B07714F6-FBF9-486C-91F2-2DA4B2A9BEB2}"/>
    <cellStyle name="Normal 8 3 2 2 4 4" xfId="10797" xr:uid="{1328EE35-7FF8-445A-B09A-31CB45228319}"/>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F7CF8855-E4AB-4DD9-B89B-03B10F34DE88}"/>
    <cellStyle name="Normal 8 3 2 2 5 2 3" xfId="13355" xr:uid="{D0D89580-7A66-4B7B-ADAE-C05CAB19BBA2}"/>
    <cellStyle name="Normal 8 3 2 2 5 3" xfId="6101" xr:uid="{00000000-0005-0000-0000-0000521D0000}"/>
    <cellStyle name="Normal 8 3 2 2 5 3 2" xfId="15427" xr:uid="{6809BAA9-E7FA-4018-9BA6-991F9F60020F}"/>
    <cellStyle name="Normal 8 3 2 2 5 4" xfId="11210" xr:uid="{3DCBE9A5-5B1F-49A4-A14F-1AF8F324E695}"/>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3C1CCF37-BD9E-4143-AE92-328042DD79A1}"/>
    <cellStyle name="Normal 8 3 2 2 6 2 3" xfId="13768" xr:uid="{E7ECCE04-8A99-44CA-80FB-EA16FA1F81C7}"/>
    <cellStyle name="Normal 8 3 2 2 6 3" xfId="6514" xr:uid="{00000000-0005-0000-0000-0000561D0000}"/>
    <cellStyle name="Normal 8 3 2 2 6 3 2" xfId="15840" xr:uid="{891E99EB-4BCB-48D8-A7DA-426B0846E698}"/>
    <cellStyle name="Normal 8 3 2 2 6 4" xfId="11623" xr:uid="{5DC4C360-525A-435E-876D-6E026C292F63}"/>
    <cellStyle name="Normal 8 3 2 2 7" xfId="2644" xr:uid="{00000000-0005-0000-0000-0000571D0000}"/>
    <cellStyle name="Normal 8 3 2 2 7 2" xfId="6927" xr:uid="{00000000-0005-0000-0000-0000581D0000}"/>
    <cellStyle name="Normal 8 3 2 2 7 2 2" xfId="16253" xr:uid="{139E5439-03A1-457A-A206-1559D595E5B8}"/>
    <cellStyle name="Normal 8 3 2 2 7 3" xfId="12036" xr:uid="{948D573F-C5A0-4C27-A061-87DBA832B5ED}"/>
    <cellStyle name="Normal 8 3 2 2 8" xfId="4862" xr:uid="{00000000-0005-0000-0000-0000591D0000}"/>
    <cellStyle name="Normal 8 3 2 2 8 2" xfId="14188" xr:uid="{9211ACCD-1916-43B2-9EE9-734EC36298EF}"/>
    <cellStyle name="Normal 8 3 2 2 9" xfId="8940" xr:uid="{63944EF0-E10A-4406-A758-3BD135650136}"/>
    <cellStyle name="Normal 8 3 2 2 9 2" xfId="18264" xr:uid="{70386A87-B619-47CB-884D-0255A1C5869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7CCD8910-B690-44B2-A821-BE44E03EF259}"/>
    <cellStyle name="Normal 8 3 2 3 2 2 3" xfId="12531" xr:uid="{749F5734-4970-4696-B888-9C799A293B18}"/>
    <cellStyle name="Normal 8 3 2 3 2 3" xfId="5277" xr:uid="{00000000-0005-0000-0000-00005E1D0000}"/>
    <cellStyle name="Normal 8 3 2 3 2 3 2" xfId="14603" xr:uid="{335FA4E2-C842-4633-BE1C-85181B42A512}"/>
    <cellStyle name="Normal 8 3 2 3 2 4" xfId="9469" xr:uid="{7CA6C380-A6E9-4AF4-A29A-E40C8E9B5B5F}"/>
    <cellStyle name="Normal 8 3 2 3 2 4 2" xfId="18784" xr:uid="{5A582C46-AEF8-4C03-9FE3-700BC340881C}"/>
    <cellStyle name="Normal 8 3 2 3 2 5" xfId="10386" xr:uid="{8D0A7A81-C44D-4FFD-ADA1-B95B39C70310}"/>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75A51725-AD21-4983-B432-D9E231AEBA7C}"/>
    <cellStyle name="Normal 8 3 2 3 3 2 3" xfId="12944" xr:uid="{1731C399-AF84-4B84-A417-36989DDA28B1}"/>
    <cellStyle name="Normal 8 3 2 3 3 3" xfId="5690" xr:uid="{00000000-0005-0000-0000-0000621D0000}"/>
    <cellStyle name="Normal 8 3 2 3 3 3 2" xfId="15016" xr:uid="{07930E70-8DA3-4F3E-BD79-4A9E31B5F2CA}"/>
    <cellStyle name="Normal 8 3 2 3 3 4" xfId="10799" xr:uid="{74AA04C1-2EC7-4018-9705-DC0B0739D9A0}"/>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B8BB77A5-BCA3-4893-A26A-22D68F712FED}"/>
    <cellStyle name="Normal 8 3 2 3 4 2 3" xfId="13357" xr:uid="{E2B0CD4D-9E98-41BD-A0C9-237CECD593D7}"/>
    <cellStyle name="Normal 8 3 2 3 4 3" xfId="6103" xr:uid="{00000000-0005-0000-0000-0000661D0000}"/>
    <cellStyle name="Normal 8 3 2 3 4 3 2" xfId="15429" xr:uid="{1275C535-1C46-43CF-B297-C0D26104CC5F}"/>
    <cellStyle name="Normal 8 3 2 3 4 4" xfId="11212" xr:uid="{886B76AE-79C8-42E4-9EF4-16FD4942F1AD}"/>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D36C2D22-0A57-4DF4-A018-29700C4A955F}"/>
    <cellStyle name="Normal 8 3 2 3 5 2 3" xfId="13770" xr:uid="{5E74B098-0FED-4DED-A422-39F51BDCF244}"/>
    <cellStyle name="Normal 8 3 2 3 5 3" xfId="6516" xr:uid="{00000000-0005-0000-0000-00006A1D0000}"/>
    <cellStyle name="Normal 8 3 2 3 5 3 2" xfId="15842" xr:uid="{4D7C4367-2C18-4951-AF3B-AA8CB2A4F835}"/>
    <cellStyle name="Normal 8 3 2 3 5 4" xfId="11625" xr:uid="{77DCB2E5-1054-4B86-A7EA-54004D9DE5D5}"/>
    <cellStyle name="Normal 8 3 2 3 6" xfId="2646" xr:uid="{00000000-0005-0000-0000-00006B1D0000}"/>
    <cellStyle name="Normal 8 3 2 3 6 2" xfId="6929" xr:uid="{00000000-0005-0000-0000-00006C1D0000}"/>
    <cellStyle name="Normal 8 3 2 3 6 2 2" xfId="16255" xr:uid="{82F51CE7-5826-424A-A2FC-D27FECC5C95A}"/>
    <cellStyle name="Normal 8 3 2 3 6 3" xfId="12038" xr:uid="{EC85C69A-03A1-47BB-AD1E-7859F98890C5}"/>
    <cellStyle name="Normal 8 3 2 3 7" xfId="4864" xr:uid="{00000000-0005-0000-0000-00006D1D0000}"/>
    <cellStyle name="Normal 8 3 2 3 7 2" xfId="14190" xr:uid="{0142A5CF-EE3E-4B40-B596-AA5665B2C1D1}"/>
    <cellStyle name="Normal 8 3 2 3 8" xfId="9044" xr:uid="{5ED49706-9CA9-4EE9-B01D-112CD1DB587C}"/>
    <cellStyle name="Normal 8 3 2 3 8 2" xfId="18368" xr:uid="{01FA4533-A243-41AE-AABD-D50308366B04}"/>
    <cellStyle name="Normal 8 3 2 3 9" xfId="9973" xr:uid="{485C209D-54D9-4B17-97C6-C2164916F128}"/>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CA3D783B-CD26-4335-9C79-ECBA5FEA6BD8}"/>
    <cellStyle name="Normal 8 3 2 4 2 3" xfId="12528" xr:uid="{30008033-ADD3-45B4-8DA1-E86CE42FDFA5}"/>
    <cellStyle name="Normal 8 3 2 4 3" xfId="5274" xr:uid="{00000000-0005-0000-0000-0000711D0000}"/>
    <cellStyle name="Normal 8 3 2 4 3 2" xfId="14600" xr:uid="{E4F4B74F-17B0-424D-9194-D65314F0127B}"/>
    <cellStyle name="Normal 8 3 2 4 4" xfId="9262" xr:uid="{8842595C-CD28-4B10-9BE6-37883B4C2AA9}"/>
    <cellStyle name="Normal 8 3 2 4 4 2" xfId="18577" xr:uid="{81F9481E-ED00-4629-8B99-12E1736F686B}"/>
    <cellStyle name="Normal 8 3 2 4 5" xfId="10383" xr:uid="{E5717030-D5D3-4252-8E0F-EEC3EFFE6951}"/>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D6992C3B-B0BE-436E-84C3-83DDBD6E179D}"/>
    <cellStyle name="Normal 8 3 2 5 2 3" xfId="12941" xr:uid="{08B31408-9C52-4B4E-AA7E-C690E2159F01}"/>
    <cellStyle name="Normal 8 3 2 5 3" xfId="5687" xr:uid="{00000000-0005-0000-0000-0000751D0000}"/>
    <cellStyle name="Normal 8 3 2 5 3 2" xfId="15013" xr:uid="{F720D72C-4695-4537-AC3E-BAAA4BBB1D71}"/>
    <cellStyle name="Normal 8 3 2 5 4" xfId="10796" xr:uid="{DB1095F5-A583-4EF5-A7D0-B2571830532A}"/>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95787CCE-704F-4A78-96E6-A8A84A07B58E}"/>
    <cellStyle name="Normal 8 3 2 6 2 3" xfId="13354" xr:uid="{D96F342D-F0DD-4449-AD74-B5384A76B9AA}"/>
    <cellStyle name="Normal 8 3 2 6 3" xfId="6100" xr:uid="{00000000-0005-0000-0000-0000791D0000}"/>
    <cellStyle name="Normal 8 3 2 6 3 2" xfId="15426" xr:uid="{9C022E41-C12B-49EA-86A7-3436262CA831}"/>
    <cellStyle name="Normal 8 3 2 6 4" xfId="11209" xr:uid="{1B49D303-0CE6-4F95-BC30-FD5CD7A09DF6}"/>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CA861E9E-66D4-4867-875A-EAF523F01944}"/>
    <cellStyle name="Normal 8 3 2 7 2 3" xfId="13767" xr:uid="{9AC4DD89-4220-4376-AF77-CF927189F01D}"/>
    <cellStyle name="Normal 8 3 2 7 3" xfId="6513" xr:uid="{00000000-0005-0000-0000-00007D1D0000}"/>
    <cellStyle name="Normal 8 3 2 7 3 2" xfId="15839" xr:uid="{B522E7A1-DCAD-4EE6-9895-1B0FD3880EF1}"/>
    <cellStyle name="Normal 8 3 2 7 4" xfId="11622" xr:uid="{07D6EEE4-182D-4FA5-9F0B-91B71FE048C3}"/>
    <cellStyle name="Normal 8 3 2 8" xfId="2643" xr:uid="{00000000-0005-0000-0000-00007E1D0000}"/>
    <cellStyle name="Normal 8 3 2 8 2" xfId="6926" xr:uid="{00000000-0005-0000-0000-00007F1D0000}"/>
    <cellStyle name="Normal 8 3 2 8 2 2" xfId="16252" xr:uid="{985B1720-FE37-4849-A114-4BBCBA307D9F}"/>
    <cellStyle name="Normal 8 3 2 8 3" xfId="12035" xr:uid="{D9E84F87-C2F6-49EA-A00D-AF6C18D32B30}"/>
    <cellStyle name="Normal 8 3 2 9" xfId="4861" xr:uid="{00000000-0005-0000-0000-0000801D0000}"/>
    <cellStyle name="Normal 8 3 2 9 2" xfId="14187" xr:uid="{2ED682C1-A95C-4411-A523-FBE58FEF59D0}"/>
    <cellStyle name="Normal 8 3 3" xfId="500" xr:uid="{00000000-0005-0000-0000-0000811D0000}"/>
    <cellStyle name="Normal 8 3 3 10" xfId="9974" xr:uid="{2115837F-E210-4B44-B9B2-417A15A32FCC}"/>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D1E2291A-8AEB-4862-8842-0687739D80F5}"/>
    <cellStyle name="Normal 8 3 3 2 2 2 3" xfId="12533" xr:uid="{A23BBAF7-DCC1-4884-8B71-41586FCA1599}"/>
    <cellStyle name="Normal 8 3 3 2 2 3" xfId="5279" xr:uid="{00000000-0005-0000-0000-0000861D0000}"/>
    <cellStyle name="Normal 8 3 3 2 2 3 2" xfId="14605" xr:uid="{BE08564F-C449-4F8C-A37F-850E744EBFD2}"/>
    <cellStyle name="Normal 8 3 3 2 2 4" xfId="9509" xr:uid="{3B4378D3-7C51-4B91-822B-758528BFF352}"/>
    <cellStyle name="Normal 8 3 3 2 2 4 2" xfId="18824" xr:uid="{8D59ACF4-EC38-431A-A36C-DCBA66C66759}"/>
    <cellStyle name="Normal 8 3 3 2 2 5" xfId="10388" xr:uid="{EAF54373-80D7-484E-AE67-348248E24782}"/>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FE3FD81E-9F20-46EC-8382-393DA459217B}"/>
    <cellStyle name="Normal 8 3 3 2 3 2 3" xfId="12946" xr:uid="{EC5D4F88-DA3D-462B-A0AB-B6215CE0500A}"/>
    <cellStyle name="Normal 8 3 3 2 3 3" xfId="5692" xr:uid="{00000000-0005-0000-0000-00008A1D0000}"/>
    <cellStyle name="Normal 8 3 3 2 3 3 2" xfId="15018" xr:uid="{8F230194-72D4-4941-B56F-EDC9EFFAD9BF}"/>
    <cellStyle name="Normal 8 3 3 2 3 4" xfId="10801" xr:uid="{EE55E3B0-6372-48AD-8DAC-707394CAE690}"/>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291A71CD-1C3D-4772-A55E-3C00C9BDAE52}"/>
    <cellStyle name="Normal 8 3 3 2 4 2 3" xfId="13359" xr:uid="{65813923-B6DF-42BC-8219-F7C7A6BFDF05}"/>
    <cellStyle name="Normal 8 3 3 2 4 3" xfId="6105" xr:uid="{00000000-0005-0000-0000-00008E1D0000}"/>
    <cellStyle name="Normal 8 3 3 2 4 3 2" xfId="15431" xr:uid="{B7CB4119-E4AD-418B-B9FC-F9EB8064A06C}"/>
    <cellStyle name="Normal 8 3 3 2 4 4" xfId="11214" xr:uid="{202E125A-D04C-47F2-B935-EDF96857D66F}"/>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0936075D-F9E3-42A9-8A77-66D797D1D2C2}"/>
    <cellStyle name="Normal 8 3 3 2 5 2 3" xfId="13772" xr:uid="{FB4CAF41-FA84-4261-937C-8E020FF5C083}"/>
    <cellStyle name="Normal 8 3 3 2 5 3" xfId="6518" xr:uid="{00000000-0005-0000-0000-0000921D0000}"/>
    <cellStyle name="Normal 8 3 3 2 5 3 2" xfId="15844" xr:uid="{E2468D6B-EC72-46D8-93CC-B2F8FC1467E3}"/>
    <cellStyle name="Normal 8 3 3 2 5 4" xfId="11627" xr:uid="{8688CE49-7DEC-4731-91BE-D83D56B1CA14}"/>
    <cellStyle name="Normal 8 3 3 2 6" xfId="2648" xr:uid="{00000000-0005-0000-0000-0000931D0000}"/>
    <cellStyle name="Normal 8 3 3 2 6 2" xfId="6931" xr:uid="{00000000-0005-0000-0000-0000941D0000}"/>
    <cellStyle name="Normal 8 3 3 2 6 2 2" xfId="16257" xr:uid="{ABF3E11D-90B6-4BCA-B782-D732BD3D675E}"/>
    <cellStyle name="Normal 8 3 3 2 6 3" xfId="12040" xr:uid="{457068D0-92B2-42AF-9818-D65F73EB2FCB}"/>
    <cellStyle name="Normal 8 3 3 2 7" xfId="4866" xr:uid="{00000000-0005-0000-0000-0000951D0000}"/>
    <cellStyle name="Normal 8 3 3 2 7 2" xfId="14192" xr:uid="{F471D29A-B25F-454B-8D28-9E7E10DF0C6D}"/>
    <cellStyle name="Normal 8 3 3 2 8" xfId="9084" xr:uid="{94243AB7-0454-4C95-8E94-054E46718167}"/>
    <cellStyle name="Normal 8 3 3 2 8 2" xfId="18408" xr:uid="{112B4006-18FA-4028-B036-3A38C8FB41A8}"/>
    <cellStyle name="Normal 8 3 3 2 9" xfId="9975" xr:uid="{0FCB859D-8CAB-4EA2-B059-E6A56068F260}"/>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A7D8AC1D-F793-4AC3-AE78-DCB64416F948}"/>
    <cellStyle name="Normal 8 3 3 3 2 3" xfId="12532" xr:uid="{ECD51627-34EE-4914-8EFB-0CAB269EDD15}"/>
    <cellStyle name="Normal 8 3 3 3 3" xfId="5278" xr:uid="{00000000-0005-0000-0000-0000991D0000}"/>
    <cellStyle name="Normal 8 3 3 3 3 2" xfId="14604" xr:uid="{A53FAF7F-2617-4468-B260-D4B136EFAD01}"/>
    <cellStyle name="Normal 8 3 3 3 4" xfId="9302" xr:uid="{3985B908-2B56-4F9B-BEA3-8962926FD004}"/>
    <cellStyle name="Normal 8 3 3 3 4 2" xfId="18617" xr:uid="{4ACD6B06-0C94-48F1-A995-94678070BA77}"/>
    <cellStyle name="Normal 8 3 3 3 5" xfId="10387" xr:uid="{F308407D-5AD2-4A47-983B-6EC94CAA0EE2}"/>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3ACC6062-19E5-4D81-9307-C56084338171}"/>
    <cellStyle name="Normal 8 3 3 4 2 3" xfId="12945" xr:uid="{94810628-7656-4C75-917D-A7F34C353EF3}"/>
    <cellStyle name="Normal 8 3 3 4 3" xfId="5691" xr:uid="{00000000-0005-0000-0000-00009D1D0000}"/>
    <cellStyle name="Normal 8 3 3 4 3 2" xfId="15017" xr:uid="{7FC8333A-9C5B-4842-BE2D-71B367EDE294}"/>
    <cellStyle name="Normal 8 3 3 4 4" xfId="10800" xr:uid="{D8455118-639A-42D3-895A-E42BDFE28312}"/>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2797C2F7-6FD4-4AA2-AE73-B2066199E489}"/>
    <cellStyle name="Normal 8 3 3 5 2 3" xfId="13358" xr:uid="{53C14F8F-F3DE-4DA1-BE10-53A234B4294B}"/>
    <cellStyle name="Normal 8 3 3 5 3" xfId="6104" xr:uid="{00000000-0005-0000-0000-0000A11D0000}"/>
    <cellStyle name="Normal 8 3 3 5 3 2" xfId="15430" xr:uid="{CFD37D4B-7874-49DE-B286-619D8CEC52D7}"/>
    <cellStyle name="Normal 8 3 3 5 4" xfId="11213" xr:uid="{82B47084-13C1-48E0-92C7-4EA3423DC85E}"/>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6BAD7D29-181D-43D0-902E-05D31B198520}"/>
    <cellStyle name="Normal 8 3 3 6 2 3" xfId="13771" xr:uid="{9947A4FB-5959-4FE8-9FCB-C518F228A6AE}"/>
    <cellStyle name="Normal 8 3 3 6 3" xfId="6517" xr:uid="{00000000-0005-0000-0000-0000A51D0000}"/>
    <cellStyle name="Normal 8 3 3 6 3 2" xfId="15843" xr:uid="{5E401BDF-8B06-4177-A0DC-89F7A4516228}"/>
    <cellStyle name="Normal 8 3 3 6 4" xfId="11626" xr:uid="{6938C14E-6549-4442-B286-CE37DC09819A}"/>
    <cellStyle name="Normal 8 3 3 7" xfId="2647" xr:uid="{00000000-0005-0000-0000-0000A61D0000}"/>
    <cellStyle name="Normal 8 3 3 7 2" xfId="6930" xr:uid="{00000000-0005-0000-0000-0000A71D0000}"/>
    <cellStyle name="Normal 8 3 3 7 2 2" xfId="16256" xr:uid="{D0C2C495-80BD-451B-A8D7-2C8C1D716FB0}"/>
    <cellStyle name="Normal 8 3 3 7 3" xfId="12039" xr:uid="{26AA00EE-DB05-4A90-99BE-E7B819CA4745}"/>
    <cellStyle name="Normal 8 3 3 8" xfId="4865" xr:uid="{00000000-0005-0000-0000-0000A81D0000}"/>
    <cellStyle name="Normal 8 3 3 8 2" xfId="14191" xr:uid="{2D5FB77D-02CA-42D0-A8A1-1FA3352C52D0}"/>
    <cellStyle name="Normal 8 3 3 9" xfId="8877" xr:uid="{4F8231E3-800E-43E7-B1B6-9633EBFFFFE1}"/>
    <cellStyle name="Normal 8 3 3 9 2" xfId="18201" xr:uid="{25C4A1B9-1DB8-40C1-B880-C6139D82BADA}"/>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64D99808-ED06-4D67-867C-AA017042A8DE}"/>
    <cellStyle name="Normal 8 3 4 2 2 3" xfId="12534" xr:uid="{E496506A-5525-455C-9402-F68BC1341484}"/>
    <cellStyle name="Normal 8 3 4 2 3" xfId="5280" xr:uid="{00000000-0005-0000-0000-0000AD1D0000}"/>
    <cellStyle name="Normal 8 3 4 2 3 2" xfId="14606" xr:uid="{973F6227-AEF2-4B71-A66B-AABFF635DB0D}"/>
    <cellStyle name="Normal 8 3 4 2 4" xfId="9406" xr:uid="{8751BE45-E47B-4A0A-B0DE-04C14FAEA88D}"/>
    <cellStyle name="Normal 8 3 4 2 4 2" xfId="18721" xr:uid="{0FA002A5-1D81-41C5-8DB3-F75FCA81E641}"/>
    <cellStyle name="Normal 8 3 4 2 5" xfId="10389" xr:uid="{4500F149-17A5-4B2F-A5A4-436ADD27793F}"/>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92C6BE24-99B3-466E-99B6-F03B28FBCE41}"/>
    <cellStyle name="Normal 8 3 4 3 2 3" xfId="12947" xr:uid="{2C4830CB-79B6-4879-B782-93D8C235E205}"/>
    <cellStyle name="Normal 8 3 4 3 3" xfId="5693" xr:uid="{00000000-0005-0000-0000-0000B11D0000}"/>
    <cellStyle name="Normal 8 3 4 3 3 2" xfId="15019" xr:uid="{0878AF72-1648-46D4-8747-5307DC6C4E24}"/>
    <cellStyle name="Normal 8 3 4 3 4" xfId="10802" xr:uid="{0CAD6672-E941-4B3C-9936-68A974BF5782}"/>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18D154FD-140C-443F-9742-7E4E9CEE028B}"/>
    <cellStyle name="Normal 8 3 4 4 2 3" xfId="13360" xr:uid="{EBA20399-0E0D-4815-8CA2-683762208C62}"/>
    <cellStyle name="Normal 8 3 4 4 3" xfId="6106" xr:uid="{00000000-0005-0000-0000-0000B51D0000}"/>
    <cellStyle name="Normal 8 3 4 4 3 2" xfId="15432" xr:uid="{E0863FF4-3DA7-4970-BEB0-8FA8F5517245}"/>
    <cellStyle name="Normal 8 3 4 4 4" xfId="11215" xr:uid="{8ECD95F7-DA63-497F-85DC-24711E16B1B1}"/>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08D861DB-2701-42B3-9981-3C8E6E1AD30C}"/>
    <cellStyle name="Normal 8 3 4 5 2 3" xfId="13773" xr:uid="{BB4960FA-B718-4665-A9B9-708D3F271AF2}"/>
    <cellStyle name="Normal 8 3 4 5 3" xfId="6519" xr:uid="{00000000-0005-0000-0000-0000B91D0000}"/>
    <cellStyle name="Normal 8 3 4 5 3 2" xfId="15845" xr:uid="{485B3CA6-2904-4CE1-9BEB-74691012DF5F}"/>
    <cellStyle name="Normal 8 3 4 5 4" xfId="11628" xr:uid="{5C8BED45-5C96-4B5F-B1E1-ED7B2C8E4B1D}"/>
    <cellStyle name="Normal 8 3 4 6" xfId="2649" xr:uid="{00000000-0005-0000-0000-0000BA1D0000}"/>
    <cellStyle name="Normal 8 3 4 6 2" xfId="6932" xr:uid="{00000000-0005-0000-0000-0000BB1D0000}"/>
    <cellStyle name="Normal 8 3 4 6 2 2" xfId="16258" xr:uid="{E29F65D8-2705-485F-88E0-A2C1CCB34EFF}"/>
    <cellStyle name="Normal 8 3 4 6 3" xfId="12041" xr:uid="{D159FF8A-7125-44BD-8CBF-73887298DF66}"/>
    <cellStyle name="Normal 8 3 4 7" xfId="4867" xr:uid="{00000000-0005-0000-0000-0000BC1D0000}"/>
    <cellStyle name="Normal 8 3 4 7 2" xfId="14193" xr:uid="{D38ED4E6-D116-449C-85BB-9071440C2875}"/>
    <cellStyle name="Normal 8 3 4 8" xfId="8981" xr:uid="{BEE184E9-ECE6-4107-B29A-CC8BC7F28FA3}"/>
    <cellStyle name="Normal 8 3 4 8 2" xfId="18305" xr:uid="{F699FF9C-9A9E-4497-A300-B00FDA8C79F8}"/>
    <cellStyle name="Normal 8 3 4 9" xfId="9976" xr:uid="{6739C841-BD94-4782-93B5-C6E9BBFF502A}"/>
    <cellStyle name="Normal 8 3 5" xfId="962" xr:uid="{00000000-0005-0000-0000-0000BD1D0000}"/>
    <cellStyle name="Normal 8 3 5 2" xfId="3196" xr:uid="{00000000-0005-0000-0000-0000BE1D0000}"/>
    <cellStyle name="Normal 8 3 5 2 2" xfId="7418" xr:uid="{00000000-0005-0000-0000-0000BF1D0000}"/>
    <cellStyle name="Normal 8 3 5 2 2 2" xfId="16744" xr:uid="{E8279826-D0CF-4C30-9D84-42BA46B20D5F}"/>
    <cellStyle name="Normal 8 3 5 2 3" xfId="12527" xr:uid="{28F56050-67EB-4186-960F-73912F184F43}"/>
    <cellStyle name="Normal 8 3 5 3" xfId="5273" xr:uid="{00000000-0005-0000-0000-0000C01D0000}"/>
    <cellStyle name="Normal 8 3 5 3 2" xfId="14599" xr:uid="{C97B93F3-1CF2-4FFB-A1C1-1F47ED8F6EC0}"/>
    <cellStyle name="Normal 8 3 5 4" xfId="9198" xr:uid="{FA5A5C79-C3AC-4E17-9344-90C4E411EE0B}"/>
    <cellStyle name="Normal 8 3 5 4 2" xfId="18514" xr:uid="{7916C467-32CE-4B7C-A1B5-6DDBDB04CEF2}"/>
    <cellStyle name="Normal 8 3 5 5" xfId="10382" xr:uid="{4537ECE7-E52D-4845-8FE1-0DCF014A155B}"/>
    <cellStyle name="Normal 8 3 6" xfId="1379" xr:uid="{00000000-0005-0000-0000-0000C11D0000}"/>
    <cellStyle name="Normal 8 3 6 2" xfId="3609" xr:uid="{00000000-0005-0000-0000-0000C21D0000}"/>
    <cellStyle name="Normal 8 3 6 2 2" xfId="7831" xr:uid="{00000000-0005-0000-0000-0000C31D0000}"/>
    <cellStyle name="Normal 8 3 6 2 2 2" xfId="17157" xr:uid="{8549F9CE-8BF7-4384-95BA-616B6E8A4C01}"/>
    <cellStyle name="Normal 8 3 6 2 3" xfId="12940" xr:uid="{CB443F92-1A17-4302-8B4D-A596F8CBA608}"/>
    <cellStyle name="Normal 8 3 6 3" xfId="5686" xr:uid="{00000000-0005-0000-0000-0000C41D0000}"/>
    <cellStyle name="Normal 8 3 6 3 2" xfId="15012" xr:uid="{E16EAE86-6E03-44F5-85DA-10199CB93FA6}"/>
    <cellStyle name="Normal 8 3 6 4" xfId="10795" xr:uid="{36851E61-30EC-48D4-B625-834B1B47DA46}"/>
    <cellStyle name="Normal 8 3 7" xfId="1792" xr:uid="{00000000-0005-0000-0000-0000C51D0000}"/>
    <cellStyle name="Normal 8 3 7 2" xfId="4022" xr:uid="{00000000-0005-0000-0000-0000C61D0000}"/>
    <cellStyle name="Normal 8 3 7 2 2" xfId="8244" xr:uid="{00000000-0005-0000-0000-0000C71D0000}"/>
    <cellStyle name="Normal 8 3 7 2 2 2" xfId="17570" xr:uid="{8F0F31F4-299E-4056-88A2-EF79F6943516}"/>
    <cellStyle name="Normal 8 3 7 2 3" xfId="13353" xr:uid="{009467EA-967D-4C8E-9A73-117C357FD2D3}"/>
    <cellStyle name="Normal 8 3 7 3" xfId="6099" xr:uid="{00000000-0005-0000-0000-0000C81D0000}"/>
    <cellStyle name="Normal 8 3 7 3 2" xfId="15425" xr:uid="{8C1728D6-7A20-4E47-8D99-2A99F7CF8DEE}"/>
    <cellStyle name="Normal 8 3 7 4" xfId="11208" xr:uid="{0A6450B4-D573-4D68-89F3-D931ACF03216}"/>
    <cellStyle name="Normal 8 3 8" xfId="2206" xr:uid="{00000000-0005-0000-0000-0000C91D0000}"/>
    <cellStyle name="Normal 8 3 8 2" xfId="4435" xr:uid="{00000000-0005-0000-0000-0000CA1D0000}"/>
    <cellStyle name="Normal 8 3 8 2 2" xfId="8657" xr:uid="{00000000-0005-0000-0000-0000CB1D0000}"/>
    <cellStyle name="Normal 8 3 8 2 2 2" xfId="17983" xr:uid="{4B4DDD73-9562-44AD-A75F-4F2B3AB2530D}"/>
    <cellStyle name="Normal 8 3 8 2 3" xfId="13766" xr:uid="{3697DBE2-97B9-4B0E-B9D8-8A079130C7BC}"/>
    <cellStyle name="Normal 8 3 8 3" xfId="6512" xr:uid="{00000000-0005-0000-0000-0000CC1D0000}"/>
    <cellStyle name="Normal 8 3 8 3 2" xfId="15838" xr:uid="{2A8A5DD9-1096-4AFE-9A32-A9C23908FE69}"/>
    <cellStyle name="Normal 8 3 8 4" xfId="11621" xr:uid="{57F4052C-DA6C-4EBF-A015-48F7DAE646F4}"/>
    <cellStyle name="Normal 8 3 9" xfId="2642" xr:uid="{00000000-0005-0000-0000-0000CD1D0000}"/>
    <cellStyle name="Normal 8 3 9 2" xfId="6925" xr:uid="{00000000-0005-0000-0000-0000CE1D0000}"/>
    <cellStyle name="Normal 8 3 9 2 2" xfId="16251" xr:uid="{A15CDFC3-AC6C-4AD7-A857-DBC9BA496364}"/>
    <cellStyle name="Normal 8 3 9 3" xfId="12034" xr:uid="{6405151C-1658-4E49-951F-DF0B2104FBBE}"/>
    <cellStyle name="Normal 8 4" xfId="503" xr:uid="{00000000-0005-0000-0000-0000CF1D0000}"/>
    <cellStyle name="Normal 8 4 10" xfId="8834" xr:uid="{78848A4E-06FA-4050-B553-A3A7DEA1B047}"/>
    <cellStyle name="Normal 8 4 10 2" xfId="18158" xr:uid="{5403574E-AF8A-4FA2-9DEB-AA27A67EA220}"/>
    <cellStyle name="Normal 8 4 11" xfId="9977" xr:uid="{59DF6B78-B99E-4D3F-ADBF-DD5FBF2E18FC}"/>
    <cellStyle name="Normal 8 4 2" xfId="504" xr:uid="{00000000-0005-0000-0000-0000D01D0000}"/>
    <cellStyle name="Normal 8 4 2 10" xfId="9978" xr:uid="{C6C6E45B-C22A-4ADB-AB2D-FD6AD0B7BE6F}"/>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F9FEA447-22D3-477B-AAAC-6170CDD277A8}"/>
    <cellStyle name="Normal 8 4 2 2 2 2 3" xfId="12537" xr:uid="{E63BF451-8131-4A0A-8734-BD3A5779D97C}"/>
    <cellStyle name="Normal 8 4 2 2 2 3" xfId="5283" xr:uid="{00000000-0005-0000-0000-0000D51D0000}"/>
    <cellStyle name="Normal 8 4 2 2 2 3 2" xfId="14609" xr:uid="{9F604F76-839B-4648-AE22-A510F1AF20CF}"/>
    <cellStyle name="Normal 8 4 2 2 2 4" xfId="9569" xr:uid="{F21122F8-27BB-4D46-891E-281F736F5353}"/>
    <cellStyle name="Normal 8 4 2 2 2 4 2" xfId="18884" xr:uid="{DA13A61F-3362-4428-A4AE-B0BC032BE0DC}"/>
    <cellStyle name="Normal 8 4 2 2 2 5" xfId="10392" xr:uid="{AAF6D203-D0D9-4D82-AB73-53A7F9CF7A34}"/>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D36E216F-B09D-40E6-B37F-C2DC5750F616}"/>
    <cellStyle name="Normal 8 4 2 2 3 2 3" xfId="12950" xr:uid="{726F3734-89DE-4569-A713-AD2DC9E8A878}"/>
    <cellStyle name="Normal 8 4 2 2 3 3" xfId="5696" xr:uid="{00000000-0005-0000-0000-0000D91D0000}"/>
    <cellStyle name="Normal 8 4 2 2 3 3 2" xfId="15022" xr:uid="{D77224B5-5331-4A7E-BAF0-E5F7616B1535}"/>
    <cellStyle name="Normal 8 4 2 2 3 4" xfId="10805" xr:uid="{F2F96629-6DBC-423A-9D60-DC7C285A5283}"/>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BF069498-09A2-467E-BEE9-A967B0C951FF}"/>
    <cellStyle name="Normal 8 4 2 2 4 2 3" xfId="13363" xr:uid="{E33E5FC2-4C4E-474F-9A41-9A4F47883E93}"/>
    <cellStyle name="Normal 8 4 2 2 4 3" xfId="6109" xr:uid="{00000000-0005-0000-0000-0000DD1D0000}"/>
    <cellStyle name="Normal 8 4 2 2 4 3 2" xfId="15435" xr:uid="{49C50EAD-80C2-4CF8-B274-412B9C3EAB71}"/>
    <cellStyle name="Normal 8 4 2 2 4 4" xfId="11218" xr:uid="{5852CC5D-3A07-48F8-B28D-187129100312}"/>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659A132D-7D57-44FB-B0CA-EA9EEAC9961B}"/>
    <cellStyle name="Normal 8 4 2 2 5 2 3" xfId="13776" xr:uid="{F467D0D7-DD9C-4665-A215-00CE62A9A9BF}"/>
    <cellStyle name="Normal 8 4 2 2 5 3" xfId="6522" xr:uid="{00000000-0005-0000-0000-0000E11D0000}"/>
    <cellStyle name="Normal 8 4 2 2 5 3 2" xfId="15848" xr:uid="{0DB8D716-3FF1-4C32-B2AF-7D77CEF2D30E}"/>
    <cellStyle name="Normal 8 4 2 2 5 4" xfId="11631" xr:uid="{53EBFBD6-94A5-4D91-BAB9-EF39507B189F}"/>
    <cellStyle name="Normal 8 4 2 2 6" xfId="2652" xr:uid="{00000000-0005-0000-0000-0000E21D0000}"/>
    <cellStyle name="Normal 8 4 2 2 6 2" xfId="6935" xr:uid="{00000000-0005-0000-0000-0000E31D0000}"/>
    <cellStyle name="Normal 8 4 2 2 6 2 2" xfId="16261" xr:uid="{9B5563D1-98E0-41E3-8213-E020C3E2505D}"/>
    <cellStyle name="Normal 8 4 2 2 6 3" xfId="12044" xr:uid="{2DEABD4E-0AE5-4899-8CDA-0CF99967270D}"/>
    <cellStyle name="Normal 8 4 2 2 7" xfId="4870" xr:uid="{00000000-0005-0000-0000-0000E41D0000}"/>
    <cellStyle name="Normal 8 4 2 2 7 2" xfId="14196" xr:uid="{CC4B8288-3780-4D00-AD14-277C3C8B4BF0}"/>
    <cellStyle name="Normal 8 4 2 2 8" xfId="9144" xr:uid="{EF6B0978-3DE8-47DC-990C-0B47AAC8F1DC}"/>
    <cellStyle name="Normal 8 4 2 2 8 2" xfId="18468" xr:uid="{5E8BBA9B-CC6E-4978-9A01-63B5A90E3517}"/>
    <cellStyle name="Normal 8 4 2 2 9" xfId="9979" xr:uid="{84A9CD56-DF67-4B9B-96A9-CB520C4C0524}"/>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FAB6D5B6-313F-448C-B9DD-0E81FBBE3514}"/>
    <cellStyle name="Normal 8 4 2 3 2 3" xfId="12536" xr:uid="{08EE213D-D291-401D-B358-FD7A85AE68B1}"/>
    <cellStyle name="Normal 8 4 2 3 3" xfId="5282" xr:uid="{00000000-0005-0000-0000-0000E81D0000}"/>
    <cellStyle name="Normal 8 4 2 3 3 2" xfId="14608" xr:uid="{2AE218EE-5062-4B50-BC91-7772A1EF2CC9}"/>
    <cellStyle name="Normal 8 4 2 3 4" xfId="9362" xr:uid="{206856BB-FDDB-4012-ABFE-5E991E477A14}"/>
    <cellStyle name="Normal 8 4 2 3 4 2" xfId="18677" xr:uid="{3E2F8524-4D54-4FF3-8376-26416C3438A6}"/>
    <cellStyle name="Normal 8 4 2 3 5" xfId="10391" xr:uid="{E158994C-EBBC-4523-B9BE-085F7749AA71}"/>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C8904E80-507A-4D18-B510-050C7601B315}"/>
    <cellStyle name="Normal 8 4 2 4 2 3" xfId="12949" xr:uid="{DBB6B8F3-7620-45AA-9044-762E384C9491}"/>
    <cellStyle name="Normal 8 4 2 4 3" xfId="5695" xr:uid="{00000000-0005-0000-0000-0000EC1D0000}"/>
    <cellStyle name="Normal 8 4 2 4 3 2" xfId="15021" xr:uid="{DBD92718-672F-494F-8836-AB899E8A127D}"/>
    <cellStyle name="Normal 8 4 2 4 4" xfId="10804" xr:uid="{FFA8BC5B-1A1F-4604-AB7F-B63E501B8CD8}"/>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A7945F21-DA74-4E12-9AC7-8FF848A18CA3}"/>
    <cellStyle name="Normal 8 4 2 5 2 3" xfId="13362" xr:uid="{B3052662-D7D9-48D3-A89A-0860B1A8A0F8}"/>
    <cellStyle name="Normal 8 4 2 5 3" xfId="6108" xr:uid="{00000000-0005-0000-0000-0000F01D0000}"/>
    <cellStyle name="Normal 8 4 2 5 3 2" xfId="15434" xr:uid="{CF6E005C-70AF-4CE5-B1D5-BB939C6508A1}"/>
    <cellStyle name="Normal 8 4 2 5 4" xfId="11217" xr:uid="{74FA47BF-5338-46F3-A5BA-C6EEE5E19A91}"/>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F29C1E8D-B2C7-47B8-9DDE-DF791CB434FB}"/>
    <cellStyle name="Normal 8 4 2 6 2 3" xfId="13775" xr:uid="{ABF842E4-B6FC-4054-954C-1548BC913D59}"/>
    <cellStyle name="Normal 8 4 2 6 3" xfId="6521" xr:uid="{00000000-0005-0000-0000-0000F41D0000}"/>
    <cellStyle name="Normal 8 4 2 6 3 2" xfId="15847" xr:uid="{0F0A36FB-833F-4EF8-88FE-6CDAD00966E4}"/>
    <cellStyle name="Normal 8 4 2 6 4" xfId="11630" xr:uid="{7B2EA3B5-BF45-4593-AE73-E47A3775DC26}"/>
    <cellStyle name="Normal 8 4 2 7" xfId="2651" xr:uid="{00000000-0005-0000-0000-0000F51D0000}"/>
    <cellStyle name="Normal 8 4 2 7 2" xfId="6934" xr:uid="{00000000-0005-0000-0000-0000F61D0000}"/>
    <cellStyle name="Normal 8 4 2 7 2 2" xfId="16260" xr:uid="{1D4405D3-9D78-4801-871B-2E4B8E29BEB2}"/>
    <cellStyle name="Normal 8 4 2 7 3" xfId="12043" xr:uid="{9B28291C-C60E-41D1-B9A6-D9851D963172}"/>
    <cellStyle name="Normal 8 4 2 8" xfId="4869" xr:uid="{00000000-0005-0000-0000-0000F71D0000}"/>
    <cellStyle name="Normal 8 4 2 8 2" xfId="14195" xr:uid="{3C94150B-56D9-496F-8B60-8162DE0A05B9}"/>
    <cellStyle name="Normal 8 4 2 9" xfId="8937" xr:uid="{B425CDA4-C1C1-4A6C-AB85-CE28E324A88F}"/>
    <cellStyle name="Normal 8 4 2 9 2" xfId="18261" xr:uid="{B966E02A-D710-4FB6-AF98-790932C86715}"/>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3A73352E-CF0B-4772-9CB3-B9B5F89BBD1C}"/>
    <cellStyle name="Normal 8 4 3 2 2 3" xfId="12538" xr:uid="{200B621C-69FC-4AB5-9A46-E5B29FCF7C22}"/>
    <cellStyle name="Normal 8 4 3 2 3" xfId="5284" xr:uid="{00000000-0005-0000-0000-0000FC1D0000}"/>
    <cellStyle name="Normal 8 4 3 2 3 2" xfId="14610" xr:uid="{08F49335-792B-430B-A8CF-08F618D5F40B}"/>
    <cellStyle name="Normal 8 4 3 2 4" xfId="9466" xr:uid="{4C42748F-6D34-4D0D-8AE2-FFD5C0CBE26F}"/>
    <cellStyle name="Normal 8 4 3 2 4 2" xfId="18781" xr:uid="{733F8997-55DD-474B-BCDF-57FAEFC91053}"/>
    <cellStyle name="Normal 8 4 3 2 5" xfId="10393" xr:uid="{AE25B96D-28F9-4858-BA3F-793285EF2EF3}"/>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689F1F5E-45B8-4A9A-93B9-454AA663B67A}"/>
    <cellStyle name="Normal 8 4 3 3 2 3" xfId="12951" xr:uid="{A3572378-EA9B-4AF3-97A0-4E24A6D48367}"/>
    <cellStyle name="Normal 8 4 3 3 3" xfId="5697" xr:uid="{00000000-0005-0000-0000-0000001E0000}"/>
    <cellStyle name="Normal 8 4 3 3 3 2" xfId="15023" xr:uid="{435EFC9E-B521-455E-8476-188B0859B930}"/>
    <cellStyle name="Normal 8 4 3 3 4" xfId="10806" xr:uid="{5DA6CF75-A3CA-40E3-AD44-5A00AB0D81FA}"/>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BBB5F9BA-0CDA-4863-AFF2-082DF17E2B28}"/>
    <cellStyle name="Normal 8 4 3 4 2 3" xfId="13364" xr:uid="{3B258E0E-BD7B-4C8D-B615-16E8148C3942}"/>
    <cellStyle name="Normal 8 4 3 4 3" xfId="6110" xr:uid="{00000000-0005-0000-0000-0000041E0000}"/>
    <cellStyle name="Normal 8 4 3 4 3 2" xfId="15436" xr:uid="{3C275782-6DA9-4406-8EA5-7EA4C3F7E443}"/>
    <cellStyle name="Normal 8 4 3 4 4" xfId="11219" xr:uid="{4B848992-1F12-42CC-AC83-94BAB622A72B}"/>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EC3330BA-BDD4-44D5-B95F-973122EF9ACF}"/>
    <cellStyle name="Normal 8 4 3 5 2 3" xfId="13777" xr:uid="{8554D9F9-6919-4E12-A067-FA2858DF7968}"/>
    <cellStyle name="Normal 8 4 3 5 3" xfId="6523" xr:uid="{00000000-0005-0000-0000-0000081E0000}"/>
    <cellStyle name="Normal 8 4 3 5 3 2" xfId="15849" xr:uid="{7E7266E3-8157-4C00-BA1C-B52CEAFB2C16}"/>
    <cellStyle name="Normal 8 4 3 5 4" xfId="11632" xr:uid="{9A8D1670-45EF-4AAE-9EC7-172E967B540B}"/>
    <cellStyle name="Normal 8 4 3 6" xfId="2653" xr:uid="{00000000-0005-0000-0000-0000091E0000}"/>
    <cellStyle name="Normal 8 4 3 6 2" xfId="6936" xr:uid="{00000000-0005-0000-0000-00000A1E0000}"/>
    <cellStyle name="Normal 8 4 3 6 2 2" xfId="16262" xr:uid="{DC8A3F46-D8F8-4C65-BD7C-4D3F939CE0E7}"/>
    <cellStyle name="Normal 8 4 3 6 3" xfId="12045" xr:uid="{65521C73-DA54-4E0F-B023-5ECC64534C81}"/>
    <cellStyle name="Normal 8 4 3 7" xfId="4871" xr:uid="{00000000-0005-0000-0000-00000B1E0000}"/>
    <cellStyle name="Normal 8 4 3 7 2" xfId="14197" xr:uid="{F01923D7-CAB0-419B-BED2-8AA2CFFBC98D}"/>
    <cellStyle name="Normal 8 4 3 8" xfId="9041" xr:uid="{3EA15F1E-D38A-4BB8-BEC6-98D9A94BB79B}"/>
    <cellStyle name="Normal 8 4 3 8 2" xfId="18365" xr:uid="{0BA693D8-FF79-47F4-B858-B80B31F7D109}"/>
    <cellStyle name="Normal 8 4 3 9" xfId="9980" xr:uid="{D28410DE-0278-4B43-8DE7-C96C299FF331}"/>
    <cellStyle name="Normal 8 4 4" xfId="970" xr:uid="{00000000-0005-0000-0000-00000C1E0000}"/>
    <cellStyle name="Normal 8 4 4 2" xfId="3204" xr:uid="{00000000-0005-0000-0000-00000D1E0000}"/>
    <cellStyle name="Normal 8 4 4 2 2" xfId="7426" xr:uid="{00000000-0005-0000-0000-00000E1E0000}"/>
    <cellStyle name="Normal 8 4 4 2 2 2" xfId="16752" xr:uid="{B923F243-44DB-42D8-866D-A5CD23B7B7EE}"/>
    <cellStyle name="Normal 8 4 4 2 3" xfId="12535" xr:uid="{D423F5F0-6440-492E-84E8-F124D39891ED}"/>
    <cellStyle name="Normal 8 4 4 3" xfId="5281" xr:uid="{00000000-0005-0000-0000-00000F1E0000}"/>
    <cellStyle name="Normal 8 4 4 3 2" xfId="14607" xr:uid="{19D19A4E-7869-4E40-A442-7ABA6085D039}"/>
    <cellStyle name="Normal 8 4 4 4" xfId="9259" xr:uid="{45904BAA-3C39-482B-A2B6-0FB84C0B889C}"/>
    <cellStyle name="Normal 8 4 4 4 2" xfId="18574" xr:uid="{8DDEA51F-B06E-450A-BE35-E07B0069E372}"/>
    <cellStyle name="Normal 8 4 4 5" xfId="10390" xr:uid="{39E17405-1CA1-4839-A752-D35C69C855EB}"/>
    <cellStyle name="Normal 8 4 5" xfId="1387" xr:uid="{00000000-0005-0000-0000-0000101E0000}"/>
    <cellStyle name="Normal 8 4 5 2" xfId="3617" xr:uid="{00000000-0005-0000-0000-0000111E0000}"/>
    <cellStyle name="Normal 8 4 5 2 2" xfId="7839" xr:uid="{00000000-0005-0000-0000-0000121E0000}"/>
    <cellStyle name="Normal 8 4 5 2 2 2" xfId="17165" xr:uid="{CD50D4BB-6812-43FB-8899-ED9362B48CB8}"/>
    <cellStyle name="Normal 8 4 5 2 3" xfId="12948" xr:uid="{F632BAA5-58A7-4F9B-8E84-04D0E4A7ACA2}"/>
    <cellStyle name="Normal 8 4 5 3" xfId="5694" xr:uid="{00000000-0005-0000-0000-0000131E0000}"/>
    <cellStyle name="Normal 8 4 5 3 2" xfId="15020" xr:uid="{A2EEE5FF-F62A-4677-B6EA-182F3E7E2FCE}"/>
    <cellStyle name="Normal 8 4 5 4" xfId="10803" xr:uid="{314DBE47-62CD-4C72-988D-7D8C15105BE1}"/>
    <cellStyle name="Normal 8 4 6" xfId="1800" xr:uid="{00000000-0005-0000-0000-0000141E0000}"/>
    <cellStyle name="Normal 8 4 6 2" xfId="4030" xr:uid="{00000000-0005-0000-0000-0000151E0000}"/>
    <cellStyle name="Normal 8 4 6 2 2" xfId="8252" xr:uid="{00000000-0005-0000-0000-0000161E0000}"/>
    <cellStyle name="Normal 8 4 6 2 2 2" xfId="17578" xr:uid="{C564E26E-09CB-4534-86BD-698BEA39D262}"/>
    <cellStyle name="Normal 8 4 6 2 3" xfId="13361" xr:uid="{C871C8B5-A5D2-4403-87DE-DC599337184C}"/>
    <cellStyle name="Normal 8 4 6 3" xfId="6107" xr:uid="{00000000-0005-0000-0000-0000171E0000}"/>
    <cellStyle name="Normal 8 4 6 3 2" xfId="15433" xr:uid="{2B90B061-A6DF-40E0-A6D8-E87AF45491B5}"/>
    <cellStyle name="Normal 8 4 6 4" xfId="11216" xr:uid="{54992663-35DB-4EE4-AAAA-5FB27CEC0E0E}"/>
    <cellStyle name="Normal 8 4 7" xfId="2214" xr:uid="{00000000-0005-0000-0000-0000181E0000}"/>
    <cellStyle name="Normal 8 4 7 2" xfId="4443" xr:uid="{00000000-0005-0000-0000-0000191E0000}"/>
    <cellStyle name="Normal 8 4 7 2 2" xfId="8665" xr:uid="{00000000-0005-0000-0000-00001A1E0000}"/>
    <cellStyle name="Normal 8 4 7 2 2 2" xfId="17991" xr:uid="{CA39DD6F-3923-4336-AAA2-4D72BE3889E1}"/>
    <cellStyle name="Normal 8 4 7 2 3" xfId="13774" xr:uid="{BDDC9980-E73A-4783-9C2E-83AFC0004B53}"/>
    <cellStyle name="Normal 8 4 7 3" xfId="6520" xr:uid="{00000000-0005-0000-0000-00001B1E0000}"/>
    <cellStyle name="Normal 8 4 7 3 2" xfId="15846" xr:uid="{9D215606-CCF0-43D0-9935-C6EBC2A0F9C3}"/>
    <cellStyle name="Normal 8 4 7 4" xfId="11629" xr:uid="{82A1BAAC-62B9-4FF7-91A6-5E02B5E14E65}"/>
    <cellStyle name="Normal 8 4 8" xfId="2650" xr:uid="{00000000-0005-0000-0000-00001C1E0000}"/>
    <cellStyle name="Normal 8 4 8 2" xfId="6933" xr:uid="{00000000-0005-0000-0000-00001D1E0000}"/>
    <cellStyle name="Normal 8 4 8 2 2" xfId="16259" xr:uid="{1D7D5973-8F53-4FA0-B5F5-3A3EF3E87EF4}"/>
    <cellStyle name="Normal 8 4 8 3" xfId="12042" xr:uid="{22091C81-03BB-4DD3-9C6F-EA48CB45B7F2}"/>
    <cellStyle name="Normal 8 4 9" xfId="4868" xr:uid="{00000000-0005-0000-0000-00001E1E0000}"/>
    <cellStyle name="Normal 8 4 9 2" xfId="14194" xr:uid="{59C51633-A3B1-46E1-9143-189FE2331B78}"/>
    <cellStyle name="Normal 8 5" xfId="507" xr:uid="{00000000-0005-0000-0000-00001F1E0000}"/>
    <cellStyle name="Normal 8 5 10" xfId="9981" xr:uid="{918DFC4C-5E18-437D-BB86-9A4E8CB34C8E}"/>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503BE917-0B83-4B0D-B642-A0D4D1A5379C}"/>
    <cellStyle name="Normal 8 5 2 2 2 3" xfId="12540" xr:uid="{3EB18AB5-17AC-4184-A414-8C5A760E5DAB}"/>
    <cellStyle name="Normal 8 5 2 2 3" xfId="5286" xr:uid="{00000000-0005-0000-0000-0000241E0000}"/>
    <cellStyle name="Normal 8 5 2 2 3 2" xfId="14612" xr:uid="{89000A80-E2FF-456E-9CD0-33B7D595D0D4}"/>
    <cellStyle name="Normal 8 5 2 2 4" xfId="9477" xr:uid="{62ED1F43-6081-4B0B-94C3-5999D37D11C7}"/>
    <cellStyle name="Normal 8 5 2 2 4 2" xfId="18792" xr:uid="{782E7D1C-0D19-4221-89A2-ACF4A1913CB6}"/>
    <cellStyle name="Normal 8 5 2 2 5" xfId="10395" xr:uid="{90E6FEE6-2CF9-4B01-B96E-7AAB5C04DBEE}"/>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0F4184B2-B994-4E95-9BE7-0D2D3B770131}"/>
    <cellStyle name="Normal 8 5 2 3 2 3" xfId="12953" xr:uid="{D831CE60-A7AF-493C-9A73-B4171920DE11}"/>
    <cellStyle name="Normal 8 5 2 3 3" xfId="5699" xr:uid="{00000000-0005-0000-0000-0000281E0000}"/>
    <cellStyle name="Normal 8 5 2 3 3 2" xfId="15025" xr:uid="{DAF0A97F-3DBB-438C-8AD2-09D8B85656BD}"/>
    <cellStyle name="Normal 8 5 2 3 4" xfId="10808" xr:uid="{2B9B2B46-F6C7-4458-9189-A0B32292DD21}"/>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365DF0E2-F3D8-49F2-A350-D6124A2CB701}"/>
    <cellStyle name="Normal 8 5 2 4 2 3" xfId="13366" xr:uid="{6571F8C4-EB38-40CC-816D-025BFEE32D60}"/>
    <cellStyle name="Normal 8 5 2 4 3" xfId="6112" xr:uid="{00000000-0005-0000-0000-00002C1E0000}"/>
    <cellStyle name="Normal 8 5 2 4 3 2" xfId="15438" xr:uid="{D0C2D9E9-EAB1-495A-A262-7B5F3B37BDB5}"/>
    <cellStyle name="Normal 8 5 2 4 4" xfId="11221" xr:uid="{E0F06D9E-D00F-4C3D-8472-2ACA1AB3D9F4}"/>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09913F27-A38C-4784-B5B1-C6412EF554BA}"/>
    <cellStyle name="Normal 8 5 2 5 2 3" xfId="13779" xr:uid="{1476B165-66C5-4247-A7DF-0220EEBBE9F1}"/>
    <cellStyle name="Normal 8 5 2 5 3" xfId="6525" xr:uid="{00000000-0005-0000-0000-0000301E0000}"/>
    <cellStyle name="Normal 8 5 2 5 3 2" xfId="15851" xr:uid="{53B9A268-0DFB-4431-A003-D5B96602E9FC}"/>
    <cellStyle name="Normal 8 5 2 5 4" xfId="11634" xr:uid="{74C3D800-F4EC-4E62-9854-A0024E37FE39}"/>
    <cellStyle name="Normal 8 5 2 6" xfId="2655" xr:uid="{00000000-0005-0000-0000-0000311E0000}"/>
    <cellStyle name="Normal 8 5 2 6 2" xfId="6938" xr:uid="{00000000-0005-0000-0000-0000321E0000}"/>
    <cellStyle name="Normal 8 5 2 6 2 2" xfId="16264" xr:uid="{6B97035F-6355-41AE-ABA0-41EA861A7B99}"/>
    <cellStyle name="Normal 8 5 2 6 3" xfId="12047" xr:uid="{D46EF55D-7232-4BE1-ABD2-959656237A03}"/>
    <cellStyle name="Normal 8 5 2 7" xfId="4873" xr:uid="{00000000-0005-0000-0000-0000331E0000}"/>
    <cellStyle name="Normal 8 5 2 7 2" xfId="14199" xr:uid="{CB0E0DC0-7E26-4FFF-A62B-435B42AE00E3}"/>
    <cellStyle name="Normal 8 5 2 8" xfId="9052" xr:uid="{D754D15A-EECE-4975-9542-AF3C340304E3}"/>
    <cellStyle name="Normal 8 5 2 8 2" xfId="18376" xr:uid="{3D756E00-B15F-44A6-93EE-13E117C8589E}"/>
    <cellStyle name="Normal 8 5 2 9" xfId="9982" xr:uid="{971341DF-2E2E-4A50-A7A9-AEEFEC0ADA71}"/>
    <cellStyle name="Normal 8 5 3" xfId="974" xr:uid="{00000000-0005-0000-0000-0000341E0000}"/>
    <cellStyle name="Normal 8 5 3 2" xfId="3208" xr:uid="{00000000-0005-0000-0000-0000351E0000}"/>
    <cellStyle name="Normal 8 5 3 2 2" xfId="7430" xr:uid="{00000000-0005-0000-0000-0000361E0000}"/>
    <cellStyle name="Normal 8 5 3 2 2 2" xfId="16756" xr:uid="{9E6E6FB8-C61B-4E4C-9A93-196EC92BDB5C}"/>
    <cellStyle name="Normal 8 5 3 2 3" xfId="12539" xr:uid="{82526F88-9A06-4544-9D1B-44A2A778A2E7}"/>
    <cellStyle name="Normal 8 5 3 3" xfId="5285" xr:uid="{00000000-0005-0000-0000-0000371E0000}"/>
    <cellStyle name="Normal 8 5 3 3 2" xfId="14611" xr:uid="{1455A46D-04B9-4F4A-87BA-3ADF4E3E5179}"/>
    <cellStyle name="Normal 8 5 3 4" xfId="9270" xr:uid="{88F9D262-71F2-4DD2-A7F6-B0DCE74ABD45}"/>
    <cellStyle name="Normal 8 5 3 4 2" xfId="18585" xr:uid="{12E7ED10-54E2-46FE-B9BE-4D9DCAC8510E}"/>
    <cellStyle name="Normal 8 5 3 5" xfId="10394" xr:uid="{EABF0CAE-7CFC-4681-B673-3E45B351B2C8}"/>
    <cellStyle name="Normal 8 5 4" xfId="1391" xr:uid="{00000000-0005-0000-0000-0000381E0000}"/>
    <cellStyle name="Normal 8 5 4 2" xfId="3621" xr:uid="{00000000-0005-0000-0000-0000391E0000}"/>
    <cellStyle name="Normal 8 5 4 2 2" xfId="7843" xr:uid="{00000000-0005-0000-0000-00003A1E0000}"/>
    <cellStyle name="Normal 8 5 4 2 2 2" xfId="17169" xr:uid="{C198908C-A19E-4E88-82DF-909FDD804845}"/>
    <cellStyle name="Normal 8 5 4 2 3" xfId="12952" xr:uid="{4C8652F3-BD62-4E13-B971-1175C2D4AB7A}"/>
    <cellStyle name="Normal 8 5 4 3" xfId="5698" xr:uid="{00000000-0005-0000-0000-00003B1E0000}"/>
    <cellStyle name="Normal 8 5 4 3 2" xfId="15024" xr:uid="{5D9C3C53-27AE-4E04-B27E-24917DE38CCF}"/>
    <cellStyle name="Normal 8 5 4 4" xfId="10807" xr:uid="{50F426CD-C378-4A45-9678-39BF40EC0C82}"/>
    <cellStyle name="Normal 8 5 5" xfId="1804" xr:uid="{00000000-0005-0000-0000-00003C1E0000}"/>
    <cellStyle name="Normal 8 5 5 2" xfId="4034" xr:uid="{00000000-0005-0000-0000-00003D1E0000}"/>
    <cellStyle name="Normal 8 5 5 2 2" xfId="8256" xr:uid="{00000000-0005-0000-0000-00003E1E0000}"/>
    <cellStyle name="Normal 8 5 5 2 2 2" xfId="17582" xr:uid="{A3CBD527-44C3-40EA-AFC8-4BFD3F2ED9C9}"/>
    <cellStyle name="Normal 8 5 5 2 3" xfId="13365" xr:uid="{CC816E31-1D00-4407-A1D0-64BB1BA467D9}"/>
    <cellStyle name="Normal 8 5 5 3" xfId="6111" xr:uid="{00000000-0005-0000-0000-00003F1E0000}"/>
    <cellStyle name="Normal 8 5 5 3 2" xfId="15437" xr:uid="{F48DA375-B5E4-47FA-8AF1-11F2C88A0124}"/>
    <cellStyle name="Normal 8 5 5 4" xfId="11220" xr:uid="{C5D56480-DF74-4846-BE10-1FF45077FE24}"/>
    <cellStyle name="Normal 8 5 6" xfId="2218" xr:uid="{00000000-0005-0000-0000-0000401E0000}"/>
    <cellStyle name="Normal 8 5 6 2" xfId="4447" xr:uid="{00000000-0005-0000-0000-0000411E0000}"/>
    <cellStyle name="Normal 8 5 6 2 2" xfId="8669" xr:uid="{00000000-0005-0000-0000-0000421E0000}"/>
    <cellStyle name="Normal 8 5 6 2 2 2" xfId="17995" xr:uid="{D79F5889-C958-4B57-9E9B-A78CD8AB814E}"/>
    <cellStyle name="Normal 8 5 6 2 3" xfId="13778" xr:uid="{A916CE76-5135-42F6-A359-9E6683978300}"/>
    <cellStyle name="Normal 8 5 6 3" xfId="6524" xr:uid="{00000000-0005-0000-0000-0000431E0000}"/>
    <cellStyle name="Normal 8 5 6 3 2" xfId="15850" xr:uid="{C3E909ED-2AD9-4479-A6F0-9D7216577904}"/>
    <cellStyle name="Normal 8 5 6 4" xfId="11633" xr:uid="{24C44B51-9BA8-4890-94D3-F1D5DAFC58A7}"/>
    <cellStyle name="Normal 8 5 7" xfId="2654" xr:uid="{00000000-0005-0000-0000-0000441E0000}"/>
    <cellStyle name="Normal 8 5 7 2" xfId="6937" xr:uid="{00000000-0005-0000-0000-0000451E0000}"/>
    <cellStyle name="Normal 8 5 7 2 2" xfId="16263" xr:uid="{4051AAA9-3BE8-4ABA-956C-39BD512E2768}"/>
    <cellStyle name="Normal 8 5 7 3" xfId="12046" xr:uid="{0B520C4E-E70E-4A83-B43E-35F7A6B6CAE6}"/>
    <cellStyle name="Normal 8 5 8" xfId="4872" xr:uid="{00000000-0005-0000-0000-0000461E0000}"/>
    <cellStyle name="Normal 8 5 8 2" xfId="14198" xr:uid="{E28570DC-32F9-4345-91D7-DBA05072A62F}"/>
    <cellStyle name="Normal 8 5 9" xfId="8845" xr:uid="{C8167C67-59BC-42DE-816D-718433EFB28C}"/>
    <cellStyle name="Normal 8 5 9 2" xfId="18169" xr:uid="{C1DC7B2B-0C02-48B7-9E3E-ECD8062C0A39}"/>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45332787-80A9-4C0E-9366-7852AABA74D2}"/>
    <cellStyle name="Normal 8 6 2 2 3" xfId="12541" xr:uid="{6F654D1C-4298-41C6-B8C3-33D4BFDBF5DA}"/>
    <cellStyle name="Normal 8 6 2 3" xfId="5287" xr:uid="{00000000-0005-0000-0000-00004B1E0000}"/>
    <cellStyle name="Normal 8 6 2 3 2" xfId="14613" xr:uid="{BEA53408-817A-4E16-BD11-F16F528394B5}"/>
    <cellStyle name="Normal 8 6 2 4" xfId="9386" xr:uid="{45A5CE0D-B006-45BB-A53E-22B23F4367E3}"/>
    <cellStyle name="Normal 8 6 2 4 2" xfId="18701" xr:uid="{605E6005-9D2D-4AFD-B6DC-670D1AFE60F7}"/>
    <cellStyle name="Normal 8 6 2 5" xfId="10396" xr:uid="{A827C1B2-145F-46F7-B8C5-396AEBE39F89}"/>
    <cellStyle name="Normal 8 6 3" xfId="1393" xr:uid="{00000000-0005-0000-0000-00004C1E0000}"/>
    <cellStyle name="Normal 8 6 3 2" xfId="3623" xr:uid="{00000000-0005-0000-0000-00004D1E0000}"/>
    <cellStyle name="Normal 8 6 3 2 2" xfId="7845" xr:uid="{00000000-0005-0000-0000-00004E1E0000}"/>
    <cellStyle name="Normal 8 6 3 2 2 2" xfId="17171" xr:uid="{FE19A3AD-297C-44FE-8FF6-97490C06DE4E}"/>
    <cellStyle name="Normal 8 6 3 2 3" xfId="12954" xr:uid="{A0B1239D-5C47-4260-8A36-08370D4AAA59}"/>
    <cellStyle name="Normal 8 6 3 3" xfId="5700" xr:uid="{00000000-0005-0000-0000-00004F1E0000}"/>
    <cellStyle name="Normal 8 6 3 3 2" xfId="15026" xr:uid="{694762D8-9D76-4606-ACD9-DE55311D9289}"/>
    <cellStyle name="Normal 8 6 3 4" xfId="10809" xr:uid="{65B35A28-28FA-4B51-8998-90F9BAE80C6C}"/>
    <cellStyle name="Normal 8 6 4" xfId="1806" xr:uid="{00000000-0005-0000-0000-0000501E0000}"/>
    <cellStyle name="Normal 8 6 4 2" xfId="4036" xr:uid="{00000000-0005-0000-0000-0000511E0000}"/>
    <cellStyle name="Normal 8 6 4 2 2" xfId="8258" xr:uid="{00000000-0005-0000-0000-0000521E0000}"/>
    <cellStyle name="Normal 8 6 4 2 2 2" xfId="17584" xr:uid="{E754B4AF-F407-4310-B7C0-364BCABB6A35}"/>
    <cellStyle name="Normal 8 6 4 2 3" xfId="13367" xr:uid="{C2EC43BB-B504-4156-AA8F-6AB3A76BDF82}"/>
    <cellStyle name="Normal 8 6 4 3" xfId="6113" xr:uid="{00000000-0005-0000-0000-0000531E0000}"/>
    <cellStyle name="Normal 8 6 4 3 2" xfId="15439" xr:uid="{7E5391FA-65C1-4C81-B4F4-4FA55AE41389}"/>
    <cellStyle name="Normal 8 6 4 4" xfId="11222" xr:uid="{4A1B8CDF-8D3A-45AE-AA8E-5B6AAB443C6F}"/>
    <cellStyle name="Normal 8 6 5" xfId="2220" xr:uid="{00000000-0005-0000-0000-0000541E0000}"/>
    <cellStyle name="Normal 8 6 5 2" xfId="4449" xr:uid="{00000000-0005-0000-0000-0000551E0000}"/>
    <cellStyle name="Normal 8 6 5 2 2" xfId="8671" xr:uid="{00000000-0005-0000-0000-0000561E0000}"/>
    <cellStyle name="Normal 8 6 5 2 2 2" xfId="17997" xr:uid="{1F15E887-DE08-45CF-9056-BC3F6381F3CC}"/>
    <cellStyle name="Normal 8 6 5 2 3" xfId="13780" xr:uid="{F3F6B9D7-C7BC-414E-B49A-5A26E4A00489}"/>
    <cellStyle name="Normal 8 6 5 3" xfId="6526" xr:uid="{00000000-0005-0000-0000-0000571E0000}"/>
    <cellStyle name="Normal 8 6 5 3 2" xfId="15852" xr:uid="{6B5DE48B-B182-482A-94DD-EDFED8BC901F}"/>
    <cellStyle name="Normal 8 6 5 4" xfId="11635" xr:uid="{F665EA9D-0679-48B9-8629-EE034A5017F1}"/>
    <cellStyle name="Normal 8 6 6" xfId="2656" xr:uid="{00000000-0005-0000-0000-0000581E0000}"/>
    <cellStyle name="Normal 8 6 6 2" xfId="6939" xr:uid="{00000000-0005-0000-0000-0000591E0000}"/>
    <cellStyle name="Normal 8 6 6 2 2" xfId="16265" xr:uid="{57950970-DB56-45F7-A9E7-9562589431F2}"/>
    <cellStyle name="Normal 8 6 6 3" xfId="12048" xr:uid="{CDE47188-88AD-4325-B07A-4DE9193215DE}"/>
    <cellStyle name="Normal 8 6 7" xfId="4874" xr:uid="{00000000-0005-0000-0000-00005A1E0000}"/>
    <cellStyle name="Normal 8 6 7 2" xfId="14200" xr:uid="{C45E503E-27DE-4F86-B5B2-E882417F155A}"/>
    <cellStyle name="Normal 8 6 8" xfId="8961" xr:uid="{36060843-7B38-46C3-B2F1-7172ECB11EEE}"/>
    <cellStyle name="Normal 8 6 8 2" xfId="18285" xr:uid="{9B9AAD44-3951-486D-8CC7-45F0439D6A9D}"/>
    <cellStyle name="Normal 8 6 9" xfId="9983" xr:uid="{DE699935-43FD-4655-9B79-6004C31EAC0B}"/>
    <cellStyle name="Normal 8 7" xfId="945" xr:uid="{00000000-0005-0000-0000-00005B1E0000}"/>
    <cellStyle name="Normal 8 7 2" xfId="3179" xr:uid="{00000000-0005-0000-0000-00005C1E0000}"/>
    <cellStyle name="Normal 8 7 2 2" xfId="7401" xr:uid="{00000000-0005-0000-0000-00005D1E0000}"/>
    <cellStyle name="Normal 8 7 2 2 2" xfId="16727" xr:uid="{064811EF-953E-4FAC-857C-A2A2F0599195}"/>
    <cellStyle name="Normal 8 7 2 3" xfId="12510" xr:uid="{8ABF989B-21C6-4680-A218-B285FF99B8D5}"/>
    <cellStyle name="Normal 8 7 3" xfId="5256" xr:uid="{00000000-0005-0000-0000-00005E1E0000}"/>
    <cellStyle name="Normal 8 7 3 2" xfId="14582" xr:uid="{C1FE0B55-C986-45CE-B5C2-39CFD44263B5}"/>
    <cellStyle name="Normal 8 7 4" xfId="9164" xr:uid="{EA2ADDDA-E9AC-4FF8-B08B-61B1D6489A46}"/>
    <cellStyle name="Normal 8 7 4 2" xfId="18482" xr:uid="{46723E3B-EA29-48C6-A934-4A2A84EE13AE}"/>
    <cellStyle name="Normal 8 7 5" xfId="10365" xr:uid="{A4C8397A-C0D8-412D-B682-0F2B9FECA1E8}"/>
    <cellStyle name="Normal 8 8" xfId="1362" xr:uid="{00000000-0005-0000-0000-00005F1E0000}"/>
    <cellStyle name="Normal 8 8 2" xfId="3592" xr:uid="{00000000-0005-0000-0000-0000601E0000}"/>
    <cellStyle name="Normal 8 8 2 2" xfId="7814" xr:uid="{00000000-0005-0000-0000-0000611E0000}"/>
    <cellStyle name="Normal 8 8 2 2 2" xfId="17140" xr:uid="{4FC10B9B-0B16-4E89-872F-11DFFED50FC2}"/>
    <cellStyle name="Normal 8 8 2 3" xfId="12923" xr:uid="{3414C85B-F0A6-4CEB-B055-D85F8BFC2463}"/>
    <cellStyle name="Normal 8 8 3" xfId="5669" xr:uid="{00000000-0005-0000-0000-0000621E0000}"/>
    <cellStyle name="Normal 8 8 3 2" xfId="14995" xr:uid="{8E1C64A0-F7DE-405E-B162-ADFCDDCD9C77}"/>
    <cellStyle name="Normal 8 8 4" xfId="10778" xr:uid="{E2A89A6B-7FFF-4FE7-874E-6DC802E3C070}"/>
    <cellStyle name="Normal 8 9" xfId="1775" xr:uid="{00000000-0005-0000-0000-0000631E0000}"/>
    <cellStyle name="Normal 8 9 2" xfId="4005" xr:uid="{00000000-0005-0000-0000-0000641E0000}"/>
    <cellStyle name="Normal 8 9 2 2" xfId="8227" xr:uid="{00000000-0005-0000-0000-0000651E0000}"/>
    <cellStyle name="Normal 8 9 2 2 2" xfId="17553" xr:uid="{0604C7E3-F06F-4F52-8CC6-CBE3AA7BAB5B}"/>
    <cellStyle name="Normal 8 9 2 3" xfId="13336" xr:uid="{67DA4379-0EF8-41D7-AAD3-0A2654677987}"/>
    <cellStyle name="Normal 8 9 3" xfId="6082" xr:uid="{00000000-0005-0000-0000-0000661E0000}"/>
    <cellStyle name="Normal 8 9 3 2" xfId="15408" xr:uid="{B54E2BB1-21FF-4C58-ACB0-9CFC80F683CA}"/>
    <cellStyle name="Normal 8 9 4" xfId="11191" xr:uid="{8AE7D993-0950-4F1F-8C07-B2638128C741}"/>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3EC54BCA-3BFA-48F4-A918-C37E3D122F88}"/>
    <cellStyle name="Normal 9 2 10 3" xfId="12049" xr:uid="{74679D05-1C9F-42D2-BFDE-43023395A871}"/>
    <cellStyle name="Normal 9 2 11" xfId="4875" xr:uid="{00000000-0005-0000-0000-00006B1E0000}"/>
    <cellStyle name="Normal 9 2 11 2" xfId="14201" xr:uid="{4EC12A85-1124-4202-A356-B64D2390E52F}"/>
    <cellStyle name="Normal 9 2 12" xfId="8754" xr:uid="{9024D06A-4C5F-4C89-BCDB-29B8C924FF52}"/>
    <cellStyle name="Normal 9 2 12 2" xfId="18078" xr:uid="{DD8BA154-A18B-4697-818A-932CE826D3BB}"/>
    <cellStyle name="Normal 9 2 13" xfId="9984" xr:uid="{6CFE069D-DB46-485F-A6C8-6888DF858145}"/>
    <cellStyle name="Normal 9 2 2" xfId="512" xr:uid="{00000000-0005-0000-0000-00006C1E0000}"/>
    <cellStyle name="Normal 9 2 2 10" xfId="4876" xr:uid="{00000000-0005-0000-0000-00006D1E0000}"/>
    <cellStyle name="Normal 9 2 2 10 2" xfId="14202" xr:uid="{FAC3C2CE-B0BF-49A5-843B-499B0AFAD4EF}"/>
    <cellStyle name="Normal 9 2 2 11" xfId="8785" xr:uid="{3048542E-ED39-45ED-9C91-0140D2CF60D9}"/>
    <cellStyle name="Normal 9 2 2 11 2" xfId="18109" xr:uid="{21750C64-FF6E-437E-AD1A-95E2B4974A06}"/>
    <cellStyle name="Normal 9 2 2 12" xfId="9985" xr:uid="{843C6E4A-5921-438C-8317-68163F8D2E67}"/>
    <cellStyle name="Normal 9 2 2 2" xfId="513" xr:uid="{00000000-0005-0000-0000-00006E1E0000}"/>
    <cellStyle name="Normal 9 2 2 2 10" xfId="8839" xr:uid="{3B2DC7F4-4F49-4AE2-9279-EFD4857A149B}"/>
    <cellStyle name="Normal 9 2 2 2 10 2" xfId="18163" xr:uid="{CA480730-C84F-40E1-AED5-A1D5522BEE99}"/>
    <cellStyle name="Normal 9 2 2 2 11" xfId="9986" xr:uid="{050F70D4-0237-4DD1-B58B-2293FA5D62F3}"/>
    <cellStyle name="Normal 9 2 2 2 2" xfId="514" xr:uid="{00000000-0005-0000-0000-00006F1E0000}"/>
    <cellStyle name="Normal 9 2 2 2 2 10" xfId="9987" xr:uid="{3882ECFC-C03A-438B-BBBF-99BAC0687C8B}"/>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7E187ED6-4CF9-46BD-82FF-75BAC39A864C}"/>
    <cellStyle name="Normal 9 2 2 2 2 2 2 2 3" xfId="12546" xr:uid="{63D97E26-BED0-4EB8-AB6D-306957AB1D1E}"/>
    <cellStyle name="Normal 9 2 2 2 2 2 2 3" xfId="5292" xr:uid="{00000000-0005-0000-0000-0000741E0000}"/>
    <cellStyle name="Normal 9 2 2 2 2 2 2 3 2" xfId="14618" xr:uid="{7B7D9EA1-BF3A-47C1-A236-3BE5412A2D82}"/>
    <cellStyle name="Normal 9 2 2 2 2 2 2 4" xfId="9574" xr:uid="{00EB170D-8A20-4280-B781-E452C3590555}"/>
    <cellStyle name="Normal 9 2 2 2 2 2 2 4 2" xfId="18889" xr:uid="{CBB7B04A-9319-4736-882D-685B40AE7586}"/>
    <cellStyle name="Normal 9 2 2 2 2 2 2 5" xfId="10401" xr:uid="{7D77E972-77E1-45AD-A33D-3377F1A6CA39}"/>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FE87FC34-5780-4CE7-B321-02F118EBC9E8}"/>
    <cellStyle name="Normal 9 2 2 2 2 2 3 2 3" xfId="12959" xr:uid="{AF6D96FB-2B84-47CA-8748-881BBAA410FA}"/>
    <cellStyle name="Normal 9 2 2 2 2 2 3 3" xfId="5705" xr:uid="{00000000-0005-0000-0000-0000781E0000}"/>
    <cellStyle name="Normal 9 2 2 2 2 2 3 3 2" xfId="15031" xr:uid="{25CF3111-96F9-404F-8FF7-183748DC71C4}"/>
    <cellStyle name="Normal 9 2 2 2 2 2 3 4" xfId="10814" xr:uid="{8FE92FA2-4565-4811-B175-FD049C0FA2AA}"/>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5F12BB14-F477-443A-A0AA-7EF115108089}"/>
    <cellStyle name="Normal 9 2 2 2 2 2 4 2 3" xfId="13372" xr:uid="{83661540-9263-4ADD-BA40-D4583BCE8B44}"/>
    <cellStyle name="Normal 9 2 2 2 2 2 4 3" xfId="6118" xr:uid="{00000000-0005-0000-0000-00007C1E0000}"/>
    <cellStyle name="Normal 9 2 2 2 2 2 4 3 2" xfId="15444" xr:uid="{5B529A38-5EF4-40D3-8602-00039ADC4E1B}"/>
    <cellStyle name="Normal 9 2 2 2 2 2 4 4" xfId="11227" xr:uid="{CC7E9063-2E0B-4CC2-828D-43D568D322F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2A12E3EB-5EF0-4DC1-8B0A-F03E81D4B47B}"/>
    <cellStyle name="Normal 9 2 2 2 2 2 5 2 3" xfId="13785" xr:uid="{DB32AF15-3DF9-4E15-B126-2344F307F635}"/>
    <cellStyle name="Normal 9 2 2 2 2 2 5 3" xfId="6531" xr:uid="{00000000-0005-0000-0000-0000801E0000}"/>
    <cellStyle name="Normal 9 2 2 2 2 2 5 3 2" xfId="15857" xr:uid="{B8EF6774-AD88-4E09-B268-6DBBCA7C5CE2}"/>
    <cellStyle name="Normal 9 2 2 2 2 2 5 4" xfId="11640" xr:uid="{47E60B7A-1B4A-496B-9412-73E50D5D8094}"/>
    <cellStyle name="Normal 9 2 2 2 2 2 6" xfId="2661" xr:uid="{00000000-0005-0000-0000-0000811E0000}"/>
    <cellStyle name="Normal 9 2 2 2 2 2 6 2" xfId="6944" xr:uid="{00000000-0005-0000-0000-0000821E0000}"/>
    <cellStyle name="Normal 9 2 2 2 2 2 6 2 2" xfId="16270" xr:uid="{1449D7CD-4309-4462-9BFB-78C563A52E86}"/>
    <cellStyle name="Normal 9 2 2 2 2 2 6 3" xfId="12053" xr:uid="{D723BFDD-6D16-42F0-98F3-86A891AB4882}"/>
    <cellStyle name="Normal 9 2 2 2 2 2 7" xfId="4879" xr:uid="{00000000-0005-0000-0000-0000831E0000}"/>
    <cellStyle name="Normal 9 2 2 2 2 2 7 2" xfId="14205" xr:uid="{490C9986-563C-42AC-9F36-3264573E1FA5}"/>
    <cellStyle name="Normal 9 2 2 2 2 2 8" xfId="9149" xr:uid="{6C0BEC1E-EE3B-4956-830C-8775C93DB46A}"/>
    <cellStyle name="Normal 9 2 2 2 2 2 8 2" xfId="18473" xr:uid="{F73DEF3E-24DA-4FBF-8DA2-353F81642C40}"/>
    <cellStyle name="Normal 9 2 2 2 2 2 9" xfId="9988" xr:uid="{9C5967ED-257E-45D7-9DE3-49401833A709}"/>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96D928AB-2F3C-403F-AA23-E0BD2DEE8303}"/>
    <cellStyle name="Normal 9 2 2 2 2 3 2 3" xfId="12545" xr:uid="{71CA3D38-8BDE-404E-9B7E-03607D7024DA}"/>
    <cellStyle name="Normal 9 2 2 2 2 3 3" xfId="5291" xr:uid="{00000000-0005-0000-0000-0000871E0000}"/>
    <cellStyle name="Normal 9 2 2 2 2 3 3 2" xfId="14617" xr:uid="{E2607140-EE43-4414-BA0D-FE76985FD7E2}"/>
    <cellStyle name="Normal 9 2 2 2 2 3 4" xfId="9367" xr:uid="{4A654E22-020A-4B0F-8753-639C44EA908A}"/>
    <cellStyle name="Normal 9 2 2 2 2 3 4 2" xfId="18682" xr:uid="{3ACB7BB1-4986-43E6-ADCB-FBB4716322FE}"/>
    <cellStyle name="Normal 9 2 2 2 2 3 5" xfId="10400" xr:uid="{EB75C3B3-C8D2-4E58-8F77-FC485EC3C17D}"/>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8E22F625-5FE4-4CFE-B089-7E2CA1FED390}"/>
    <cellStyle name="Normal 9 2 2 2 2 4 2 3" xfId="12958" xr:uid="{1230FD8F-8C16-46C9-8A55-0D0B85BBEEB2}"/>
    <cellStyle name="Normal 9 2 2 2 2 4 3" xfId="5704" xr:uid="{00000000-0005-0000-0000-00008B1E0000}"/>
    <cellStyle name="Normal 9 2 2 2 2 4 3 2" xfId="15030" xr:uid="{A3B6419C-6693-497B-8FF3-F6D8D3228197}"/>
    <cellStyle name="Normal 9 2 2 2 2 4 4" xfId="10813" xr:uid="{FE727AF8-BA7A-40A3-ABFB-4FF6328EB8CB}"/>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44EC8A12-A85A-4913-81E0-59B2BD910563}"/>
    <cellStyle name="Normal 9 2 2 2 2 5 2 3" xfId="13371" xr:uid="{484720CA-486E-43A6-B2DB-A403A4BA3AFA}"/>
    <cellStyle name="Normal 9 2 2 2 2 5 3" xfId="6117" xr:uid="{00000000-0005-0000-0000-00008F1E0000}"/>
    <cellStyle name="Normal 9 2 2 2 2 5 3 2" xfId="15443" xr:uid="{8AA964F8-6C3D-46FF-94E3-5B80347D6FB5}"/>
    <cellStyle name="Normal 9 2 2 2 2 5 4" xfId="11226" xr:uid="{1E2F75CA-F58F-4302-B5B0-15E44B033C3E}"/>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A73D46A1-4FAC-427A-B51F-4C0C98232577}"/>
    <cellStyle name="Normal 9 2 2 2 2 6 2 3" xfId="13784" xr:uid="{C25A11F7-3E33-4484-A50B-D62FB0A036AB}"/>
    <cellStyle name="Normal 9 2 2 2 2 6 3" xfId="6530" xr:uid="{00000000-0005-0000-0000-0000931E0000}"/>
    <cellStyle name="Normal 9 2 2 2 2 6 3 2" xfId="15856" xr:uid="{A1FAECED-95E4-46DD-B29E-562CC7E5A4AC}"/>
    <cellStyle name="Normal 9 2 2 2 2 6 4" xfId="11639" xr:uid="{841014D5-AE47-4B9E-B2D9-0F409551AC1C}"/>
    <cellStyle name="Normal 9 2 2 2 2 7" xfId="2660" xr:uid="{00000000-0005-0000-0000-0000941E0000}"/>
    <cellStyle name="Normal 9 2 2 2 2 7 2" xfId="6943" xr:uid="{00000000-0005-0000-0000-0000951E0000}"/>
    <cellStyle name="Normal 9 2 2 2 2 7 2 2" xfId="16269" xr:uid="{400CBC17-0585-45C4-9F85-6A6DAA0DEF8C}"/>
    <cellStyle name="Normal 9 2 2 2 2 7 3" xfId="12052" xr:uid="{E71872F9-9F6D-4087-A174-24E6AE254240}"/>
    <cellStyle name="Normal 9 2 2 2 2 8" xfId="4878" xr:uid="{00000000-0005-0000-0000-0000961E0000}"/>
    <cellStyle name="Normal 9 2 2 2 2 8 2" xfId="14204" xr:uid="{BE691F18-D7E7-4DB1-95DD-F214CFED3D92}"/>
    <cellStyle name="Normal 9 2 2 2 2 9" xfId="8942" xr:uid="{0DE8A022-819C-4D6A-B102-31C1C7F429A5}"/>
    <cellStyle name="Normal 9 2 2 2 2 9 2" xfId="18266" xr:uid="{F9722A43-20A7-4976-A250-EFFE844DCA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6D385F38-A0F6-472A-8209-F09565A43AC0}"/>
    <cellStyle name="Normal 9 2 2 2 3 2 2 3" xfId="12547" xr:uid="{4B34666C-1E75-48EB-900F-6DBB3EDBFF45}"/>
    <cellStyle name="Normal 9 2 2 2 3 2 3" xfId="5293" xr:uid="{00000000-0005-0000-0000-00009B1E0000}"/>
    <cellStyle name="Normal 9 2 2 2 3 2 3 2" xfId="14619" xr:uid="{59522FD7-C92F-4EAE-896C-F5B5F7D4A1C4}"/>
    <cellStyle name="Normal 9 2 2 2 3 2 4" xfId="9471" xr:uid="{E472D827-532E-42C0-B781-9E63FEBCFCF5}"/>
    <cellStyle name="Normal 9 2 2 2 3 2 4 2" xfId="18786" xr:uid="{ED91A263-C9F3-41D0-9125-B9AA020D95E4}"/>
    <cellStyle name="Normal 9 2 2 2 3 2 5" xfId="10402" xr:uid="{2210112A-2861-4696-B6E4-2AB9FADB3E9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330EE6E1-CA8C-475A-9315-22ED849FF731}"/>
    <cellStyle name="Normal 9 2 2 2 3 3 2 3" xfId="12960" xr:uid="{F6ED70F7-1F6C-4002-876D-8A4F6F7C0C83}"/>
    <cellStyle name="Normal 9 2 2 2 3 3 3" xfId="5706" xr:uid="{00000000-0005-0000-0000-00009F1E0000}"/>
    <cellStyle name="Normal 9 2 2 2 3 3 3 2" xfId="15032" xr:uid="{D54F9325-BD59-4482-9154-945364E331F3}"/>
    <cellStyle name="Normal 9 2 2 2 3 3 4" xfId="10815" xr:uid="{44F1B74D-C114-47DC-B3E6-23EDB6FB184E}"/>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535A44EF-6AB3-4232-BBB7-1D78F970172F}"/>
    <cellStyle name="Normal 9 2 2 2 3 4 2 3" xfId="13373" xr:uid="{D59A56D9-A316-4E1F-8B34-F0AF971475F3}"/>
    <cellStyle name="Normal 9 2 2 2 3 4 3" xfId="6119" xr:uid="{00000000-0005-0000-0000-0000A31E0000}"/>
    <cellStyle name="Normal 9 2 2 2 3 4 3 2" xfId="15445" xr:uid="{12B6D1AE-6660-41C3-B41C-743C9A678105}"/>
    <cellStyle name="Normal 9 2 2 2 3 4 4" xfId="11228" xr:uid="{2780BD47-A9C4-4B34-BB54-F9C997FB05CE}"/>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E1059D5C-A7E2-45C1-9CFF-7F495AED5D6C}"/>
    <cellStyle name="Normal 9 2 2 2 3 5 2 3" xfId="13786" xr:uid="{1A9EBB47-0DB2-4DCD-B884-3F8629B20904}"/>
    <cellStyle name="Normal 9 2 2 2 3 5 3" xfId="6532" xr:uid="{00000000-0005-0000-0000-0000A71E0000}"/>
    <cellStyle name="Normal 9 2 2 2 3 5 3 2" xfId="15858" xr:uid="{1077DE4A-70B2-445C-8F35-AD9625574901}"/>
    <cellStyle name="Normal 9 2 2 2 3 5 4" xfId="11641" xr:uid="{3DE5D585-DB32-4F18-8736-4A006F549DF8}"/>
    <cellStyle name="Normal 9 2 2 2 3 6" xfId="2662" xr:uid="{00000000-0005-0000-0000-0000A81E0000}"/>
    <cellStyle name="Normal 9 2 2 2 3 6 2" xfId="6945" xr:uid="{00000000-0005-0000-0000-0000A91E0000}"/>
    <cellStyle name="Normal 9 2 2 2 3 6 2 2" xfId="16271" xr:uid="{3AC325F3-FBCF-41B4-B1A6-000B0CF6158B}"/>
    <cellStyle name="Normal 9 2 2 2 3 6 3" xfId="12054" xr:uid="{AE4103C1-0C56-4B64-88E8-B78C06302C3B}"/>
    <cellStyle name="Normal 9 2 2 2 3 7" xfId="4880" xr:uid="{00000000-0005-0000-0000-0000AA1E0000}"/>
    <cellStyle name="Normal 9 2 2 2 3 7 2" xfId="14206" xr:uid="{3CE9467F-B871-44A5-AA04-C3BD7A054EF0}"/>
    <cellStyle name="Normal 9 2 2 2 3 8" xfId="9046" xr:uid="{6B7E07C7-E90B-4AE9-8FE8-76EF28E8FC85}"/>
    <cellStyle name="Normal 9 2 2 2 3 8 2" xfId="18370" xr:uid="{14614A7D-1A7E-4BEB-84A5-8B2FAC94ABE9}"/>
    <cellStyle name="Normal 9 2 2 2 3 9" xfId="9989" xr:uid="{9E3277DE-6F70-46FC-9A36-C28D09C950F5}"/>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3282E87A-C5CD-4D67-8AB8-0001B9814182}"/>
    <cellStyle name="Normal 9 2 2 2 4 2 3" xfId="12544" xr:uid="{B73F290E-02E5-4361-80C0-91EC5280EDE8}"/>
    <cellStyle name="Normal 9 2 2 2 4 3" xfId="5290" xr:uid="{00000000-0005-0000-0000-0000AE1E0000}"/>
    <cellStyle name="Normal 9 2 2 2 4 3 2" xfId="14616" xr:uid="{A26D78AE-4825-4E9E-9099-D28A412FF61A}"/>
    <cellStyle name="Normal 9 2 2 2 4 4" xfId="9264" xr:uid="{0137E036-48D9-4B3B-9B73-0002A19DDE9E}"/>
    <cellStyle name="Normal 9 2 2 2 4 4 2" xfId="18579" xr:uid="{F9926C66-E12A-4A8C-899D-C4CF3EDFF597}"/>
    <cellStyle name="Normal 9 2 2 2 4 5" xfId="10399" xr:uid="{1466BA4B-9909-4BF7-9BF6-DFB479501FD7}"/>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3E1D1B05-C60B-438F-AF23-B51AB9AE3A61}"/>
    <cellStyle name="Normal 9 2 2 2 5 2 3" xfId="12957" xr:uid="{46092922-4A9D-4E30-AC0C-D6E2540D1402}"/>
    <cellStyle name="Normal 9 2 2 2 5 3" xfId="5703" xr:uid="{00000000-0005-0000-0000-0000B21E0000}"/>
    <cellStyle name="Normal 9 2 2 2 5 3 2" xfId="15029" xr:uid="{7D584ABB-E142-42EF-998F-89104802BD11}"/>
    <cellStyle name="Normal 9 2 2 2 5 4" xfId="10812" xr:uid="{F0B868F2-0230-4369-8937-73262B2B7942}"/>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BBBE7A6D-E83F-43FD-AC8E-9EAD5B161D0A}"/>
    <cellStyle name="Normal 9 2 2 2 6 2 3" xfId="13370" xr:uid="{483C89A6-9863-4E6D-A64F-0082CB96546B}"/>
    <cellStyle name="Normal 9 2 2 2 6 3" xfId="6116" xr:uid="{00000000-0005-0000-0000-0000B61E0000}"/>
    <cellStyle name="Normal 9 2 2 2 6 3 2" xfId="15442" xr:uid="{24918193-67E1-4827-A1AE-C4400E4ECFD9}"/>
    <cellStyle name="Normal 9 2 2 2 6 4" xfId="11225" xr:uid="{FA232944-AA8D-4E9D-ABB1-5543B1B4BBAB}"/>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34E1F550-64DA-4213-ABA7-D0F96EA172F9}"/>
    <cellStyle name="Normal 9 2 2 2 7 2 3" xfId="13783" xr:uid="{3D636B7A-7152-4DF5-9EAF-E258C0894DA7}"/>
    <cellStyle name="Normal 9 2 2 2 7 3" xfId="6529" xr:uid="{00000000-0005-0000-0000-0000BA1E0000}"/>
    <cellStyle name="Normal 9 2 2 2 7 3 2" xfId="15855" xr:uid="{E04749BF-B163-404E-9EBC-44B2A4FD3DFA}"/>
    <cellStyle name="Normal 9 2 2 2 7 4" xfId="11638" xr:uid="{D4F60A0E-52E2-468D-89EE-0B70B18BC106}"/>
    <cellStyle name="Normal 9 2 2 2 8" xfId="2659" xr:uid="{00000000-0005-0000-0000-0000BB1E0000}"/>
    <cellStyle name="Normal 9 2 2 2 8 2" xfId="6942" xr:uid="{00000000-0005-0000-0000-0000BC1E0000}"/>
    <cellStyle name="Normal 9 2 2 2 8 2 2" xfId="16268" xr:uid="{5B3554DC-A473-4100-A0F4-9C4054CA7F7C}"/>
    <cellStyle name="Normal 9 2 2 2 8 3" xfId="12051" xr:uid="{6B0322DE-EEED-417C-BA6D-BE8425A90D42}"/>
    <cellStyle name="Normal 9 2 2 2 9" xfId="4877" xr:uid="{00000000-0005-0000-0000-0000BD1E0000}"/>
    <cellStyle name="Normal 9 2 2 2 9 2" xfId="14203" xr:uid="{5CA5B9C2-060D-4C1F-B24F-25205204FBBE}"/>
    <cellStyle name="Normal 9 2 2 3" xfId="517" xr:uid="{00000000-0005-0000-0000-0000BE1E0000}"/>
    <cellStyle name="Normal 9 2 2 3 10" xfId="9990" xr:uid="{D2074D3E-9DFD-4071-8060-9FFCDA2D9181}"/>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E787FB52-563F-4E0A-AFDB-29D6ED2D2D73}"/>
    <cellStyle name="Normal 9 2 2 3 2 2 2 3" xfId="12549" xr:uid="{CD01B378-1ADF-42EB-99E8-9E9719C6F01C}"/>
    <cellStyle name="Normal 9 2 2 3 2 2 3" xfId="5295" xr:uid="{00000000-0005-0000-0000-0000C31E0000}"/>
    <cellStyle name="Normal 9 2 2 3 2 2 3 2" xfId="14621" xr:uid="{AE671D22-5747-4CD0-81EF-4A215435A125}"/>
    <cellStyle name="Normal 9 2 2 3 2 2 4" xfId="9520" xr:uid="{57CFBD10-691F-4DF8-8020-B75E98FF60DD}"/>
    <cellStyle name="Normal 9 2 2 3 2 2 4 2" xfId="18835" xr:uid="{00F25CD9-814D-42DE-BCD1-03B1CB4CA45A}"/>
    <cellStyle name="Normal 9 2 2 3 2 2 5" xfId="10404" xr:uid="{80CC8D95-6CF4-4F25-B6A4-265F58384D16}"/>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785662D8-5018-4C3E-A93E-CA6B9D9C1E32}"/>
    <cellStyle name="Normal 9 2 2 3 2 3 2 3" xfId="12962" xr:uid="{489F837E-C04D-409E-8A3A-827CD00046C6}"/>
    <cellStyle name="Normal 9 2 2 3 2 3 3" xfId="5708" xr:uid="{00000000-0005-0000-0000-0000C71E0000}"/>
    <cellStyle name="Normal 9 2 2 3 2 3 3 2" xfId="15034" xr:uid="{01D71347-52E8-4E2D-B3F8-74ADDCBFA832}"/>
    <cellStyle name="Normal 9 2 2 3 2 3 4" xfId="10817" xr:uid="{98565BE9-0C2A-4A49-ADD2-FF4936F8DAB6}"/>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2F237907-C1F3-4A36-8D06-20ED30FDD510}"/>
    <cellStyle name="Normal 9 2 2 3 2 4 2 3" xfId="13375" xr:uid="{A97AC9A5-1B93-4027-83CC-742EB39AB75D}"/>
    <cellStyle name="Normal 9 2 2 3 2 4 3" xfId="6121" xr:uid="{00000000-0005-0000-0000-0000CB1E0000}"/>
    <cellStyle name="Normal 9 2 2 3 2 4 3 2" xfId="15447" xr:uid="{D5DC9E4C-6721-473B-B3DB-FC23239D099E}"/>
    <cellStyle name="Normal 9 2 2 3 2 4 4" xfId="11230" xr:uid="{77069A1B-1E49-4D31-B233-F8CF17951042}"/>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452F2741-FD5C-4A4A-B2F3-CA8825D46E09}"/>
    <cellStyle name="Normal 9 2 2 3 2 5 2 3" xfId="13788" xr:uid="{F291A4A4-4C74-4848-8330-B35939F8AE77}"/>
    <cellStyle name="Normal 9 2 2 3 2 5 3" xfId="6534" xr:uid="{00000000-0005-0000-0000-0000CF1E0000}"/>
    <cellStyle name="Normal 9 2 2 3 2 5 3 2" xfId="15860" xr:uid="{29BA0BF5-FAF9-4736-A2F2-FE366AD38ED1}"/>
    <cellStyle name="Normal 9 2 2 3 2 5 4" xfId="11643" xr:uid="{870E472C-B7F9-4710-96D5-813C11A575FB}"/>
    <cellStyle name="Normal 9 2 2 3 2 6" xfId="2664" xr:uid="{00000000-0005-0000-0000-0000D01E0000}"/>
    <cellStyle name="Normal 9 2 2 3 2 6 2" xfId="6947" xr:uid="{00000000-0005-0000-0000-0000D11E0000}"/>
    <cellStyle name="Normal 9 2 2 3 2 6 2 2" xfId="16273" xr:uid="{31CDFA21-4987-4A1B-84FA-6918061C99CB}"/>
    <cellStyle name="Normal 9 2 2 3 2 6 3" xfId="12056" xr:uid="{D1A0195A-52CD-40A3-9508-35A70D19A6AD}"/>
    <cellStyle name="Normal 9 2 2 3 2 7" xfId="4882" xr:uid="{00000000-0005-0000-0000-0000D21E0000}"/>
    <cellStyle name="Normal 9 2 2 3 2 7 2" xfId="14208" xr:uid="{AB349EEF-842A-4601-8030-83EFEFDD40E0}"/>
    <cellStyle name="Normal 9 2 2 3 2 8" xfId="9095" xr:uid="{D95088B7-D227-4E97-A9B9-DA61436DD386}"/>
    <cellStyle name="Normal 9 2 2 3 2 8 2" xfId="18419" xr:uid="{35DDF738-C88C-41CC-911C-300EAAEE7562}"/>
    <cellStyle name="Normal 9 2 2 3 2 9" xfId="9991" xr:uid="{4B7B622A-5E67-4ED9-A7E6-36C2AC02D20F}"/>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E57DB6D3-C080-471C-94C1-C3EE3D51B874}"/>
    <cellStyle name="Normal 9 2 2 3 3 2 3" xfId="12548" xr:uid="{E73EDE95-DB66-4039-A36A-A0C9608AC818}"/>
    <cellStyle name="Normal 9 2 2 3 3 3" xfId="5294" xr:uid="{00000000-0005-0000-0000-0000D61E0000}"/>
    <cellStyle name="Normal 9 2 2 3 3 3 2" xfId="14620" xr:uid="{1BF2CD7B-692D-404F-8A84-25C45D0A5CB1}"/>
    <cellStyle name="Normal 9 2 2 3 3 4" xfId="9313" xr:uid="{FDDC600D-FDDD-4FFC-9820-DFD7E0768F33}"/>
    <cellStyle name="Normal 9 2 2 3 3 4 2" xfId="18628" xr:uid="{DD601C3E-EA94-4287-A08A-6528F007213C}"/>
    <cellStyle name="Normal 9 2 2 3 3 5" xfId="10403" xr:uid="{33DA6BE1-3D66-49F8-81A1-6D74FE82E7E2}"/>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552CD8A0-E384-4145-8AEE-4CF3F13566C4}"/>
    <cellStyle name="Normal 9 2 2 3 4 2 3" xfId="12961" xr:uid="{717F372D-F869-4B1C-A1CB-C51627ECCE93}"/>
    <cellStyle name="Normal 9 2 2 3 4 3" xfId="5707" xr:uid="{00000000-0005-0000-0000-0000DA1E0000}"/>
    <cellStyle name="Normal 9 2 2 3 4 3 2" xfId="15033" xr:uid="{96DC867D-ABBA-4D5F-92DF-8B3B182DBFF0}"/>
    <cellStyle name="Normal 9 2 2 3 4 4" xfId="10816" xr:uid="{34F1A305-8A68-4D9A-B5AD-2A6A1D3C2A00}"/>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8D7520EA-8427-4F6D-9BF6-73C4571F9B50}"/>
    <cellStyle name="Normal 9 2 2 3 5 2 3" xfId="13374" xr:uid="{00C7EA21-F673-49B7-942E-36D253F0E673}"/>
    <cellStyle name="Normal 9 2 2 3 5 3" xfId="6120" xr:uid="{00000000-0005-0000-0000-0000DE1E0000}"/>
    <cellStyle name="Normal 9 2 2 3 5 3 2" xfId="15446" xr:uid="{339D76CF-2076-4182-B56F-7106CE6655CE}"/>
    <cellStyle name="Normal 9 2 2 3 5 4" xfId="11229" xr:uid="{C0A51ACB-CC98-44B2-A5CE-01483BD418F2}"/>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DA295DEF-0714-45A4-8C9B-4BD12B24D7F1}"/>
    <cellStyle name="Normal 9 2 2 3 6 2 3" xfId="13787" xr:uid="{59B867C0-FB86-40CC-89DC-8CC42871CA42}"/>
    <cellStyle name="Normal 9 2 2 3 6 3" xfId="6533" xr:uid="{00000000-0005-0000-0000-0000E21E0000}"/>
    <cellStyle name="Normal 9 2 2 3 6 3 2" xfId="15859" xr:uid="{0E0788D3-068C-42E1-BAAF-9B40454968A6}"/>
    <cellStyle name="Normal 9 2 2 3 6 4" xfId="11642" xr:uid="{BA91764A-F38C-4D72-A1C3-44328C32A8F3}"/>
    <cellStyle name="Normal 9 2 2 3 7" xfId="2663" xr:uid="{00000000-0005-0000-0000-0000E31E0000}"/>
    <cellStyle name="Normal 9 2 2 3 7 2" xfId="6946" xr:uid="{00000000-0005-0000-0000-0000E41E0000}"/>
    <cellStyle name="Normal 9 2 2 3 7 2 2" xfId="16272" xr:uid="{BB80BD7A-2093-4D04-897E-594A0BF5FD2C}"/>
    <cellStyle name="Normal 9 2 2 3 7 3" xfId="12055" xr:uid="{415559B8-8735-4EC6-8B30-6807E22E7737}"/>
    <cellStyle name="Normal 9 2 2 3 8" xfId="4881" xr:uid="{00000000-0005-0000-0000-0000E51E0000}"/>
    <cellStyle name="Normal 9 2 2 3 8 2" xfId="14207" xr:uid="{9631F700-5CB2-4D2E-85BB-917ECE2B3D3F}"/>
    <cellStyle name="Normal 9 2 2 3 9" xfId="8888" xr:uid="{47457178-62A7-4ACA-95A1-433BF4FD3D65}"/>
    <cellStyle name="Normal 9 2 2 3 9 2" xfId="18212" xr:uid="{261C795B-8F7C-4E67-B8B6-57A3F2BAFC4D}"/>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EE4EADCE-B3CD-4E0E-AE59-FEBDEBABA04D}"/>
    <cellStyle name="Normal 9 2 2 4 2 2 3" xfId="12550" xr:uid="{85B434F1-DA0A-40CE-92F0-B43A26A384FC}"/>
    <cellStyle name="Normal 9 2 2 4 2 3" xfId="5296" xr:uid="{00000000-0005-0000-0000-0000EA1E0000}"/>
    <cellStyle name="Normal 9 2 2 4 2 3 2" xfId="14622" xr:uid="{09B08E5F-2E00-4772-AE0F-433258BD6DA9}"/>
    <cellStyle name="Normal 9 2 2 4 2 4" xfId="9417" xr:uid="{FDB8A679-B5B8-4E9B-808D-E68F6CA01958}"/>
    <cellStyle name="Normal 9 2 2 4 2 4 2" xfId="18732" xr:uid="{2FC70B7C-6C31-452D-A9C2-205D71AE6FFA}"/>
    <cellStyle name="Normal 9 2 2 4 2 5" xfId="10405" xr:uid="{94E5BA04-B949-4D13-85B0-3FA110FACFFE}"/>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A2ABCD66-3642-4ABB-B870-C4A2E7333B3E}"/>
    <cellStyle name="Normal 9 2 2 4 3 2 3" xfId="12963" xr:uid="{1C445B64-2FF1-423C-BE36-5FC4DDD17FEC}"/>
    <cellStyle name="Normal 9 2 2 4 3 3" xfId="5709" xr:uid="{00000000-0005-0000-0000-0000EE1E0000}"/>
    <cellStyle name="Normal 9 2 2 4 3 3 2" xfId="15035" xr:uid="{DAA24DFD-C8B6-43BA-954A-313BC357238F}"/>
    <cellStyle name="Normal 9 2 2 4 3 4" xfId="10818" xr:uid="{984EC970-A1C4-4CFA-A389-2AF906D614FD}"/>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B7A9DC73-4752-4C44-B7FF-60B48B191ED6}"/>
    <cellStyle name="Normal 9 2 2 4 4 2 3" xfId="13376" xr:uid="{C37A06E2-E54B-431E-A6A4-43C5CB71216C}"/>
    <cellStyle name="Normal 9 2 2 4 4 3" xfId="6122" xr:uid="{00000000-0005-0000-0000-0000F21E0000}"/>
    <cellStyle name="Normal 9 2 2 4 4 3 2" xfId="15448" xr:uid="{492E5C4D-D2E2-4CD1-A5F0-A61100524798}"/>
    <cellStyle name="Normal 9 2 2 4 4 4" xfId="11231" xr:uid="{BF2A8834-8418-4E2C-8822-EB9A65382DB5}"/>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FC1478B7-9875-4651-B5E8-90D4BBF9B0ED}"/>
    <cellStyle name="Normal 9 2 2 4 5 2 3" xfId="13789" xr:uid="{3E4F66B1-9A44-4114-AE2E-814626E28579}"/>
    <cellStyle name="Normal 9 2 2 4 5 3" xfId="6535" xr:uid="{00000000-0005-0000-0000-0000F61E0000}"/>
    <cellStyle name="Normal 9 2 2 4 5 3 2" xfId="15861" xr:uid="{73AA4C36-6D35-4349-83FF-D80DF3BEBC05}"/>
    <cellStyle name="Normal 9 2 2 4 5 4" xfId="11644" xr:uid="{D3416A49-62A2-4E31-8EDF-F601ED14BA65}"/>
    <cellStyle name="Normal 9 2 2 4 6" xfId="2665" xr:uid="{00000000-0005-0000-0000-0000F71E0000}"/>
    <cellStyle name="Normal 9 2 2 4 6 2" xfId="6948" xr:uid="{00000000-0005-0000-0000-0000F81E0000}"/>
    <cellStyle name="Normal 9 2 2 4 6 2 2" xfId="16274" xr:uid="{B26E5460-10B0-4D38-BDBE-483BEF4EB840}"/>
    <cellStyle name="Normal 9 2 2 4 6 3" xfId="12057" xr:uid="{625F7C07-2055-4077-AE07-DA7D2CD5FCD5}"/>
    <cellStyle name="Normal 9 2 2 4 7" xfId="4883" xr:uid="{00000000-0005-0000-0000-0000F91E0000}"/>
    <cellStyle name="Normal 9 2 2 4 7 2" xfId="14209" xr:uid="{90CD2912-AA2B-4CB3-9FC0-DA25AEF53576}"/>
    <cellStyle name="Normal 9 2 2 4 8" xfId="8992" xr:uid="{8AFFF8AD-8552-4B33-AAFF-7DACAE25085E}"/>
    <cellStyle name="Normal 9 2 2 4 8 2" xfId="18316" xr:uid="{CDD3E04C-5666-4E9E-88ED-2F754CBC2265}"/>
    <cellStyle name="Normal 9 2 2 4 9" xfId="9992" xr:uid="{836F71D3-418B-4B2F-874B-25392695CA6C}"/>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B3C0DE56-0C4C-4ACE-A3CB-866D63585835}"/>
    <cellStyle name="Normal 9 2 2 5 2 3" xfId="12543" xr:uid="{8918AE63-2C2B-4BDC-8AA4-8F74EB0901C8}"/>
    <cellStyle name="Normal 9 2 2 5 3" xfId="5289" xr:uid="{00000000-0005-0000-0000-0000FD1E0000}"/>
    <cellStyle name="Normal 9 2 2 5 3 2" xfId="14615" xr:uid="{06B8B996-A04E-49F4-A50C-54910EC5069C}"/>
    <cellStyle name="Normal 9 2 2 5 4" xfId="9209" xr:uid="{66E66B93-842C-41D8-A807-A065C03CFEBD}"/>
    <cellStyle name="Normal 9 2 2 5 4 2" xfId="18525" xr:uid="{C2762EEE-36E7-4DC3-9329-06D617DA047C}"/>
    <cellStyle name="Normal 9 2 2 5 5" xfId="10398" xr:uid="{68E276B1-82B2-4BD3-BBF1-448D9DE5104F}"/>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ECAE845D-0EAB-434D-A860-E948D1F9CA12}"/>
    <cellStyle name="Normal 9 2 2 6 2 3" xfId="12956" xr:uid="{586AAB55-3181-4541-B443-4FB4A2B3531B}"/>
    <cellStyle name="Normal 9 2 2 6 3" xfId="5702" xr:uid="{00000000-0005-0000-0000-0000011F0000}"/>
    <cellStyle name="Normal 9 2 2 6 3 2" xfId="15028" xr:uid="{CE32AEF6-EBA0-4B59-9565-A8D2B11B2194}"/>
    <cellStyle name="Normal 9 2 2 6 4" xfId="10811" xr:uid="{915A78CF-5C45-43E9-8E0E-17A670F38383}"/>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438BBD42-C699-4C44-9584-09BC57A196FC}"/>
    <cellStyle name="Normal 9 2 2 7 2 3" xfId="13369" xr:uid="{452CC05D-D6B0-4B15-91E1-570FA8017789}"/>
    <cellStyle name="Normal 9 2 2 7 3" xfId="6115" xr:uid="{00000000-0005-0000-0000-0000051F0000}"/>
    <cellStyle name="Normal 9 2 2 7 3 2" xfId="15441" xr:uid="{42CE9302-9C6A-494C-BA19-9826809460D6}"/>
    <cellStyle name="Normal 9 2 2 7 4" xfId="11224" xr:uid="{C5356865-F3CA-4E32-9E51-B12A9A0DCB96}"/>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0E470969-6F20-4056-B5EB-7513A4E32EB0}"/>
    <cellStyle name="Normal 9 2 2 8 2 3" xfId="13782" xr:uid="{926CC7F4-E856-48BA-B093-A25FF8BA4DEE}"/>
    <cellStyle name="Normal 9 2 2 8 3" xfId="6528" xr:uid="{00000000-0005-0000-0000-0000091F0000}"/>
    <cellStyle name="Normal 9 2 2 8 3 2" xfId="15854" xr:uid="{1AC46E15-7B7F-4DED-BBB0-3266C87DE213}"/>
    <cellStyle name="Normal 9 2 2 8 4" xfId="11637" xr:uid="{16605967-F12C-4A72-A768-1A29A38E9D55}"/>
    <cellStyle name="Normal 9 2 2 9" xfId="2658" xr:uid="{00000000-0005-0000-0000-00000A1F0000}"/>
    <cellStyle name="Normal 9 2 2 9 2" xfId="6941" xr:uid="{00000000-0005-0000-0000-00000B1F0000}"/>
    <cellStyle name="Normal 9 2 2 9 2 2" xfId="16267" xr:uid="{3CF3E878-7645-46A0-ABB4-A449119F85CB}"/>
    <cellStyle name="Normal 9 2 2 9 3" xfId="12050" xr:uid="{065BE3E7-8954-484E-99A0-36981E1CFFFD}"/>
    <cellStyle name="Normal 9 2 3" xfId="520" xr:uid="{00000000-0005-0000-0000-00000C1F0000}"/>
    <cellStyle name="Normal 9 2 3 10" xfId="8838" xr:uid="{3F59BADF-95CF-4831-9CE1-8ACBDD585DF1}"/>
    <cellStyle name="Normal 9 2 3 10 2" xfId="18162" xr:uid="{8CFADA75-035F-4332-9D07-9423CF85C721}"/>
    <cellStyle name="Normal 9 2 3 11" xfId="9993" xr:uid="{3515BC22-8C5B-48F8-B74F-A106C34DB7A1}"/>
    <cellStyle name="Normal 9 2 3 2" xfId="521" xr:uid="{00000000-0005-0000-0000-00000D1F0000}"/>
    <cellStyle name="Normal 9 2 3 2 10" xfId="9994" xr:uid="{08F61A4D-7A5D-44F8-9CED-ADC75804AAC3}"/>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7EA3CB7B-DFF5-404F-9070-491D96F3EEB9}"/>
    <cellStyle name="Normal 9 2 3 2 2 2 2 3" xfId="12553" xr:uid="{9FE6C6CF-9738-4213-91F3-189211BFD023}"/>
    <cellStyle name="Normal 9 2 3 2 2 2 3" xfId="5299" xr:uid="{00000000-0005-0000-0000-0000121F0000}"/>
    <cellStyle name="Normal 9 2 3 2 2 2 3 2" xfId="14625" xr:uid="{4314C2E4-C62C-4254-BE62-F2BDF2A50E1E}"/>
    <cellStyle name="Normal 9 2 3 2 2 2 4" xfId="9573" xr:uid="{376F8566-2407-40B8-9531-D3E757BE7A23}"/>
    <cellStyle name="Normal 9 2 3 2 2 2 4 2" xfId="18888" xr:uid="{86A3DBD9-8F5D-42E9-9FD3-F134F771D704}"/>
    <cellStyle name="Normal 9 2 3 2 2 2 5" xfId="10408" xr:uid="{33BFF936-4D4D-4F40-A1FB-2C0ECD43B27C}"/>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87120F89-AA36-4CFE-BC27-4BCADCDBFD63}"/>
    <cellStyle name="Normal 9 2 3 2 2 3 2 3" xfId="12966" xr:uid="{6DEADFB5-AE32-48D9-B7CA-F6E13CE544B4}"/>
    <cellStyle name="Normal 9 2 3 2 2 3 3" xfId="5712" xr:uid="{00000000-0005-0000-0000-0000161F0000}"/>
    <cellStyle name="Normal 9 2 3 2 2 3 3 2" xfId="15038" xr:uid="{F162E998-7897-4B47-8B46-57665E16F085}"/>
    <cellStyle name="Normal 9 2 3 2 2 3 4" xfId="10821" xr:uid="{46648A60-4868-4D45-81CD-B0E5FB8D51FB}"/>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8D2C88A8-2212-4DD8-8C55-07303E575E09}"/>
    <cellStyle name="Normal 9 2 3 2 2 4 2 3" xfId="13379" xr:uid="{2D6755E3-B93F-45CA-B41B-D553FC890D31}"/>
    <cellStyle name="Normal 9 2 3 2 2 4 3" xfId="6125" xr:uid="{00000000-0005-0000-0000-00001A1F0000}"/>
    <cellStyle name="Normal 9 2 3 2 2 4 3 2" xfId="15451" xr:uid="{74CFB71B-47DB-441F-9A7B-ADBE25E9EAD0}"/>
    <cellStyle name="Normal 9 2 3 2 2 4 4" xfId="11234" xr:uid="{A96FB69C-546F-4F36-BEC5-04F9F3913F74}"/>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A0F5D213-842D-4D38-91B4-54B8B75053FA}"/>
    <cellStyle name="Normal 9 2 3 2 2 5 2 3" xfId="13792" xr:uid="{6C940261-3714-4774-8614-5201DD8621D5}"/>
    <cellStyle name="Normal 9 2 3 2 2 5 3" xfId="6538" xr:uid="{00000000-0005-0000-0000-00001E1F0000}"/>
    <cellStyle name="Normal 9 2 3 2 2 5 3 2" xfId="15864" xr:uid="{42507089-51CD-4641-AB37-0309D7738275}"/>
    <cellStyle name="Normal 9 2 3 2 2 5 4" xfId="11647" xr:uid="{C667015A-A850-4C46-B4A3-FBF3933B7BDB}"/>
    <cellStyle name="Normal 9 2 3 2 2 6" xfId="2668" xr:uid="{00000000-0005-0000-0000-00001F1F0000}"/>
    <cellStyle name="Normal 9 2 3 2 2 6 2" xfId="6951" xr:uid="{00000000-0005-0000-0000-0000201F0000}"/>
    <cellStyle name="Normal 9 2 3 2 2 6 2 2" xfId="16277" xr:uid="{6F7EC4CD-D324-48B1-9970-9CCC75034F90}"/>
    <cellStyle name="Normal 9 2 3 2 2 6 3" xfId="12060" xr:uid="{BCD45EF5-D91C-4152-9BC2-7EEFFE410FE3}"/>
    <cellStyle name="Normal 9 2 3 2 2 7" xfId="4886" xr:uid="{00000000-0005-0000-0000-0000211F0000}"/>
    <cellStyle name="Normal 9 2 3 2 2 7 2" xfId="14212" xr:uid="{651612AF-6C72-4117-ADA9-F3E5A14D1BC5}"/>
    <cellStyle name="Normal 9 2 3 2 2 8" xfId="9148" xr:uid="{E1A2F3F0-C8EA-47FA-BB37-18F117041A87}"/>
    <cellStyle name="Normal 9 2 3 2 2 8 2" xfId="18472" xr:uid="{56500428-3B4E-44EC-8C70-C222358B91A5}"/>
    <cellStyle name="Normal 9 2 3 2 2 9" xfId="9995" xr:uid="{4AE3C4C0-3E8E-4192-B989-72C0595746D1}"/>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6ADB51C5-BB76-4201-A8C8-C6B443B5212B}"/>
    <cellStyle name="Normal 9 2 3 2 3 2 3" xfId="12552" xr:uid="{E54CAC6D-9B2D-41B6-9D9C-F4C5513C627A}"/>
    <cellStyle name="Normal 9 2 3 2 3 3" xfId="5298" xr:uid="{00000000-0005-0000-0000-0000251F0000}"/>
    <cellStyle name="Normal 9 2 3 2 3 3 2" xfId="14624" xr:uid="{63F84DFE-7016-4FFA-8223-8491AC9C82C6}"/>
    <cellStyle name="Normal 9 2 3 2 3 4" xfId="9366" xr:uid="{136A6B94-9CAA-4F6C-B09D-7385900FCA38}"/>
    <cellStyle name="Normal 9 2 3 2 3 4 2" xfId="18681" xr:uid="{90484C75-EBEE-4192-9F90-273C885F0015}"/>
    <cellStyle name="Normal 9 2 3 2 3 5" xfId="10407" xr:uid="{D464C4FC-A85B-464F-BFDB-4518E8887E38}"/>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2C4F1945-A0DF-4558-9041-7DE733943A3D}"/>
    <cellStyle name="Normal 9 2 3 2 4 2 3" xfId="12965" xr:uid="{CE93769C-17C6-481A-B3EF-F112C8AD7246}"/>
    <cellStyle name="Normal 9 2 3 2 4 3" xfId="5711" xr:uid="{00000000-0005-0000-0000-0000291F0000}"/>
    <cellStyle name="Normal 9 2 3 2 4 3 2" xfId="15037" xr:uid="{A6D02E4D-0B25-4DD3-955A-5FB2A6DE7ECA}"/>
    <cellStyle name="Normal 9 2 3 2 4 4" xfId="10820" xr:uid="{712EB9B0-8AA1-4724-A0D6-6F9F5E0298AE}"/>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227AEBBD-2AFB-4C78-8A69-374C979271AC}"/>
    <cellStyle name="Normal 9 2 3 2 5 2 3" xfId="13378" xr:uid="{689ABA61-DCAB-4B13-8449-3BA56672095F}"/>
    <cellStyle name="Normal 9 2 3 2 5 3" xfId="6124" xr:uid="{00000000-0005-0000-0000-00002D1F0000}"/>
    <cellStyle name="Normal 9 2 3 2 5 3 2" xfId="15450" xr:uid="{3D35E940-1F0C-4D00-83EF-E58B2DA74887}"/>
    <cellStyle name="Normal 9 2 3 2 5 4" xfId="11233" xr:uid="{61F25A57-01D4-49E9-A21B-587DED238F78}"/>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60BB4446-B4B2-4383-9306-72853AFD67D3}"/>
    <cellStyle name="Normal 9 2 3 2 6 2 3" xfId="13791" xr:uid="{3EF29D01-8CE0-4BBB-9A93-C60A70E683EC}"/>
    <cellStyle name="Normal 9 2 3 2 6 3" xfId="6537" xr:uid="{00000000-0005-0000-0000-0000311F0000}"/>
    <cellStyle name="Normal 9 2 3 2 6 3 2" xfId="15863" xr:uid="{C821A763-1930-4C2F-919E-D0AB1E03BEF8}"/>
    <cellStyle name="Normal 9 2 3 2 6 4" xfId="11646" xr:uid="{F39CC307-7D43-4A99-9A59-58251CF370A6}"/>
    <cellStyle name="Normal 9 2 3 2 7" xfId="2667" xr:uid="{00000000-0005-0000-0000-0000321F0000}"/>
    <cellStyle name="Normal 9 2 3 2 7 2" xfId="6950" xr:uid="{00000000-0005-0000-0000-0000331F0000}"/>
    <cellStyle name="Normal 9 2 3 2 7 2 2" xfId="16276" xr:uid="{3A63BE5C-A4F3-423A-BAAF-74E337B1669B}"/>
    <cellStyle name="Normal 9 2 3 2 7 3" xfId="12059" xr:uid="{6C9EC205-DC3C-4D4C-AB8C-709712F0CD8E}"/>
    <cellStyle name="Normal 9 2 3 2 8" xfId="4885" xr:uid="{00000000-0005-0000-0000-0000341F0000}"/>
    <cellStyle name="Normal 9 2 3 2 8 2" xfId="14211" xr:uid="{3A6F8FCE-9FE2-417D-8A25-9A435181269A}"/>
    <cellStyle name="Normal 9 2 3 2 9" xfId="8941" xr:uid="{DDA1E375-E708-45D0-9119-207D493A75BA}"/>
    <cellStyle name="Normal 9 2 3 2 9 2" xfId="18265" xr:uid="{2A04EA82-C942-4077-A30E-DFD9DAB40457}"/>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8B52140F-43D1-4F58-A4CC-8A7631136CB0}"/>
    <cellStyle name="Normal 9 2 3 3 2 2 3" xfId="12554" xr:uid="{A1AD5CB7-5861-4A5D-8D7A-BC8DBA759C03}"/>
    <cellStyle name="Normal 9 2 3 3 2 3" xfId="5300" xr:uid="{00000000-0005-0000-0000-0000391F0000}"/>
    <cellStyle name="Normal 9 2 3 3 2 3 2" xfId="14626" xr:uid="{F82511F6-71F3-46E9-B333-36745F0BCB5B}"/>
    <cellStyle name="Normal 9 2 3 3 2 4" xfId="9470" xr:uid="{B46EA5E7-4A9D-405A-94B0-2C155F0DE1F1}"/>
    <cellStyle name="Normal 9 2 3 3 2 4 2" xfId="18785" xr:uid="{51AB0347-E5AE-49B8-9B49-3D8EE7F9933B}"/>
    <cellStyle name="Normal 9 2 3 3 2 5" xfId="10409" xr:uid="{87D526CF-CF8D-43DE-9E0D-CE05FD36D31A}"/>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E874F89F-AA8D-46C9-9A79-A5D5CF881DC4}"/>
    <cellStyle name="Normal 9 2 3 3 3 2 3" xfId="12967" xr:uid="{C45D197D-86B2-4679-86A9-7840E9598050}"/>
    <cellStyle name="Normal 9 2 3 3 3 3" xfId="5713" xr:uid="{00000000-0005-0000-0000-00003D1F0000}"/>
    <cellStyle name="Normal 9 2 3 3 3 3 2" xfId="15039" xr:uid="{13B5203C-AB2F-4B47-9F3F-C6C65632E358}"/>
    <cellStyle name="Normal 9 2 3 3 3 4" xfId="10822" xr:uid="{4275B885-EF16-4F70-A00E-07B229D26C02}"/>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1670A787-1494-4EE2-8BC5-2A5C97763044}"/>
    <cellStyle name="Normal 9 2 3 3 4 2 3" xfId="13380" xr:uid="{B9DB4595-DD60-46BD-B120-A1770C0E9A3B}"/>
    <cellStyle name="Normal 9 2 3 3 4 3" xfId="6126" xr:uid="{00000000-0005-0000-0000-0000411F0000}"/>
    <cellStyle name="Normal 9 2 3 3 4 3 2" xfId="15452" xr:uid="{9B7531C7-DC85-4CA7-90C5-FACE256484A6}"/>
    <cellStyle name="Normal 9 2 3 3 4 4" xfId="11235" xr:uid="{E11CEC82-7AEB-4A2B-BC97-3F60C446641F}"/>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3B72312A-2DDE-42B5-814F-5BD9E73E42A6}"/>
    <cellStyle name="Normal 9 2 3 3 5 2 3" xfId="13793" xr:uid="{5DF5E2C0-A3E8-431F-91F0-942A904BA23B}"/>
    <cellStyle name="Normal 9 2 3 3 5 3" xfId="6539" xr:uid="{00000000-0005-0000-0000-0000451F0000}"/>
    <cellStyle name="Normal 9 2 3 3 5 3 2" xfId="15865" xr:uid="{D3D535F4-3F4A-452D-A440-226CFB24285D}"/>
    <cellStyle name="Normal 9 2 3 3 5 4" xfId="11648" xr:uid="{DBDED558-7A4B-4E60-A2E3-46EB28C20C62}"/>
    <cellStyle name="Normal 9 2 3 3 6" xfId="2669" xr:uid="{00000000-0005-0000-0000-0000461F0000}"/>
    <cellStyle name="Normal 9 2 3 3 6 2" xfId="6952" xr:uid="{00000000-0005-0000-0000-0000471F0000}"/>
    <cellStyle name="Normal 9 2 3 3 6 2 2" xfId="16278" xr:uid="{0863E49B-6CBF-4D08-AA23-35AEA1734925}"/>
    <cellStyle name="Normal 9 2 3 3 6 3" xfId="12061" xr:uid="{2BAB8DAD-DC21-4108-ACD9-CC1EF8DAB0BD}"/>
    <cellStyle name="Normal 9 2 3 3 7" xfId="4887" xr:uid="{00000000-0005-0000-0000-0000481F0000}"/>
    <cellStyle name="Normal 9 2 3 3 7 2" xfId="14213" xr:uid="{8A2D8C5C-D5B9-43B4-865F-A3F71C38371B}"/>
    <cellStyle name="Normal 9 2 3 3 8" xfId="9045" xr:uid="{CD23D75F-FCE1-471A-A55A-DAC6FB15D069}"/>
    <cellStyle name="Normal 9 2 3 3 8 2" xfId="18369" xr:uid="{41EBDB23-D4E3-42D1-ADA8-A31811D7220F}"/>
    <cellStyle name="Normal 9 2 3 3 9" xfId="9996" xr:uid="{826702A9-73C6-4082-A87E-1228BC0A55DE}"/>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2E7CD665-1577-4755-973D-1BEB31C0EEBD}"/>
    <cellStyle name="Normal 9 2 3 4 2 3" xfId="12551" xr:uid="{CB0CAA4E-CF51-4FE5-9F72-9AB41E7FD511}"/>
    <cellStyle name="Normal 9 2 3 4 3" xfId="5297" xr:uid="{00000000-0005-0000-0000-00004C1F0000}"/>
    <cellStyle name="Normal 9 2 3 4 3 2" xfId="14623" xr:uid="{932FE449-9C2B-4225-948C-74440D268A08}"/>
    <cellStyle name="Normal 9 2 3 4 4" xfId="9263" xr:uid="{8E7B719A-F76B-4A2B-A5A7-1A883FD6976F}"/>
    <cellStyle name="Normal 9 2 3 4 4 2" xfId="18578" xr:uid="{0191A7AD-1750-4607-BE5B-0C6DCC008B87}"/>
    <cellStyle name="Normal 9 2 3 4 5" xfId="10406" xr:uid="{4B1F5A5A-24BF-435E-8F37-435CD57170A7}"/>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E30B6E35-00BB-4DB6-A0A5-FFEF2E7BE224}"/>
    <cellStyle name="Normal 9 2 3 5 2 3" xfId="12964" xr:uid="{581F6DBC-B523-46C5-821D-5E79590EDC40}"/>
    <cellStyle name="Normal 9 2 3 5 3" xfId="5710" xr:uid="{00000000-0005-0000-0000-0000501F0000}"/>
    <cellStyle name="Normal 9 2 3 5 3 2" xfId="15036" xr:uid="{5EEF4CCC-11AC-4419-B038-FE9AC2450F60}"/>
    <cellStyle name="Normal 9 2 3 5 4" xfId="10819" xr:uid="{5877FF8A-FC0D-4295-A29B-1C02970FE75A}"/>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E872CE59-46CE-44FA-AE7A-297F35DC479C}"/>
    <cellStyle name="Normal 9 2 3 6 2 3" xfId="13377" xr:uid="{796A5E4E-5A08-4051-AB61-7577C22A0EAB}"/>
    <cellStyle name="Normal 9 2 3 6 3" xfId="6123" xr:uid="{00000000-0005-0000-0000-0000541F0000}"/>
    <cellStyle name="Normal 9 2 3 6 3 2" xfId="15449" xr:uid="{E2578884-3A2C-421E-AE6D-1852E6EA9BA6}"/>
    <cellStyle name="Normal 9 2 3 6 4" xfId="11232" xr:uid="{8942E102-76BA-4D2E-A425-10D38853FA39}"/>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BF357799-4214-4D05-B8B0-B345E00F26F4}"/>
    <cellStyle name="Normal 9 2 3 7 2 3" xfId="13790" xr:uid="{F8D4C3A6-B163-4CE6-93C4-ACFF5B1E8431}"/>
    <cellStyle name="Normal 9 2 3 7 3" xfId="6536" xr:uid="{00000000-0005-0000-0000-0000581F0000}"/>
    <cellStyle name="Normal 9 2 3 7 3 2" xfId="15862" xr:uid="{0D4DD8B6-D36A-46F9-A0C3-18A80D00B92E}"/>
    <cellStyle name="Normal 9 2 3 7 4" xfId="11645" xr:uid="{F13B17F5-2870-484E-ACCC-0627320A5FEF}"/>
    <cellStyle name="Normal 9 2 3 8" xfId="2666" xr:uid="{00000000-0005-0000-0000-0000591F0000}"/>
    <cellStyle name="Normal 9 2 3 8 2" xfId="6949" xr:uid="{00000000-0005-0000-0000-00005A1F0000}"/>
    <cellStyle name="Normal 9 2 3 8 2 2" xfId="16275" xr:uid="{A7854253-3312-40E7-969D-8B49D50E8157}"/>
    <cellStyle name="Normal 9 2 3 8 3" xfId="12058" xr:uid="{A72B460A-E183-4E8D-9E9E-F1F096C53DC2}"/>
    <cellStyle name="Normal 9 2 3 9" xfId="4884" xr:uid="{00000000-0005-0000-0000-00005B1F0000}"/>
    <cellStyle name="Normal 9 2 3 9 2" xfId="14210" xr:uid="{CBA5BCE2-10A4-40EF-9F70-98027E0E6E1B}"/>
    <cellStyle name="Normal 9 2 4" xfId="524" xr:uid="{00000000-0005-0000-0000-00005C1F0000}"/>
    <cellStyle name="Normal 9 2 4 10" xfId="9997" xr:uid="{6B30CA7B-9442-408F-BA4C-D2E3FD4154C9}"/>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626F035A-2B5C-468B-91C6-5BF541FD0C29}"/>
    <cellStyle name="Normal 9 2 4 2 2 2 3" xfId="12556" xr:uid="{79FFC486-B860-4AF8-873A-3D5EA88E3815}"/>
    <cellStyle name="Normal 9 2 4 2 2 3" xfId="5302" xr:uid="{00000000-0005-0000-0000-0000611F0000}"/>
    <cellStyle name="Normal 9 2 4 2 2 3 2" xfId="14628" xr:uid="{0010A725-CC12-4AD4-9C6B-4CAA838055B0}"/>
    <cellStyle name="Normal 9 2 4 2 2 4" xfId="9489" xr:uid="{4BA9DC16-58A7-4D6B-90A6-6BB0C51A0279}"/>
    <cellStyle name="Normal 9 2 4 2 2 4 2" xfId="18804" xr:uid="{0DFAE103-A918-418C-A44F-0544B550CA6F}"/>
    <cellStyle name="Normal 9 2 4 2 2 5" xfId="10411" xr:uid="{D4B4CA2E-96CD-4A19-9C91-DEB897DA1F59}"/>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9A821BDA-7D1A-4F0F-BE83-0835D9AAE359}"/>
    <cellStyle name="Normal 9 2 4 2 3 2 3" xfId="12969" xr:uid="{359D051D-255E-4C33-B3B0-415BDF798FA0}"/>
    <cellStyle name="Normal 9 2 4 2 3 3" xfId="5715" xr:uid="{00000000-0005-0000-0000-0000651F0000}"/>
    <cellStyle name="Normal 9 2 4 2 3 3 2" xfId="15041" xr:uid="{9CB0FFFB-743A-4CD5-8954-0A0D2F6BC278}"/>
    <cellStyle name="Normal 9 2 4 2 3 4" xfId="10824" xr:uid="{A958104D-F94A-4CDB-A54D-0D69456C6DF7}"/>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801F4593-97B4-4461-B3E2-C329902752C1}"/>
    <cellStyle name="Normal 9 2 4 2 4 2 3" xfId="13382" xr:uid="{86661C1B-450B-416D-AEF7-12E5D1E9A370}"/>
    <cellStyle name="Normal 9 2 4 2 4 3" xfId="6128" xr:uid="{00000000-0005-0000-0000-0000691F0000}"/>
    <cellStyle name="Normal 9 2 4 2 4 3 2" xfId="15454" xr:uid="{31A79764-C94B-4205-BD35-0A9CC7DE89AF}"/>
    <cellStyle name="Normal 9 2 4 2 4 4" xfId="11237" xr:uid="{F1A39AFC-800F-4495-822E-01C593B4197F}"/>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91A61B1A-CEB9-419D-B7D2-DF527BB6B537}"/>
    <cellStyle name="Normal 9 2 4 2 5 2 3" xfId="13795" xr:uid="{5B64982D-D897-4448-A359-CFB42D2F5086}"/>
    <cellStyle name="Normal 9 2 4 2 5 3" xfId="6541" xr:uid="{00000000-0005-0000-0000-00006D1F0000}"/>
    <cellStyle name="Normal 9 2 4 2 5 3 2" xfId="15867" xr:uid="{9C671B39-C01C-4294-9E8E-A6940D4054C5}"/>
    <cellStyle name="Normal 9 2 4 2 5 4" xfId="11650" xr:uid="{A1EA0EC4-8017-4A84-8E84-88A852188688}"/>
    <cellStyle name="Normal 9 2 4 2 6" xfId="2671" xr:uid="{00000000-0005-0000-0000-00006E1F0000}"/>
    <cellStyle name="Normal 9 2 4 2 6 2" xfId="6954" xr:uid="{00000000-0005-0000-0000-00006F1F0000}"/>
    <cellStyle name="Normal 9 2 4 2 6 2 2" xfId="16280" xr:uid="{D9C69319-E32B-4891-818C-2F7F0CB37D36}"/>
    <cellStyle name="Normal 9 2 4 2 6 3" xfId="12063" xr:uid="{81C89F8C-148E-43C9-9096-A262C3B1D77A}"/>
    <cellStyle name="Normal 9 2 4 2 7" xfId="4889" xr:uid="{00000000-0005-0000-0000-0000701F0000}"/>
    <cellStyle name="Normal 9 2 4 2 7 2" xfId="14215" xr:uid="{B6BD47A0-42DD-4901-824F-E4865B1866C3}"/>
    <cellStyle name="Normal 9 2 4 2 8" xfId="9064" xr:uid="{7D4090C3-C767-4FFF-8A1F-282B2C8BAE68}"/>
    <cellStyle name="Normal 9 2 4 2 8 2" xfId="18388" xr:uid="{73888B3C-AB7E-4140-8CB7-EFAF3CA27E39}"/>
    <cellStyle name="Normal 9 2 4 2 9" xfId="9998" xr:uid="{3AC2E9A5-DE8E-4DC1-9C1D-421807260978}"/>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FDD81CA3-2FE9-4D7A-B3B6-2BFCA60FE842}"/>
    <cellStyle name="Normal 9 2 4 3 2 3" xfId="12555" xr:uid="{9025AE4D-9FDB-4663-9375-18AA55347B3A}"/>
    <cellStyle name="Normal 9 2 4 3 3" xfId="5301" xr:uid="{00000000-0005-0000-0000-0000741F0000}"/>
    <cellStyle name="Normal 9 2 4 3 3 2" xfId="14627" xr:uid="{1E063350-F312-4522-A2CA-A4E975549EA3}"/>
    <cellStyle name="Normal 9 2 4 3 4" xfId="9282" xr:uid="{2471E5AC-3D06-4E90-9462-C54FACA9B22B}"/>
    <cellStyle name="Normal 9 2 4 3 4 2" xfId="18597" xr:uid="{2BBD13FD-CB05-4691-8764-5950DF340B45}"/>
    <cellStyle name="Normal 9 2 4 3 5" xfId="10410" xr:uid="{F009C68C-4A2E-4A9B-BDAE-AA1D42802C9B}"/>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7B7D6CA9-9CEA-46B2-959E-C0B4A6C8BB12}"/>
    <cellStyle name="Normal 9 2 4 4 2 3" xfId="12968" xr:uid="{9DC380D3-2DEC-467B-A3B6-EBAA6A2B390E}"/>
    <cellStyle name="Normal 9 2 4 4 3" xfId="5714" xr:uid="{00000000-0005-0000-0000-0000781F0000}"/>
    <cellStyle name="Normal 9 2 4 4 3 2" xfId="15040" xr:uid="{8EF09A12-7863-43BB-8819-DE5AE3265BF8}"/>
    <cellStyle name="Normal 9 2 4 4 4" xfId="10823" xr:uid="{2979CC88-E4F5-42E8-8312-95B44D2E199C}"/>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8D27DBB1-066C-4D72-A372-9AA514314E4B}"/>
    <cellStyle name="Normal 9 2 4 5 2 3" xfId="13381" xr:uid="{84E4AEA7-36CE-4005-BEE5-A40944211217}"/>
    <cellStyle name="Normal 9 2 4 5 3" xfId="6127" xr:uid="{00000000-0005-0000-0000-00007C1F0000}"/>
    <cellStyle name="Normal 9 2 4 5 3 2" xfId="15453" xr:uid="{DDFF8341-863C-4C80-9F83-FBF1587A30FA}"/>
    <cellStyle name="Normal 9 2 4 5 4" xfId="11236" xr:uid="{95075861-A3FE-466C-ABC2-CA26CCF80378}"/>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46F9F5B7-18EB-4722-B4DF-F91F6770DA9F}"/>
    <cellStyle name="Normal 9 2 4 6 2 3" xfId="13794" xr:uid="{D599D501-C6AA-4ADB-973F-A3BB892E7A98}"/>
    <cellStyle name="Normal 9 2 4 6 3" xfId="6540" xr:uid="{00000000-0005-0000-0000-0000801F0000}"/>
    <cellStyle name="Normal 9 2 4 6 3 2" xfId="15866" xr:uid="{125D547D-E4EF-47F3-AB39-0FA72D00D9F8}"/>
    <cellStyle name="Normal 9 2 4 6 4" xfId="11649" xr:uid="{9AEA6B7F-EC22-423E-B898-2521E4B72905}"/>
    <cellStyle name="Normal 9 2 4 7" xfId="2670" xr:uid="{00000000-0005-0000-0000-0000811F0000}"/>
    <cellStyle name="Normal 9 2 4 7 2" xfId="6953" xr:uid="{00000000-0005-0000-0000-0000821F0000}"/>
    <cellStyle name="Normal 9 2 4 7 2 2" xfId="16279" xr:uid="{C380319F-B941-4D47-A4B9-F6EEF6BE4992}"/>
    <cellStyle name="Normal 9 2 4 7 3" xfId="12062" xr:uid="{A4780E00-DFC5-45BF-8E0E-2B95B5B5030C}"/>
    <cellStyle name="Normal 9 2 4 8" xfId="4888" xr:uid="{00000000-0005-0000-0000-0000831F0000}"/>
    <cellStyle name="Normal 9 2 4 8 2" xfId="14214" xr:uid="{2F1E2B4A-215D-4717-89CA-7309D9C78EC6}"/>
    <cellStyle name="Normal 9 2 4 9" xfId="8857" xr:uid="{D785C0E6-B403-4CCC-AB0B-78E822EF1E40}"/>
    <cellStyle name="Normal 9 2 4 9 2" xfId="18181" xr:uid="{2F676973-3B16-4036-B078-BCA19BAF31FC}"/>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DBB73138-CC18-4D1C-B179-D5EAF7A25C2D}"/>
    <cellStyle name="Normal 9 2 5 2 2 3" xfId="12557" xr:uid="{BABC4290-1239-4D62-A415-64CDD218FEAA}"/>
    <cellStyle name="Normal 9 2 5 2 3" xfId="5303" xr:uid="{00000000-0005-0000-0000-0000881F0000}"/>
    <cellStyle name="Normal 9 2 5 2 3 2" xfId="14629" xr:uid="{673BC76E-7632-47D0-8487-450019631970}"/>
    <cellStyle name="Normal 9 2 5 2 4" xfId="9398" xr:uid="{5B2A416E-986C-4898-8893-9EAFDDDBCDD4}"/>
    <cellStyle name="Normal 9 2 5 2 4 2" xfId="18713" xr:uid="{06A0451E-EE9F-4837-90A3-E75926434692}"/>
    <cellStyle name="Normal 9 2 5 2 5" xfId="10412" xr:uid="{1882FF40-3E5D-4E36-827D-35DF0F85E3F0}"/>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AC550794-6B33-4F05-8668-04CA953D068C}"/>
    <cellStyle name="Normal 9 2 5 3 2 3" xfId="12970" xr:uid="{F0847C01-5661-4FB1-B885-D9600AC35026}"/>
    <cellStyle name="Normal 9 2 5 3 3" xfId="5716" xr:uid="{00000000-0005-0000-0000-00008C1F0000}"/>
    <cellStyle name="Normal 9 2 5 3 3 2" xfId="15042" xr:uid="{8B0652DE-73C6-4211-B954-D6D4FF08F28A}"/>
    <cellStyle name="Normal 9 2 5 3 4" xfId="10825" xr:uid="{4630E15D-F518-44C8-8B4E-F13B20C5EE62}"/>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7F92D9A3-F9BB-4C83-B895-A7878E88AA30}"/>
    <cellStyle name="Normal 9 2 5 4 2 3" xfId="13383" xr:uid="{3BDF0AA3-266D-4923-A222-BDF54EE72B37}"/>
    <cellStyle name="Normal 9 2 5 4 3" xfId="6129" xr:uid="{00000000-0005-0000-0000-0000901F0000}"/>
    <cellStyle name="Normal 9 2 5 4 3 2" xfId="15455" xr:uid="{950A829F-E4BD-45E8-9FA0-90EDDD62B005}"/>
    <cellStyle name="Normal 9 2 5 4 4" xfId="11238" xr:uid="{33C2E37F-0A0F-4E41-B9ED-9653527946A5}"/>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AB7A08EC-0F84-4D05-80E1-C90757FAFD2A}"/>
    <cellStyle name="Normal 9 2 5 5 2 3" xfId="13796" xr:uid="{29A9624E-6183-430C-980C-177AA42044B9}"/>
    <cellStyle name="Normal 9 2 5 5 3" xfId="6542" xr:uid="{00000000-0005-0000-0000-0000941F0000}"/>
    <cellStyle name="Normal 9 2 5 5 3 2" xfId="15868" xr:uid="{9EF199EE-1E26-45BC-B692-9E73620098C8}"/>
    <cellStyle name="Normal 9 2 5 5 4" xfId="11651" xr:uid="{BDDE06C6-82D0-4ED9-B2DF-C4A176F7FAC0}"/>
    <cellStyle name="Normal 9 2 5 6" xfId="2672" xr:uid="{00000000-0005-0000-0000-0000951F0000}"/>
    <cellStyle name="Normal 9 2 5 6 2" xfId="6955" xr:uid="{00000000-0005-0000-0000-0000961F0000}"/>
    <cellStyle name="Normal 9 2 5 6 2 2" xfId="16281" xr:uid="{CD968D9F-55F2-409D-A361-72F14E6EEFB2}"/>
    <cellStyle name="Normal 9 2 5 6 3" xfId="12064" xr:uid="{A77BAA10-711D-482B-AE88-6BFA8A7CEAC9}"/>
    <cellStyle name="Normal 9 2 5 7" xfId="4890" xr:uid="{00000000-0005-0000-0000-0000971F0000}"/>
    <cellStyle name="Normal 9 2 5 7 2" xfId="14216" xr:uid="{DEC49C34-031D-4168-BF1F-BFF7B92E06D3}"/>
    <cellStyle name="Normal 9 2 5 8" xfId="8973" xr:uid="{BA9464C2-72F7-4B38-B1BD-6986FFA433D9}"/>
    <cellStyle name="Normal 9 2 5 8 2" xfId="18297" xr:uid="{4886511C-7F75-453E-B385-170932E831AF}"/>
    <cellStyle name="Normal 9 2 5 9" xfId="9999" xr:uid="{BA0D5E2B-C895-43DF-8B84-D74CEDC6A18D}"/>
    <cellStyle name="Normal 9 2 6" xfId="978" xr:uid="{00000000-0005-0000-0000-0000981F0000}"/>
    <cellStyle name="Normal 9 2 6 2" xfId="3211" xr:uid="{00000000-0005-0000-0000-0000991F0000}"/>
    <cellStyle name="Normal 9 2 6 2 2" xfId="7433" xr:uid="{00000000-0005-0000-0000-00009A1F0000}"/>
    <cellStyle name="Normal 9 2 6 2 2 2" xfId="16759" xr:uid="{F674E2AB-E510-4C74-B6C8-6F265A421133}"/>
    <cellStyle name="Normal 9 2 6 2 3" xfId="12542" xr:uid="{17226722-F43A-4E1C-A39B-E4AE3A76BE90}"/>
    <cellStyle name="Normal 9 2 6 3" xfId="5288" xr:uid="{00000000-0005-0000-0000-00009B1F0000}"/>
    <cellStyle name="Normal 9 2 6 3 2" xfId="14614" xr:uid="{239D8899-340E-465E-9107-3F8728661569}"/>
    <cellStyle name="Normal 9 2 6 4" xfId="9176" xr:uid="{F3933A08-5B20-47C9-B0FC-7B73F4B0BA7D}"/>
    <cellStyle name="Normal 9 2 6 4 2" xfId="18494" xr:uid="{ECA4C510-E980-4735-ACD7-2DA21CD087A5}"/>
    <cellStyle name="Normal 9 2 6 5" xfId="10397" xr:uid="{B0337150-51E7-41F6-BB2C-E752CABE83A2}"/>
    <cellStyle name="Normal 9 2 7" xfId="1394" xr:uid="{00000000-0005-0000-0000-00009C1F0000}"/>
    <cellStyle name="Normal 9 2 7 2" xfId="3624" xr:uid="{00000000-0005-0000-0000-00009D1F0000}"/>
    <cellStyle name="Normal 9 2 7 2 2" xfId="7846" xr:uid="{00000000-0005-0000-0000-00009E1F0000}"/>
    <cellStyle name="Normal 9 2 7 2 2 2" xfId="17172" xr:uid="{0CF0BCFB-2AAB-4661-B462-8EC5FABBF8CA}"/>
    <cellStyle name="Normal 9 2 7 2 3" xfId="12955" xr:uid="{0D06253D-4AFE-4DC9-9B4E-D08CCC3F684F}"/>
    <cellStyle name="Normal 9 2 7 3" xfId="5701" xr:uid="{00000000-0005-0000-0000-00009F1F0000}"/>
    <cellStyle name="Normal 9 2 7 3 2" xfId="15027" xr:uid="{A0F7D99D-24F0-4C3C-B4D1-3DB09B5CB0D4}"/>
    <cellStyle name="Normal 9 2 7 4" xfId="10810" xr:uid="{78A82C03-1F9D-44E2-875F-7D04154D8DB6}"/>
    <cellStyle name="Normal 9 2 8" xfId="1807" xr:uid="{00000000-0005-0000-0000-0000A01F0000}"/>
    <cellStyle name="Normal 9 2 8 2" xfId="4037" xr:uid="{00000000-0005-0000-0000-0000A11F0000}"/>
    <cellStyle name="Normal 9 2 8 2 2" xfId="8259" xr:uid="{00000000-0005-0000-0000-0000A21F0000}"/>
    <cellStyle name="Normal 9 2 8 2 2 2" xfId="17585" xr:uid="{DA53FF4D-FC02-4ECC-895B-53C26160E59C}"/>
    <cellStyle name="Normal 9 2 8 2 3" xfId="13368" xr:uid="{4C3CDE88-EE4B-4219-A48D-B26CB5D9C6FC}"/>
    <cellStyle name="Normal 9 2 8 3" xfId="6114" xr:uid="{00000000-0005-0000-0000-0000A31F0000}"/>
    <cellStyle name="Normal 9 2 8 3 2" xfId="15440" xr:uid="{02DB01D1-5D3A-44DE-9F7E-9A8E7A4B059D}"/>
    <cellStyle name="Normal 9 2 8 4" xfId="11223" xr:uid="{5E463609-2F88-4D77-B04C-63531920387F}"/>
    <cellStyle name="Normal 9 2 9" xfId="2221" xr:uid="{00000000-0005-0000-0000-0000A41F0000}"/>
    <cellStyle name="Normal 9 2 9 2" xfId="4450" xr:uid="{00000000-0005-0000-0000-0000A51F0000}"/>
    <cellStyle name="Normal 9 2 9 2 2" xfId="8672" xr:uid="{00000000-0005-0000-0000-0000A61F0000}"/>
    <cellStyle name="Normal 9 2 9 2 2 2" xfId="17998" xr:uid="{772483E8-9AD4-4490-8488-6E6C9CE1D357}"/>
    <cellStyle name="Normal 9 2 9 2 3" xfId="13781" xr:uid="{280A4AFF-3022-4D85-9211-190582610CF3}"/>
    <cellStyle name="Normal 9 2 9 3" xfId="6527" xr:uid="{00000000-0005-0000-0000-0000A71F0000}"/>
    <cellStyle name="Normal 9 2 9 3 2" xfId="15853" xr:uid="{739FD47E-7534-4798-BE5E-F7D519CDFCBC}"/>
    <cellStyle name="Normal 9 2 9 4" xfId="11636" xr:uid="{5269942E-C42E-4A71-882E-65360799B745}"/>
    <cellStyle name="Normal 9 3" xfId="527" xr:uid="{00000000-0005-0000-0000-0000A81F0000}"/>
    <cellStyle name="Normal 9 3 10" xfId="4891" xr:uid="{00000000-0005-0000-0000-0000A91F0000}"/>
    <cellStyle name="Normal 9 3 10 2" xfId="14217" xr:uid="{FBED7F14-4587-494E-9864-4C14C9060532}"/>
    <cellStyle name="Normal 9 3 11" xfId="8777" xr:uid="{1F3D7E21-FC22-4F0C-9371-3D8250746BB7}"/>
    <cellStyle name="Normal 9 3 11 2" xfId="18101" xr:uid="{5A73DA8F-8B18-44A3-BE21-DBBA073E3CBB}"/>
    <cellStyle name="Normal 9 3 12" xfId="10000" xr:uid="{1E7ADB39-B9AD-407D-A72F-1EE2EF678773}"/>
    <cellStyle name="Normal 9 3 2" xfId="528" xr:uid="{00000000-0005-0000-0000-0000AA1F0000}"/>
    <cellStyle name="Normal 9 3 2 10" xfId="8840" xr:uid="{94797BE2-1721-4871-A768-79D4D45F48BB}"/>
    <cellStyle name="Normal 9 3 2 10 2" xfId="18164" xr:uid="{82ADFE6B-0A4C-4B09-B8BB-159BC89FBC65}"/>
    <cellStyle name="Normal 9 3 2 11" xfId="10001" xr:uid="{6BF06162-4C70-430B-87BE-F3228413CDAB}"/>
    <cellStyle name="Normal 9 3 2 2" xfId="529" xr:uid="{00000000-0005-0000-0000-0000AB1F0000}"/>
    <cellStyle name="Normal 9 3 2 2 10" xfId="10002" xr:uid="{384D8EFE-88A7-4333-B4F7-199213DA6D0B}"/>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303338CC-644F-4C38-B833-CFEF6EE1C8B2}"/>
    <cellStyle name="Normal 9 3 2 2 2 2 2 3" xfId="12561" xr:uid="{0D26D774-F443-467F-8577-6C6C698C5E83}"/>
    <cellStyle name="Normal 9 3 2 2 2 2 3" xfId="5307" xr:uid="{00000000-0005-0000-0000-0000B01F0000}"/>
    <cellStyle name="Normal 9 3 2 2 2 2 3 2" xfId="14633" xr:uid="{9B509C20-57D5-4B13-83CF-87536AB7A0DE}"/>
    <cellStyle name="Normal 9 3 2 2 2 2 4" xfId="9575" xr:uid="{DA05DE06-1987-4B8E-8439-C692853FF296}"/>
    <cellStyle name="Normal 9 3 2 2 2 2 4 2" xfId="18890" xr:uid="{10F4B8AD-3E80-4F4F-9B58-D9FC6F8FB5F6}"/>
    <cellStyle name="Normal 9 3 2 2 2 2 5" xfId="10416" xr:uid="{C63D5DDE-584A-4B1E-BA08-BB218D3AD6E7}"/>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29531207-0F4D-4212-B688-A78DC992A468}"/>
    <cellStyle name="Normal 9 3 2 2 2 3 2 3" xfId="12974" xr:uid="{2A839E88-DBCF-48D6-8914-7E2C1D14A5C0}"/>
    <cellStyle name="Normal 9 3 2 2 2 3 3" xfId="5720" xr:uid="{00000000-0005-0000-0000-0000B41F0000}"/>
    <cellStyle name="Normal 9 3 2 2 2 3 3 2" xfId="15046" xr:uid="{DBFFF311-4AB2-43BD-82BF-CC01EE2078DB}"/>
    <cellStyle name="Normal 9 3 2 2 2 3 4" xfId="10829" xr:uid="{68405452-CA1A-4AC8-A785-873D48DD5AC5}"/>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3CCEAAFF-A5D6-4AE4-939E-711CB512ECCA}"/>
    <cellStyle name="Normal 9 3 2 2 2 4 2 3" xfId="13387" xr:uid="{392B6C31-2CEC-4637-B1A9-765F2DD1286A}"/>
    <cellStyle name="Normal 9 3 2 2 2 4 3" xfId="6133" xr:uid="{00000000-0005-0000-0000-0000B81F0000}"/>
    <cellStyle name="Normal 9 3 2 2 2 4 3 2" xfId="15459" xr:uid="{202DC828-9ADD-4420-9156-E4DB27FB2790}"/>
    <cellStyle name="Normal 9 3 2 2 2 4 4" xfId="11242" xr:uid="{34F16027-D624-480D-9C29-A406BC7BDB84}"/>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B4118BA9-B8AA-4A7C-92ED-8780D635332F}"/>
    <cellStyle name="Normal 9 3 2 2 2 5 2 3" xfId="13800" xr:uid="{F3538B73-052E-4FFC-B418-66B2B3FD63F4}"/>
    <cellStyle name="Normal 9 3 2 2 2 5 3" xfId="6546" xr:uid="{00000000-0005-0000-0000-0000BC1F0000}"/>
    <cellStyle name="Normal 9 3 2 2 2 5 3 2" xfId="15872" xr:uid="{0580BB16-36F8-48BA-A6E8-195217E7751A}"/>
    <cellStyle name="Normal 9 3 2 2 2 5 4" xfId="11655" xr:uid="{2D4A7AB5-6A18-48A0-B056-E080AE842BA8}"/>
    <cellStyle name="Normal 9 3 2 2 2 6" xfId="2676" xr:uid="{00000000-0005-0000-0000-0000BD1F0000}"/>
    <cellStyle name="Normal 9 3 2 2 2 6 2" xfId="6959" xr:uid="{00000000-0005-0000-0000-0000BE1F0000}"/>
    <cellStyle name="Normal 9 3 2 2 2 6 2 2" xfId="16285" xr:uid="{EFED5C0F-7770-48E6-A324-05B9AA8BC83B}"/>
    <cellStyle name="Normal 9 3 2 2 2 6 3" xfId="12068" xr:uid="{7EFEEC79-2AC1-4F3E-BE94-D4D6182C5CDB}"/>
    <cellStyle name="Normal 9 3 2 2 2 7" xfId="4894" xr:uid="{00000000-0005-0000-0000-0000BF1F0000}"/>
    <cellStyle name="Normal 9 3 2 2 2 7 2" xfId="14220" xr:uid="{B5EB5DA6-FB59-4D21-A265-455B88FD7EC1}"/>
    <cellStyle name="Normal 9 3 2 2 2 8" xfId="9150" xr:uid="{F54F74BE-A583-4C94-A198-8E0D27AD7F4F}"/>
    <cellStyle name="Normal 9 3 2 2 2 8 2" xfId="18474" xr:uid="{9D134880-C5BC-4AD8-B746-9A4605875CD0}"/>
    <cellStyle name="Normal 9 3 2 2 2 9" xfId="10003" xr:uid="{DE89A360-E0FF-43D2-BB4B-9774E86404DA}"/>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F6DDB887-B346-43B5-AC11-145AA4C2D260}"/>
    <cellStyle name="Normal 9 3 2 2 3 2 3" xfId="12560" xr:uid="{30269353-DAAA-43C7-BBB7-E8137EF64E20}"/>
    <cellStyle name="Normal 9 3 2 2 3 3" xfId="5306" xr:uid="{00000000-0005-0000-0000-0000C31F0000}"/>
    <cellStyle name="Normal 9 3 2 2 3 3 2" xfId="14632" xr:uid="{A275A276-9646-49CF-ACAA-23D7E96CF88F}"/>
    <cellStyle name="Normal 9 3 2 2 3 4" xfId="9368" xr:uid="{B3189122-1774-442D-BD5B-8DA329618536}"/>
    <cellStyle name="Normal 9 3 2 2 3 4 2" xfId="18683" xr:uid="{213DD1B3-F97F-4146-9B1C-3E6A23901CF0}"/>
    <cellStyle name="Normal 9 3 2 2 3 5" xfId="10415" xr:uid="{5E98014A-01C8-4826-9139-9F307B15E0FD}"/>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12934B83-63EC-420A-9B33-BACDC7270F0D}"/>
    <cellStyle name="Normal 9 3 2 2 4 2 3" xfId="12973" xr:uid="{7F73E07D-E666-4CB1-9E64-C8B5FEE60781}"/>
    <cellStyle name="Normal 9 3 2 2 4 3" xfId="5719" xr:uid="{00000000-0005-0000-0000-0000C71F0000}"/>
    <cellStyle name="Normal 9 3 2 2 4 3 2" xfId="15045" xr:uid="{82CF37CA-74B9-4FFC-A4EB-3C47F69B024C}"/>
    <cellStyle name="Normal 9 3 2 2 4 4" xfId="10828" xr:uid="{6627EEB1-2DDF-4389-ACD3-CAB5FAAB2B3A}"/>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82B86D0D-65CB-45A4-8D13-F7824A6B1973}"/>
    <cellStyle name="Normal 9 3 2 2 5 2 3" xfId="13386" xr:uid="{F154DC1D-2142-459A-91A8-8713EC40D6D8}"/>
    <cellStyle name="Normal 9 3 2 2 5 3" xfId="6132" xr:uid="{00000000-0005-0000-0000-0000CB1F0000}"/>
    <cellStyle name="Normal 9 3 2 2 5 3 2" xfId="15458" xr:uid="{0A33D847-22D7-4804-A22D-C6152611C36C}"/>
    <cellStyle name="Normal 9 3 2 2 5 4" xfId="11241" xr:uid="{B6A80619-B006-4CAA-AE72-1F5546BF46AF}"/>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A4C99B08-CD41-4410-8A13-8C771C53657A}"/>
    <cellStyle name="Normal 9 3 2 2 6 2 3" xfId="13799" xr:uid="{FC4B81B2-6FF8-437A-B109-B0E58ADA63A1}"/>
    <cellStyle name="Normal 9 3 2 2 6 3" xfId="6545" xr:uid="{00000000-0005-0000-0000-0000CF1F0000}"/>
    <cellStyle name="Normal 9 3 2 2 6 3 2" xfId="15871" xr:uid="{2446A6C6-4899-411A-92E4-0976C61A8263}"/>
    <cellStyle name="Normal 9 3 2 2 6 4" xfId="11654" xr:uid="{10AB3286-13A9-4815-A957-3D3AC1C82720}"/>
    <cellStyle name="Normal 9 3 2 2 7" xfId="2675" xr:uid="{00000000-0005-0000-0000-0000D01F0000}"/>
    <cellStyle name="Normal 9 3 2 2 7 2" xfId="6958" xr:uid="{00000000-0005-0000-0000-0000D11F0000}"/>
    <cellStyle name="Normal 9 3 2 2 7 2 2" xfId="16284" xr:uid="{B793EEC0-F4B8-489B-99D2-0A2F8407ED55}"/>
    <cellStyle name="Normal 9 3 2 2 7 3" xfId="12067" xr:uid="{7BC120AB-2749-4241-8B97-7C7CC087953D}"/>
    <cellStyle name="Normal 9 3 2 2 8" xfId="4893" xr:uid="{00000000-0005-0000-0000-0000D21F0000}"/>
    <cellStyle name="Normal 9 3 2 2 8 2" xfId="14219" xr:uid="{56C64765-A4A3-40D1-B09F-6F6629C20F68}"/>
    <cellStyle name="Normal 9 3 2 2 9" xfId="8943" xr:uid="{1E59706A-169E-45B8-A6E4-1A0514B9DDBD}"/>
    <cellStyle name="Normal 9 3 2 2 9 2" xfId="18267" xr:uid="{ED39FE63-D92D-4EC1-B7DC-3B275E250CEA}"/>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7910DB80-D057-4BAB-9A11-E26982938BFB}"/>
    <cellStyle name="Normal 9 3 2 3 2 2 3" xfId="12562" xr:uid="{9A009EBB-D3E0-49A8-8F89-F25CF86B4919}"/>
    <cellStyle name="Normal 9 3 2 3 2 3" xfId="5308" xr:uid="{00000000-0005-0000-0000-0000D71F0000}"/>
    <cellStyle name="Normal 9 3 2 3 2 3 2" xfId="14634" xr:uid="{910460A7-08E0-40C7-BDCF-6EA98F16DC58}"/>
    <cellStyle name="Normal 9 3 2 3 2 4" xfId="9472" xr:uid="{427A8E71-9BC4-47C0-A855-6886AF96C97E}"/>
    <cellStyle name="Normal 9 3 2 3 2 4 2" xfId="18787" xr:uid="{A2AC9972-23E7-44BC-8EDA-94796559684B}"/>
    <cellStyle name="Normal 9 3 2 3 2 5" xfId="10417" xr:uid="{2BC16B42-6B36-4B40-9DB6-1929DFFF132B}"/>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427944CD-C681-488D-8458-D9B76A04ADAE}"/>
    <cellStyle name="Normal 9 3 2 3 3 2 3" xfId="12975" xr:uid="{09A4DA3F-2278-4B80-BC4F-A3F551A852BA}"/>
    <cellStyle name="Normal 9 3 2 3 3 3" xfId="5721" xr:uid="{00000000-0005-0000-0000-0000DB1F0000}"/>
    <cellStyle name="Normal 9 3 2 3 3 3 2" xfId="15047" xr:uid="{AF7111BF-6467-496F-948C-B88F0418A656}"/>
    <cellStyle name="Normal 9 3 2 3 3 4" xfId="10830" xr:uid="{FF391D86-B846-4A7B-8DD1-2CD66B093247}"/>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D739797F-63C8-4750-A874-E44D995C3542}"/>
    <cellStyle name="Normal 9 3 2 3 4 2 3" xfId="13388" xr:uid="{2CA06EA0-704B-4CCD-822D-43F7315CD878}"/>
    <cellStyle name="Normal 9 3 2 3 4 3" xfId="6134" xr:uid="{00000000-0005-0000-0000-0000DF1F0000}"/>
    <cellStyle name="Normal 9 3 2 3 4 3 2" xfId="15460" xr:uid="{811A7467-DFED-4308-887E-C769605DA5C5}"/>
    <cellStyle name="Normal 9 3 2 3 4 4" xfId="11243" xr:uid="{81057047-ADC1-4C0C-A05B-4C229F633F14}"/>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6C327E16-0F3B-45C9-BA5C-37C988B65FAA}"/>
    <cellStyle name="Normal 9 3 2 3 5 2 3" xfId="13801" xr:uid="{4CBC35DF-B341-40F2-8A26-89AEE20010E5}"/>
    <cellStyle name="Normal 9 3 2 3 5 3" xfId="6547" xr:uid="{00000000-0005-0000-0000-0000E31F0000}"/>
    <cellStyle name="Normal 9 3 2 3 5 3 2" xfId="15873" xr:uid="{8B1101B8-264A-401E-A1F1-3C6312303B93}"/>
    <cellStyle name="Normal 9 3 2 3 5 4" xfId="11656" xr:uid="{B5F4A6F3-CE95-4760-8715-AB8A24917E3B}"/>
    <cellStyle name="Normal 9 3 2 3 6" xfId="2677" xr:uid="{00000000-0005-0000-0000-0000E41F0000}"/>
    <cellStyle name="Normal 9 3 2 3 6 2" xfId="6960" xr:uid="{00000000-0005-0000-0000-0000E51F0000}"/>
    <cellStyle name="Normal 9 3 2 3 6 2 2" xfId="16286" xr:uid="{0631DB85-6CD6-410C-8CA3-EFD8EB7CCFAB}"/>
    <cellStyle name="Normal 9 3 2 3 6 3" xfId="12069" xr:uid="{BF905B7D-89D0-45B3-A9DE-6F50A9436E0B}"/>
    <cellStyle name="Normal 9 3 2 3 7" xfId="4895" xr:uid="{00000000-0005-0000-0000-0000E61F0000}"/>
    <cellStyle name="Normal 9 3 2 3 7 2" xfId="14221" xr:uid="{F107EAC2-250C-4146-8EA2-DD1E658D32FA}"/>
    <cellStyle name="Normal 9 3 2 3 8" xfId="9047" xr:uid="{4CBBBE80-D24B-484D-910E-0072EA0E95DD}"/>
    <cellStyle name="Normal 9 3 2 3 8 2" xfId="18371" xr:uid="{17D89567-AD11-4340-81DB-F24A06112672}"/>
    <cellStyle name="Normal 9 3 2 3 9" xfId="10004" xr:uid="{D774F05A-EDF6-4969-92C1-9143130158C5}"/>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39F8E127-D31B-4073-8997-03C09B51DD16}"/>
    <cellStyle name="Normal 9 3 2 4 2 3" xfId="12559" xr:uid="{77127F80-4F51-4790-985D-171341E0B275}"/>
    <cellStyle name="Normal 9 3 2 4 3" xfId="5305" xr:uid="{00000000-0005-0000-0000-0000EA1F0000}"/>
    <cellStyle name="Normal 9 3 2 4 3 2" xfId="14631" xr:uid="{B9BA1008-30DE-494C-8938-CDD751A5147D}"/>
    <cellStyle name="Normal 9 3 2 4 4" xfId="9265" xr:uid="{BF00A9B8-67BA-48F6-8D48-0E4380D60577}"/>
    <cellStyle name="Normal 9 3 2 4 4 2" xfId="18580" xr:uid="{34336E7B-F485-4706-AF0F-CFF862019D46}"/>
    <cellStyle name="Normal 9 3 2 4 5" xfId="10414" xr:uid="{2B04BFA5-6A36-4759-831D-9E6C70846A7D}"/>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220BAEF7-38B8-4C8C-B2C1-1D6C3E0D53F4}"/>
    <cellStyle name="Normal 9 3 2 5 2 3" xfId="12972" xr:uid="{028513F3-8D5E-4482-AEF3-68E95D761391}"/>
    <cellStyle name="Normal 9 3 2 5 3" xfId="5718" xr:uid="{00000000-0005-0000-0000-0000EE1F0000}"/>
    <cellStyle name="Normal 9 3 2 5 3 2" xfId="15044" xr:uid="{8CB5C349-0133-431B-8500-322518BFE14C}"/>
    <cellStyle name="Normal 9 3 2 5 4" xfId="10827" xr:uid="{3CA55871-E43A-453B-8EDB-E8254CA63948}"/>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7E796AA5-8DF0-4185-AB7D-20A1FC595566}"/>
    <cellStyle name="Normal 9 3 2 6 2 3" xfId="13385" xr:uid="{C82C37DA-C705-4F5B-82CB-52A72CC2B34D}"/>
    <cellStyle name="Normal 9 3 2 6 3" xfId="6131" xr:uid="{00000000-0005-0000-0000-0000F21F0000}"/>
    <cellStyle name="Normal 9 3 2 6 3 2" xfId="15457" xr:uid="{B82402BF-8038-4731-BDE3-ED17D0A17125}"/>
    <cellStyle name="Normal 9 3 2 6 4" xfId="11240" xr:uid="{956CFA52-35D1-4C50-B3DE-89581708805E}"/>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9C6ECDBD-5772-4C8B-AE12-B0CD68957B68}"/>
    <cellStyle name="Normal 9 3 2 7 2 3" xfId="13798" xr:uid="{0807D1A2-E16B-497D-8003-DA7141BC35D0}"/>
    <cellStyle name="Normal 9 3 2 7 3" xfId="6544" xr:uid="{00000000-0005-0000-0000-0000F61F0000}"/>
    <cellStyle name="Normal 9 3 2 7 3 2" xfId="15870" xr:uid="{6CB3D72E-C989-4BC9-A637-FDC137382691}"/>
    <cellStyle name="Normal 9 3 2 7 4" xfId="11653" xr:uid="{B64FEB84-13BD-4EC6-A829-6635530D524B}"/>
    <cellStyle name="Normal 9 3 2 8" xfId="2674" xr:uid="{00000000-0005-0000-0000-0000F71F0000}"/>
    <cellStyle name="Normal 9 3 2 8 2" xfId="6957" xr:uid="{00000000-0005-0000-0000-0000F81F0000}"/>
    <cellStyle name="Normal 9 3 2 8 2 2" xfId="16283" xr:uid="{3F66620D-6CD0-4A37-957C-B9B84E0A9139}"/>
    <cellStyle name="Normal 9 3 2 8 3" xfId="12066" xr:uid="{FEAFF1BB-8CBA-496E-A120-8B90D8A5FE3E}"/>
    <cellStyle name="Normal 9 3 2 9" xfId="4892" xr:uid="{00000000-0005-0000-0000-0000F91F0000}"/>
    <cellStyle name="Normal 9 3 2 9 2" xfId="14218" xr:uid="{00C11A92-E45C-406E-A738-320F11E003EE}"/>
    <cellStyle name="Normal 9 3 3" xfId="532" xr:uid="{00000000-0005-0000-0000-0000FA1F0000}"/>
    <cellStyle name="Normal 9 3 3 10" xfId="10005" xr:uid="{DD4464A7-E70A-4F3C-A074-EE71BF4A584F}"/>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0A11CAF1-56B0-4AAD-894B-307C02A7670E}"/>
    <cellStyle name="Normal 9 3 3 2 2 2 3" xfId="12564" xr:uid="{022B81C7-F001-407E-A203-EA87BD4A001A}"/>
    <cellStyle name="Normal 9 3 3 2 2 3" xfId="5310" xr:uid="{00000000-0005-0000-0000-0000FF1F0000}"/>
    <cellStyle name="Normal 9 3 3 2 2 3 2" xfId="14636" xr:uid="{5EA25E83-94AB-42ED-B869-6914B9A4D201}"/>
    <cellStyle name="Normal 9 3 3 2 2 4" xfId="9512" xr:uid="{2D87B26D-94B2-43FF-B3AD-59DF0A117D21}"/>
    <cellStyle name="Normal 9 3 3 2 2 4 2" xfId="18827" xr:uid="{F785AE1B-E061-4C36-93D3-841A204E4935}"/>
    <cellStyle name="Normal 9 3 3 2 2 5" xfId="10419" xr:uid="{0B24DFC7-89F1-41AB-A3E5-F0A0DD5284E2}"/>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36789541-FDC3-4468-9374-7FA6BCF04867}"/>
    <cellStyle name="Normal 9 3 3 2 3 2 3" xfId="12977" xr:uid="{48468260-AF87-4DE4-9F0C-508FB7943335}"/>
    <cellStyle name="Normal 9 3 3 2 3 3" xfId="5723" xr:uid="{00000000-0005-0000-0000-000003200000}"/>
    <cellStyle name="Normal 9 3 3 2 3 3 2" xfId="15049" xr:uid="{01A05187-7ED9-4387-AAB2-EF6CC5A4117F}"/>
    <cellStyle name="Normal 9 3 3 2 3 4" xfId="10832" xr:uid="{94076588-CA09-4770-AFAF-AF7F8C8880AF}"/>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E478DF10-E6F1-4D53-8642-1B1BE9E31BF3}"/>
    <cellStyle name="Normal 9 3 3 2 4 2 3" xfId="13390" xr:uid="{C8BC6849-67D4-442E-8EB6-3C12C2AEC38B}"/>
    <cellStyle name="Normal 9 3 3 2 4 3" xfId="6136" xr:uid="{00000000-0005-0000-0000-000007200000}"/>
    <cellStyle name="Normal 9 3 3 2 4 3 2" xfId="15462" xr:uid="{6ADEB217-DDC2-46C9-B9E1-E20D2FBE1B1C}"/>
    <cellStyle name="Normal 9 3 3 2 4 4" xfId="11245" xr:uid="{382A338A-A0CE-446D-9FDB-3CF459308D10}"/>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8D716342-F6F7-485F-B217-6FE417CF8D99}"/>
    <cellStyle name="Normal 9 3 3 2 5 2 3" xfId="13803" xr:uid="{B71BA0D7-06A6-4EBD-AF12-2AFE7F723145}"/>
    <cellStyle name="Normal 9 3 3 2 5 3" xfId="6549" xr:uid="{00000000-0005-0000-0000-00000B200000}"/>
    <cellStyle name="Normal 9 3 3 2 5 3 2" xfId="15875" xr:uid="{9153C7E1-C1E1-4CB2-A38B-20A5D0337439}"/>
    <cellStyle name="Normal 9 3 3 2 5 4" xfId="11658" xr:uid="{49A91C22-E95E-4DAF-BFEB-5548CCD2C1E7}"/>
    <cellStyle name="Normal 9 3 3 2 6" xfId="2679" xr:uid="{00000000-0005-0000-0000-00000C200000}"/>
    <cellStyle name="Normal 9 3 3 2 6 2" xfId="6962" xr:uid="{00000000-0005-0000-0000-00000D200000}"/>
    <cellStyle name="Normal 9 3 3 2 6 2 2" xfId="16288" xr:uid="{0291AA74-0EC6-4ABC-81FE-12E29617B511}"/>
    <cellStyle name="Normal 9 3 3 2 6 3" xfId="12071" xr:uid="{A36A0A11-5C78-44E6-9E63-6C8E21136ED3}"/>
    <cellStyle name="Normal 9 3 3 2 7" xfId="4897" xr:uid="{00000000-0005-0000-0000-00000E200000}"/>
    <cellStyle name="Normal 9 3 3 2 7 2" xfId="14223" xr:uid="{FBF7DCEC-7950-4E24-A025-1B83947A465C}"/>
    <cellStyle name="Normal 9 3 3 2 8" xfId="9087" xr:uid="{B1C8DB1F-59B6-4D6A-B3E7-0CFC4D29D9A9}"/>
    <cellStyle name="Normal 9 3 3 2 8 2" xfId="18411" xr:uid="{5F34388B-AB06-41E3-BB19-482E54B4F791}"/>
    <cellStyle name="Normal 9 3 3 2 9" xfId="10006" xr:uid="{127DE753-611D-49BE-910D-12340043EEEA}"/>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62912E07-2F0A-4959-AE13-0241FC97F006}"/>
    <cellStyle name="Normal 9 3 3 3 2 3" xfId="12563" xr:uid="{F1120F59-207E-4DB9-BEF7-E6C5CB9AC19C}"/>
    <cellStyle name="Normal 9 3 3 3 3" xfId="5309" xr:uid="{00000000-0005-0000-0000-000012200000}"/>
    <cellStyle name="Normal 9 3 3 3 3 2" xfId="14635" xr:uid="{16B553EC-7F76-4478-BFA8-30593E754E73}"/>
    <cellStyle name="Normal 9 3 3 3 4" xfId="9305" xr:uid="{F54F3A88-B268-4905-B4D1-34B996B920C6}"/>
    <cellStyle name="Normal 9 3 3 3 4 2" xfId="18620" xr:uid="{F6ACC66B-2C87-45C7-A214-73D646125978}"/>
    <cellStyle name="Normal 9 3 3 3 5" xfId="10418" xr:uid="{884D7036-0E7A-4DD3-A47B-045D04B23D41}"/>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F0421A06-A3B0-4D62-B540-844CBBB44C11}"/>
    <cellStyle name="Normal 9 3 3 4 2 3" xfId="12976" xr:uid="{C2AF6247-1C86-4B42-81DC-05FE7DB0615F}"/>
    <cellStyle name="Normal 9 3 3 4 3" xfId="5722" xr:uid="{00000000-0005-0000-0000-000016200000}"/>
    <cellStyle name="Normal 9 3 3 4 3 2" xfId="15048" xr:uid="{8206CD77-67CA-4718-A9AC-9F980C8A8677}"/>
    <cellStyle name="Normal 9 3 3 4 4" xfId="10831" xr:uid="{323136CC-F56C-422E-AC0E-18758D3593B5}"/>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7FC7C0D5-1161-4EC3-8896-F110C2F6F459}"/>
    <cellStyle name="Normal 9 3 3 5 2 3" xfId="13389" xr:uid="{4F91BDCD-033F-47D0-9942-DEFE8E136CCF}"/>
    <cellStyle name="Normal 9 3 3 5 3" xfId="6135" xr:uid="{00000000-0005-0000-0000-00001A200000}"/>
    <cellStyle name="Normal 9 3 3 5 3 2" xfId="15461" xr:uid="{B63FB58A-5349-486B-A2AE-E431F8EA11E0}"/>
    <cellStyle name="Normal 9 3 3 5 4" xfId="11244" xr:uid="{9980AB49-7F87-4342-ACB6-A8760E7A571F}"/>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90B71308-7C17-4146-BA55-1DD611C617D9}"/>
    <cellStyle name="Normal 9 3 3 6 2 3" xfId="13802" xr:uid="{1E966476-3863-4071-AD57-1E1D539CDDD9}"/>
    <cellStyle name="Normal 9 3 3 6 3" xfId="6548" xr:uid="{00000000-0005-0000-0000-00001E200000}"/>
    <cellStyle name="Normal 9 3 3 6 3 2" xfId="15874" xr:uid="{FF0F1D9D-5459-4654-B302-AAE4F655D07E}"/>
    <cellStyle name="Normal 9 3 3 6 4" xfId="11657" xr:uid="{A3E6D008-A262-4996-AD89-070DE536C1AC}"/>
    <cellStyle name="Normal 9 3 3 7" xfId="2678" xr:uid="{00000000-0005-0000-0000-00001F200000}"/>
    <cellStyle name="Normal 9 3 3 7 2" xfId="6961" xr:uid="{00000000-0005-0000-0000-000020200000}"/>
    <cellStyle name="Normal 9 3 3 7 2 2" xfId="16287" xr:uid="{281054E2-8EAA-43B2-B99F-D44CCE0FE026}"/>
    <cellStyle name="Normal 9 3 3 7 3" xfId="12070" xr:uid="{433EB861-CEDD-45D0-8633-0FE6D8C352E1}"/>
    <cellStyle name="Normal 9 3 3 8" xfId="4896" xr:uid="{00000000-0005-0000-0000-000021200000}"/>
    <cellStyle name="Normal 9 3 3 8 2" xfId="14222" xr:uid="{95A18A09-A113-4D28-99FB-3F0DA7A8FE59}"/>
    <cellStyle name="Normal 9 3 3 9" xfId="8880" xr:uid="{36521590-FD5B-45F7-80A9-41BA557EA820}"/>
    <cellStyle name="Normal 9 3 3 9 2" xfId="18204" xr:uid="{EAB76DE3-7B62-4BF1-A20B-82AB5C780586}"/>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F25B7193-BD96-456D-909B-A4881AE435A7}"/>
    <cellStyle name="Normal 9 3 4 2 2 3" xfId="12565" xr:uid="{18B58F8B-7444-4643-80F1-BA0B42E2A590}"/>
    <cellStyle name="Normal 9 3 4 2 3" xfId="5311" xr:uid="{00000000-0005-0000-0000-000026200000}"/>
    <cellStyle name="Normal 9 3 4 2 3 2" xfId="14637" xr:uid="{981A5A67-0E87-4AE2-BA45-69E5C75D3FAA}"/>
    <cellStyle name="Normal 9 3 4 2 4" xfId="9409" xr:uid="{F8EFC02C-357C-44AD-9BF7-6459F3C595DA}"/>
    <cellStyle name="Normal 9 3 4 2 4 2" xfId="18724" xr:uid="{3D1AD4CD-E1EF-477A-A861-B11BD9FCCA00}"/>
    <cellStyle name="Normal 9 3 4 2 5" xfId="10420" xr:uid="{E53E987E-B196-47AA-9FE7-E14ABBE00148}"/>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2851ACB2-9720-4270-938F-8B32CB07CBCF}"/>
    <cellStyle name="Normal 9 3 4 3 2 3" xfId="12978" xr:uid="{65505A85-A29D-4773-B421-C7E074E26CE5}"/>
    <cellStyle name="Normal 9 3 4 3 3" xfId="5724" xr:uid="{00000000-0005-0000-0000-00002A200000}"/>
    <cellStyle name="Normal 9 3 4 3 3 2" xfId="15050" xr:uid="{B8C1CDEF-C3B3-4B15-80DB-E1DB9C3F3204}"/>
    <cellStyle name="Normal 9 3 4 3 4" xfId="10833" xr:uid="{A3E841AD-F7B1-4A26-8097-6D7735D6513A}"/>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87F262D2-CDE9-40F7-8A96-D882690A788D}"/>
    <cellStyle name="Normal 9 3 4 4 2 3" xfId="13391" xr:uid="{0E752563-B54A-4198-AFC2-1672A4B3E235}"/>
    <cellStyle name="Normal 9 3 4 4 3" xfId="6137" xr:uid="{00000000-0005-0000-0000-00002E200000}"/>
    <cellStyle name="Normal 9 3 4 4 3 2" xfId="15463" xr:uid="{F529C01A-D613-4602-8ECB-E3ED341D4AFC}"/>
    <cellStyle name="Normal 9 3 4 4 4" xfId="11246" xr:uid="{65429DF3-0A6E-4430-9D32-37722CB76A1B}"/>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DD57091A-98D8-415E-8EB6-55377D411338}"/>
    <cellStyle name="Normal 9 3 4 5 2 3" xfId="13804" xr:uid="{C0C0B62A-C232-422B-8E36-B64B855966EA}"/>
    <cellStyle name="Normal 9 3 4 5 3" xfId="6550" xr:uid="{00000000-0005-0000-0000-000032200000}"/>
    <cellStyle name="Normal 9 3 4 5 3 2" xfId="15876" xr:uid="{363B374F-6D8D-4EAE-8FAF-641421037ED2}"/>
    <cellStyle name="Normal 9 3 4 5 4" xfId="11659" xr:uid="{581A2FCE-0E50-4A6C-AEE8-30F224A2619C}"/>
    <cellStyle name="Normal 9 3 4 6" xfId="2680" xr:uid="{00000000-0005-0000-0000-000033200000}"/>
    <cellStyle name="Normal 9 3 4 6 2" xfId="6963" xr:uid="{00000000-0005-0000-0000-000034200000}"/>
    <cellStyle name="Normal 9 3 4 6 2 2" xfId="16289" xr:uid="{70D014DA-1F73-4DE8-869C-E1E25587C39E}"/>
    <cellStyle name="Normal 9 3 4 6 3" xfId="12072" xr:uid="{D234FF0F-C7D3-4216-9A31-F7CA26D885B5}"/>
    <cellStyle name="Normal 9 3 4 7" xfId="4898" xr:uid="{00000000-0005-0000-0000-000035200000}"/>
    <cellStyle name="Normal 9 3 4 7 2" xfId="14224" xr:uid="{FF4BEEC7-F09F-4765-A2DB-85502E9044C8}"/>
    <cellStyle name="Normal 9 3 4 8" xfId="8984" xr:uid="{A39B104A-EAEF-4D5B-B504-6104111E924B}"/>
    <cellStyle name="Normal 9 3 4 8 2" xfId="18308" xr:uid="{5B711185-33A2-45C6-B77C-4B7C86DFE42D}"/>
    <cellStyle name="Normal 9 3 4 9" xfId="10007" xr:uid="{265730FD-4467-48F7-99B1-B9E865FFB9CA}"/>
    <cellStyle name="Normal 9 3 5" xfId="994" xr:uid="{00000000-0005-0000-0000-000036200000}"/>
    <cellStyle name="Normal 9 3 5 2" xfId="3227" xr:uid="{00000000-0005-0000-0000-000037200000}"/>
    <cellStyle name="Normal 9 3 5 2 2" xfId="7449" xr:uid="{00000000-0005-0000-0000-000038200000}"/>
    <cellStyle name="Normal 9 3 5 2 2 2" xfId="16775" xr:uid="{5603A119-C552-49DD-A183-F6EA37446300}"/>
    <cellStyle name="Normal 9 3 5 2 3" xfId="12558" xr:uid="{0E0BA972-74A8-4BBB-9666-E5443CDBE838}"/>
    <cellStyle name="Normal 9 3 5 3" xfId="5304" xr:uid="{00000000-0005-0000-0000-000039200000}"/>
    <cellStyle name="Normal 9 3 5 3 2" xfId="14630" xr:uid="{55F46557-44F5-42BA-8DC6-F72615899085}"/>
    <cellStyle name="Normal 9 3 5 4" xfId="9201" xr:uid="{46D523D7-8DEB-46FB-8F1C-8CE8C2FC3AD3}"/>
    <cellStyle name="Normal 9 3 5 4 2" xfId="18517" xr:uid="{0DDBE656-3E20-4DCE-BE86-A82995F177B7}"/>
    <cellStyle name="Normal 9 3 5 5" xfId="10413" xr:uid="{CE7B5D7C-A512-4F1C-94EE-78EB9824346E}"/>
    <cellStyle name="Normal 9 3 6" xfId="1410" xr:uid="{00000000-0005-0000-0000-00003A200000}"/>
    <cellStyle name="Normal 9 3 6 2" xfId="3640" xr:uid="{00000000-0005-0000-0000-00003B200000}"/>
    <cellStyle name="Normal 9 3 6 2 2" xfId="7862" xr:uid="{00000000-0005-0000-0000-00003C200000}"/>
    <cellStyle name="Normal 9 3 6 2 2 2" xfId="17188" xr:uid="{072AD9AB-E1D6-4C50-BF80-183B355CA2DF}"/>
    <cellStyle name="Normal 9 3 6 2 3" xfId="12971" xr:uid="{C51012AD-8EC9-4D19-97C0-C576CCDEDCA6}"/>
    <cellStyle name="Normal 9 3 6 3" xfId="5717" xr:uid="{00000000-0005-0000-0000-00003D200000}"/>
    <cellStyle name="Normal 9 3 6 3 2" xfId="15043" xr:uid="{1A2E07CF-F8CC-4D6A-A216-1AABF25A6CD7}"/>
    <cellStyle name="Normal 9 3 6 4" xfId="10826" xr:uid="{1A8B6E36-5AE6-4A6C-9ED1-974BD27DBA60}"/>
    <cellStyle name="Normal 9 3 7" xfId="1823" xr:uid="{00000000-0005-0000-0000-00003E200000}"/>
    <cellStyle name="Normal 9 3 7 2" xfId="4053" xr:uid="{00000000-0005-0000-0000-00003F200000}"/>
    <cellStyle name="Normal 9 3 7 2 2" xfId="8275" xr:uid="{00000000-0005-0000-0000-000040200000}"/>
    <cellStyle name="Normal 9 3 7 2 2 2" xfId="17601" xr:uid="{EF7F1ECF-4D45-4F4B-92D0-97A1F6ED9203}"/>
    <cellStyle name="Normal 9 3 7 2 3" xfId="13384" xr:uid="{588A8CA2-10E8-449C-8303-1F753237B1BB}"/>
    <cellStyle name="Normal 9 3 7 3" xfId="6130" xr:uid="{00000000-0005-0000-0000-000041200000}"/>
    <cellStyle name="Normal 9 3 7 3 2" xfId="15456" xr:uid="{B9208CDF-4EBB-407B-BC52-8EEDB4502E1C}"/>
    <cellStyle name="Normal 9 3 7 4" xfId="11239" xr:uid="{CE45F93F-4373-4EF7-A9F0-4C0444E7B94F}"/>
    <cellStyle name="Normal 9 3 8" xfId="2237" xr:uid="{00000000-0005-0000-0000-000042200000}"/>
    <cellStyle name="Normal 9 3 8 2" xfId="4466" xr:uid="{00000000-0005-0000-0000-000043200000}"/>
    <cellStyle name="Normal 9 3 8 2 2" xfId="8688" xr:uid="{00000000-0005-0000-0000-000044200000}"/>
    <cellStyle name="Normal 9 3 8 2 2 2" xfId="18014" xr:uid="{D25D325C-6F16-48A8-80A3-6C0FC42FB10D}"/>
    <cellStyle name="Normal 9 3 8 2 3" xfId="13797" xr:uid="{73D5064A-CA04-44AB-B4DC-498A956DF6FD}"/>
    <cellStyle name="Normal 9 3 8 3" xfId="6543" xr:uid="{00000000-0005-0000-0000-000045200000}"/>
    <cellStyle name="Normal 9 3 8 3 2" xfId="15869" xr:uid="{496D00AA-6BDC-4624-B024-420E44E8F716}"/>
    <cellStyle name="Normal 9 3 8 4" xfId="11652" xr:uid="{2D8A1A8C-7623-41AF-A264-9E62A096C435}"/>
    <cellStyle name="Normal 9 3 9" xfId="2673" xr:uid="{00000000-0005-0000-0000-000046200000}"/>
    <cellStyle name="Normal 9 3 9 2" xfId="6956" xr:uid="{00000000-0005-0000-0000-000047200000}"/>
    <cellStyle name="Normal 9 3 9 2 2" xfId="16282" xr:uid="{343A33D8-EE9E-4125-A96E-222E58DE077B}"/>
    <cellStyle name="Normal 9 3 9 3" xfId="12065" xr:uid="{195FAF50-7775-45E1-ADC8-864067D619D1}"/>
    <cellStyle name="Normal 9 4" xfId="535" xr:uid="{00000000-0005-0000-0000-000048200000}"/>
    <cellStyle name="Normal 9 4 2" xfId="1002" xr:uid="{00000000-0005-0000-0000-000049200000}"/>
    <cellStyle name="Normal 9 5" xfId="536" xr:uid="{00000000-0005-0000-0000-00004A200000}"/>
    <cellStyle name="Normal 9 5 10" xfId="10008" xr:uid="{AF7E0AD9-37FE-41A7-A292-22DE1C07DF18}"/>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ACC92478-EFEA-434A-B8A6-46BBD28E7D24}"/>
    <cellStyle name="Normal 9 5 2 2 2 3" xfId="12567" xr:uid="{C69B3E18-24A4-4A4D-9BD0-A9B8EDCD0326}"/>
    <cellStyle name="Normal 9 5 2 2 3" xfId="5313" xr:uid="{00000000-0005-0000-0000-00004F200000}"/>
    <cellStyle name="Normal 9 5 2 2 3 2" xfId="14639" xr:uid="{3B737826-DEE0-4178-B9AC-C1E12B329F9B}"/>
    <cellStyle name="Normal 9 5 2 2 4" xfId="9480" xr:uid="{BC9702BE-C2B3-450A-99DF-6FFE7C7A82FD}"/>
    <cellStyle name="Normal 9 5 2 2 4 2" xfId="18795" xr:uid="{1928A180-F91E-47CF-9F09-14FC0F458778}"/>
    <cellStyle name="Normal 9 5 2 2 5" xfId="10422" xr:uid="{FBDC00DC-DA37-4E33-92B8-C3843831E1F8}"/>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5A49B3C5-09C4-476E-9C17-ED6F828B4ECE}"/>
    <cellStyle name="Normal 9 5 2 3 2 3" xfId="12980" xr:uid="{E3AE8683-18AB-4AA3-93D9-91882C77C624}"/>
    <cellStyle name="Normal 9 5 2 3 3" xfId="5726" xr:uid="{00000000-0005-0000-0000-000053200000}"/>
    <cellStyle name="Normal 9 5 2 3 3 2" xfId="15052" xr:uid="{7301B41E-D3AB-4BCC-863F-E37FCD207618}"/>
    <cellStyle name="Normal 9 5 2 3 4" xfId="10835" xr:uid="{C7F5EC1B-472F-48C4-8D7A-1B9383E2EBFF}"/>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F6EF0165-85F8-4892-B249-0C4CBA4259F0}"/>
    <cellStyle name="Normal 9 5 2 4 2 3" xfId="13393" xr:uid="{2B66EC08-CC28-408A-BB5B-7E70C2C4DAF3}"/>
    <cellStyle name="Normal 9 5 2 4 3" xfId="6139" xr:uid="{00000000-0005-0000-0000-000057200000}"/>
    <cellStyle name="Normal 9 5 2 4 3 2" xfId="15465" xr:uid="{9BEDF061-EF5A-47DC-8BC9-36FFE0661EAE}"/>
    <cellStyle name="Normal 9 5 2 4 4" xfId="11248" xr:uid="{E65025C6-B689-4ADE-B948-93DA6FBA15E7}"/>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0CBB1C53-9F9C-43B5-99CE-BBA9D26A4BD6}"/>
    <cellStyle name="Normal 9 5 2 5 2 3" xfId="13806" xr:uid="{D71EDFD8-55B9-45CD-89C1-FE5A19BA9F05}"/>
    <cellStyle name="Normal 9 5 2 5 3" xfId="6552" xr:uid="{00000000-0005-0000-0000-00005B200000}"/>
    <cellStyle name="Normal 9 5 2 5 3 2" xfId="15878" xr:uid="{97990832-B67B-48FE-B0E3-487E2BEFA8FF}"/>
    <cellStyle name="Normal 9 5 2 5 4" xfId="11661" xr:uid="{2342682B-8C67-48B9-BC0D-FFE148024919}"/>
    <cellStyle name="Normal 9 5 2 6" xfId="2682" xr:uid="{00000000-0005-0000-0000-00005C200000}"/>
    <cellStyle name="Normal 9 5 2 6 2" xfId="6965" xr:uid="{00000000-0005-0000-0000-00005D200000}"/>
    <cellStyle name="Normal 9 5 2 6 2 2" xfId="16291" xr:uid="{5EF44FBF-419F-4A9B-A0B3-4CC8D4367D5D}"/>
    <cellStyle name="Normal 9 5 2 6 3" xfId="12074" xr:uid="{4FB8975A-3B40-4015-8E6A-458481A73856}"/>
    <cellStyle name="Normal 9 5 2 7" xfId="4900" xr:uid="{00000000-0005-0000-0000-00005E200000}"/>
    <cellStyle name="Normal 9 5 2 7 2" xfId="14226" xr:uid="{E373CC13-CCDA-4D33-89AB-0B7AFDBB0448}"/>
    <cellStyle name="Normal 9 5 2 8" xfId="9055" xr:uid="{3DD071E2-A4B3-45E3-9F20-3C2D5AEE5CB2}"/>
    <cellStyle name="Normal 9 5 2 8 2" xfId="18379" xr:uid="{F3E87C89-C94F-4ACE-BB39-C83E248F86EB}"/>
    <cellStyle name="Normal 9 5 2 9" xfId="10009" xr:uid="{FB109159-F195-43CF-82C0-9573ACD73A33}"/>
    <cellStyle name="Normal 9 5 3" xfId="1003" xr:uid="{00000000-0005-0000-0000-00005F200000}"/>
    <cellStyle name="Normal 9 5 3 2" xfId="3235" xr:uid="{00000000-0005-0000-0000-000060200000}"/>
    <cellStyle name="Normal 9 5 3 2 2" xfId="7457" xr:uid="{00000000-0005-0000-0000-000061200000}"/>
    <cellStyle name="Normal 9 5 3 2 2 2" xfId="16783" xr:uid="{D7975267-E908-4668-A59F-D5E8A41507C6}"/>
    <cellStyle name="Normal 9 5 3 2 3" xfId="12566" xr:uid="{85C47917-137F-4237-A00F-9FF43DEB55E1}"/>
    <cellStyle name="Normal 9 5 3 3" xfId="5312" xr:uid="{00000000-0005-0000-0000-000062200000}"/>
    <cellStyle name="Normal 9 5 3 3 2" xfId="14638" xr:uid="{A70710FE-E038-4A28-81B4-8638E1A1AAC6}"/>
    <cellStyle name="Normal 9 5 3 4" xfId="9273" xr:uid="{AE6CB61B-02C5-436E-A328-3B2AC8AC9E53}"/>
    <cellStyle name="Normal 9 5 3 4 2" xfId="18588" xr:uid="{C5B5564E-E65E-4032-81B8-55FBE1B81B3A}"/>
    <cellStyle name="Normal 9 5 3 5" xfId="10421" xr:uid="{9C10841E-7F44-4693-A2E9-41A149462111}"/>
    <cellStyle name="Normal 9 5 4" xfId="1418" xr:uid="{00000000-0005-0000-0000-000063200000}"/>
    <cellStyle name="Normal 9 5 4 2" xfId="3648" xr:uid="{00000000-0005-0000-0000-000064200000}"/>
    <cellStyle name="Normal 9 5 4 2 2" xfId="7870" xr:uid="{00000000-0005-0000-0000-000065200000}"/>
    <cellStyle name="Normal 9 5 4 2 2 2" xfId="17196" xr:uid="{774F8400-AC4A-45FF-92F0-79EFD1518A28}"/>
    <cellStyle name="Normal 9 5 4 2 3" xfId="12979" xr:uid="{95CC3774-7776-49EB-9807-F93800957B15}"/>
    <cellStyle name="Normal 9 5 4 3" xfId="5725" xr:uid="{00000000-0005-0000-0000-000066200000}"/>
    <cellStyle name="Normal 9 5 4 3 2" xfId="15051" xr:uid="{A43F6EEF-B286-459A-ACD7-CFCD60235D02}"/>
    <cellStyle name="Normal 9 5 4 4" xfId="10834" xr:uid="{56C147D9-BF0A-492E-B56F-A2A7E4C2155B}"/>
    <cellStyle name="Normal 9 5 5" xfId="1831" xr:uid="{00000000-0005-0000-0000-000067200000}"/>
    <cellStyle name="Normal 9 5 5 2" xfId="4061" xr:uid="{00000000-0005-0000-0000-000068200000}"/>
    <cellStyle name="Normal 9 5 5 2 2" xfId="8283" xr:uid="{00000000-0005-0000-0000-000069200000}"/>
    <cellStyle name="Normal 9 5 5 2 2 2" xfId="17609" xr:uid="{0BC75477-AD45-405E-A980-EC358B5A4948}"/>
    <cellStyle name="Normal 9 5 5 2 3" xfId="13392" xr:uid="{B0A22C16-5511-4AE8-B781-EB339690A5A7}"/>
    <cellStyle name="Normal 9 5 5 3" xfId="6138" xr:uid="{00000000-0005-0000-0000-00006A200000}"/>
    <cellStyle name="Normal 9 5 5 3 2" xfId="15464" xr:uid="{75A1AF75-553F-43AD-9ED5-1B1A87C67BCD}"/>
    <cellStyle name="Normal 9 5 5 4" xfId="11247" xr:uid="{47702A98-2451-40F9-86F1-4A8324876523}"/>
    <cellStyle name="Normal 9 5 6" xfId="2245" xr:uid="{00000000-0005-0000-0000-00006B200000}"/>
    <cellStyle name="Normal 9 5 6 2" xfId="4474" xr:uid="{00000000-0005-0000-0000-00006C200000}"/>
    <cellStyle name="Normal 9 5 6 2 2" xfId="8696" xr:uid="{00000000-0005-0000-0000-00006D200000}"/>
    <cellStyle name="Normal 9 5 6 2 2 2" xfId="18022" xr:uid="{EF3F1CA2-782A-487E-9F22-6938B53983E7}"/>
    <cellStyle name="Normal 9 5 6 2 3" xfId="13805" xr:uid="{2530B060-0B59-4BEE-81E7-5DEA917E778D}"/>
    <cellStyle name="Normal 9 5 6 3" xfId="6551" xr:uid="{00000000-0005-0000-0000-00006E200000}"/>
    <cellStyle name="Normal 9 5 6 3 2" xfId="15877" xr:uid="{39372D86-1692-4197-A0D3-7E744CED3496}"/>
    <cellStyle name="Normal 9 5 6 4" xfId="11660" xr:uid="{6A20D65F-AB9D-4C49-BB53-E99A1B36AA97}"/>
    <cellStyle name="Normal 9 5 7" xfId="2681" xr:uid="{00000000-0005-0000-0000-00006F200000}"/>
    <cellStyle name="Normal 9 5 7 2" xfId="6964" xr:uid="{00000000-0005-0000-0000-000070200000}"/>
    <cellStyle name="Normal 9 5 7 2 2" xfId="16290" xr:uid="{99AA61FC-5E96-4263-BCA4-475ACDDA0343}"/>
    <cellStyle name="Normal 9 5 7 3" xfId="12073" xr:uid="{E6563797-4D31-4D65-9725-FFF2A205508D}"/>
    <cellStyle name="Normal 9 5 8" xfId="4899" xr:uid="{00000000-0005-0000-0000-000071200000}"/>
    <cellStyle name="Normal 9 5 8 2" xfId="14225" xr:uid="{DF31014D-2401-4895-AC84-9410AD099D92}"/>
    <cellStyle name="Normal 9 5 9" xfId="8848" xr:uid="{B1BE5F70-14E5-42B6-9EBA-D267F3B60A08}"/>
    <cellStyle name="Normal 9 5 9 2" xfId="18172" xr:uid="{D354603E-8518-473C-9B96-A06C92B41C7A}"/>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3A1720B0-2DA2-40FA-8F86-88F603ECD29D}"/>
    <cellStyle name="Normal 9 6 2 2 3" xfId="12568" xr:uid="{BC328243-E8AF-4B61-90B3-4BE359EFE3FB}"/>
    <cellStyle name="Normal 9 6 2 3" xfId="5314" xr:uid="{00000000-0005-0000-0000-000076200000}"/>
    <cellStyle name="Normal 9 6 2 3 2" xfId="14640" xr:uid="{D0B3943B-A847-4DC6-9EC1-D1A5E58EAC4F}"/>
    <cellStyle name="Normal 9 6 2 4" xfId="9389" xr:uid="{2A0458F6-466A-4C3B-BA39-FF09FD770FDD}"/>
    <cellStyle name="Normal 9 6 2 4 2" xfId="18704" xr:uid="{F4642C1C-1D11-4737-8703-1D73F8ACA366}"/>
    <cellStyle name="Normal 9 6 2 5" xfId="10423" xr:uid="{6F7DB95E-E70F-41C6-9C68-A7C038B69609}"/>
    <cellStyle name="Normal 9 6 3" xfId="1420" xr:uid="{00000000-0005-0000-0000-000077200000}"/>
    <cellStyle name="Normal 9 6 3 2" xfId="3650" xr:uid="{00000000-0005-0000-0000-000078200000}"/>
    <cellStyle name="Normal 9 6 3 2 2" xfId="7872" xr:uid="{00000000-0005-0000-0000-000079200000}"/>
    <cellStyle name="Normal 9 6 3 2 2 2" xfId="17198" xr:uid="{C4E933A7-C939-4A32-B2DA-85AB2C511495}"/>
    <cellStyle name="Normal 9 6 3 2 3" xfId="12981" xr:uid="{4CF384E1-6C49-48C2-BA77-7F16A5F2E833}"/>
    <cellStyle name="Normal 9 6 3 3" xfId="5727" xr:uid="{00000000-0005-0000-0000-00007A200000}"/>
    <cellStyle name="Normal 9 6 3 3 2" xfId="15053" xr:uid="{5EBA3EB2-D8AE-424B-8DC0-8E4C1BB732D9}"/>
    <cellStyle name="Normal 9 6 3 4" xfId="10836" xr:uid="{89AFA571-3A6D-4255-BA88-76C2827F7112}"/>
    <cellStyle name="Normal 9 6 4" xfId="1833" xr:uid="{00000000-0005-0000-0000-00007B200000}"/>
    <cellStyle name="Normal 9 6 4 2" xfId="4063" xr:uid="{00000000-0005-0000-0000-00007C200000}"/>
    <cellStyle name="Normal 9 6 4 2 2" xfId="8285" xr:uid="{00000000-0005-0000-0000-00007D200000}"/>
    <cellStyle name="Normal 9 6 4 2 2 2" xfId="17611" xr:uid="{446376FE-7F5F-4559-A5C1-5D2041258319}"/>
    <cellStyle name="Normal 9 6 4 2 3" xfId="13394" xr:uid="{D3F6F781-1A9D-49C3-84FA-0884CAB30F51}"/>
    <cellStyle name="Normal 9 6 4 3" xfId="6140" xr:uid="{00000000-0005-0000-0000-00007E200000}"/>
    <cellStyle name="Normal 9 6 4 3 2" xfId="15466" xr:uid="{8DD060BB-737F-4155-9A2D-466C1E6CB1D7}"/>
    <cellStyle name="Normal 9 6 4 4" xfId="11249" xr:uid="{3A431250-0B10-4FE8-96AB-BA17692B156B}"/>
    <cellStyle name="Normal 9 6 5" xfId="2247" xr:uid="{00000000-0005-0000-0000-00007F200000}"/>
    <cellStyle name="Normal 9 6 5 2" xfId="4476" xr:uid="{00000000-0005-0000-0000-000080200000}"/>
    <cellStyle name="Normal 9 6 5 2 2" xfId="8698" xr:uid="{00000000-0005-0000-0000-000081200000}"/>
    <cellStyle name="Normal 9 6 5 2 2 2" xfId="18024" xr:uid="{3E82E92B-4DD3-4CEB-AC03-A4DBBAD15446}"/>
    <cellStyle name="Normal 9 6 5 2 3" xfId="13807" xr:uid="{7A157DF6-C340-49E3-B572-EA7F7C75922F}"/>
    <cellStyle name="Normal 9 6 5 3" xfId="6553" xr:uid="{00000000-0005-0000-0000-000082200000}"/>
    <cellStyle name="Normal 9 6 5 3 2" xfId="15879" xr:uid="{2FC2432A-8CE4-429D-83F9-64F4A0CDFFF9}"/>
    <cellStyle name="Normal 9 6 5 4" xfId="11662" xr:uid="{FA468310-02E5-4751-9EE2-68612A731378}"/>
    <cellStyle name="Normal 9 6 6" xfId="2683" xr:uid="{00000000-0005-0000-0000-000083200000}"/>
    <cellStyle name="Normal 9 6 6 2" xfId="6966" xr:uid="{00000000-0005-0000-0000-000084200000}"/>
    <cellStyle name="Normal 9 6 6 2 2" xfId="16292" xr:uid="{0487FFA5-1AC6-4855-B5AB-8496510D92F1}"/>
    <cellStyle name="Normal 9 6 6 3" xfId="12075" xr:uid="{D1942907-1005-4962-97DD-85707D834426}"/>
    <cellStyle name="Normal 9 6 7" xfId="4901" xr:uid="{00000000-0005-0000-0000-000085200000}"/>
    <cellStyle name="Normal 9 6 7 2" xfId="14227" xr:uid="{6FE07840-6AF0-4842-9C8B-C157D370CD8B}"/>
    <cellStyle name="Normal 9 6 8" xfId="8964" xr:uid="{9BBC9C46-7A3A-4BC9-9542-DC33DFA165C2}"/>
    <cellStyle name="Normal 9 6 8 2" xfId="18288" xr:uid="{7C98648F-C244-4B62-BDD4-D0A39572FD16}"/>
    <cellStyle name="Normal 9 6 9" xfId="10010" xr:uid="{40286205-4EAB-4298-9E76-085A8C4275AD}"/>
    <cellStyle name="Normal 9 7" xfId="977" xr:uid="{00000000-0005-0000-0000-000086200000}"/>
    <cellStyle name="Normal 9 7 2" xfId="9609" xr:uid="{1246D22D-2382-4FAF-A8D6-CB26E2B9F9CE}"/>
    <cellStyle name="Normal 9 7 3" xfId="9167" xr:uid="{F9EED645-1D44-43CF-99A5-77176BA4CE36}"/>
    <cellStyle name="Normal 9 7 3 2" xfId="18485" xr:uid="{EA5EED60-A424-4B94-86B7-030975AAE1AE}"/>
    <cellStyle name="Normal 9 8" xfId="8745" xr:uid="{C1852A12-4F74-491B-976C-56AD8D4478B4}"/>
    <cellStyle name="Normal 9 8 2" xfId="18069" xr:uid="{C88EA7A6-FFD8-4C0E-8D93-D4EA4D86577A}"/>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C0EA6826-6ECB-454C-A710-3345FD7C1B34}"/>
    <cellStyle name="Note 2 2 10 3" xfId="12156" xr:uid="{32807304-B42F-4A5D-853D-32015128A639}"/>
    <cellStyle name="Note 2 2 11" xfId="4902" xr:uid="{00000000-0005-0000-0000-000094200000}"/>
    <cellStyle name="Note 2 2 11 2" xfId="14228" xr:uid="{65DDC020-842B-4955-B4C8-5EDDA2403E11}"/>
    <cellStyle name="Note 2 2 12" xfId="8841" xr:uid="{E94E1FD8-31C4-4718-9658-C7A587CBF323}"/>
    <cellStyle name="Note 2 2 12 2" xfId="18165" xr:uid="{B5210D48-56CE-45A6-81DB-406177BFC25D}"/>
    <cellStyle name="Note 2 2 13" xfId="10011" xr:uid="{1F082D06-0D16-412E-B277-03D88F8181BA}"/>
    <cellStyle name="Note 2 2 2" xfId="546" xr:uid="{00000000-0005-0000-0000-000095200000}"/>
    <cellStyle name="Note 2 2 2 10" xfId="4903" xr:uid="{00000000-0005-0000-0000-000096200000}"/>
    <cellStyle name="Note 2 2 2 10 2" xfId="14229" xr:uid="{1AE61119-E494-44A0-92DD-05DBED0F85AA}"/>
    <cellStyle name="Note 2 2 2 11" xfId="8944" xr:uid="{B75A3404-A4A3-41D6-B6C3-54560C6DD592}"/>
    <cellStyle name="Note 2 2 2 11 2" xfId="18268" xr:uid="{CD106A7B-5B85-4823-9148-6D9401C3283A}"/>
    <cellStyle name="Note 2 2 2 12" xfId="10012" xr:uid="{B1FAC6DD-298D-46A4-8BBC-AD578434BABF}"/>
    <cellStyle name="Note 2 2 2 2" xfId="547" xr:uid="{00000000-0005-0000-0000-000097200000}"/>
    <cellStyle name="Note 2 2 2 2 10" xfId="9151" xr:uid="{DE810DD8-00EC-4339-9CFC-C84D5E182971}"/>
    <cellStyle name="Note 2 2 2 2 10 2" xfId="18475" xr:uid="{B6CF3A2E-E713-41FC-82F9-C23A36A169F2}"/>
    <cellStyle name="Note 2 2 2 2 11" xfId="10013" xr:uid="{7BD48688-A063-4557-BB47-85A94D358F31}"/>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E1B00A68-2404-452F-98A0-D6B5FA8BE2D8}"/>
    <cellStyle name="Note 2 2 2 2 2 2 3" xfId="12571" xr:uid="{6BE48C18-91F9-4927-8B31-B6862D64618A}"/>
    <cellStyle name="Note 2 2 2 2 2 3" xfId="5317" xr:uid="{00000000-0005-0000-0000-00009B200000}"/>
    <cellStyle name="Note 2 2 2 2 2 3 2" xfId="14643" xr:uid="{E2630D37-BC60-4D49-8ED5-4FCE0B11ED35}"/>
    <cellStyle name="Note 2 2 2 2 2 4" xfId="9576" xr:uid="{375E296C-598F-454E-B7C4-9E851CE02ED2}"/>
    <cellStyle name="Note 2 2 2 2 2 4 2" xfId="18891" xr:uid="{07A9E301-C70B-4DF6-B253-8212131F05C4}"/>
    <cellStyle name="Note 2 2 2 2 2 5" xfId="10426" xr:uid="{88BFB4B1-A96A-46D6-B637-FDE62C49C946}"/>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C6FA750D-84BA-4CC5-87F7-C874AE1196E1}"/>
    <cellStyle name="Note 2 2 2 2 3 2 3" xfId="12984" xr:uid="{B4D7CD9E-105A-4740-9473-311422782E32}"/>
    <cellStyle name="Note 2 2 2 2 3 3" xfId="5730" xr:uid="{00000000-0005-0000-0000-00009F200000}"/>
    <cellStyle name="Note 2 2 2 2 3 3 2" xfId="15056" xr:uid="{A3774F68-D996-4701-ADA5-71A80A3086D4}"/>
    <cellStyle name="Note 2 2 2 2 3 4" xfId="10839" xr:uid="{0C0E7AF6-7A3E-42DD-8B4E-6B7072EA10B7}"/>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0C8CAFCE-9196-4195-88EC-BACAAC648636}"/>
    <cellStyle name="Note 2 2 2 2 4 2 3" xfId="13397" xr:uid="{F93E2289-5C17-450B-8595-8E13AB820C6D}"/>
    <cellStyle name="Note 2 2 2 2 4 3" xfId="6143" xr:uid="{00000000-0005-0000-0000-0000A3200000}"/>
    <cellStyle name="Note 2 2 2 2 4 3 2" xfId="15469" xr:uid="{5149B36B-FEC0-4975-AEE9-40B177D913D8}"/>
    <cellStyle name="Note 2 2 2 2 4 4" xfId="11252" xr:uid="{796BE606-1CDF-46BD-81EC-9D0C2E8BC3B9}"/>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3EFEE54A-9F1C-405E-8E47-FCC8B14E9862}"/>
    <cellStyle name="Note 2 2 2 2 5 2 3" xfId="13810" xr:uid="{2B130351-CF4B-4A81-BE31-175643627205}"/>
    <cellStyle name="Note 2 2 2 2 5 3" xfId="6556" xr:uid="{00000000-0005-0000-0000-0000A7200000}"/>
    <cellStyle name="Note 2 2 2 2 5 3 2" xfId="15882" xr:uid="{20C7B6A7-E7EB-459F-AE7E-8E2A39EA596F}"/>
    <cellStyle name="Note 2 2 2 2 5 4" xfId="11665" xr:uid="{CFEF1EBA-EA6E-44A5-B0BC-DA50691F1A5B}"/>
    <cellStyle name="Note 2 2 2 2 6" xfId="2686" xr:uid="{00000000-0005-0000-0000-0000A8200000}"/>
    <cellStyle name="Note 2 2 2 2 6 2" xfId="6969" xr:uid="{00000000-0005-0000-0000-0000A9200000}"/>
    <cellStyle name="Note 2 2 2 2 6 2 2" xfId="16295" xr:uid="{EFCAF2AF-9FCC-495F-BB80-F1ED5D4F046F}"/>
    <cellStyle name="Note 2 2 2 2 6 3" xfId="12078" xr:uid="{43A7ED85-10AE-46F6-AF2C-2ED8C566CE81}"/>
    <cellStyle name="Note 2 2 2 2 7" xfId="2745" xr:uid="{00000000-0005-0000-0000-0000AA200000}"/>
    <cellStyle name="Note 2 2 2 2 8" xfId="2826" xr:uid="{00000000-0005-0000-0000-0000AB200000}"/>
    <cellStyle name="Note 2 2 2 2 8 2" xfId="7049" xr:uid="{00000000-0005-0000-0000-0000AC200000}"/>
    <cellStyle name="Note 2 2 2 2 8 2 2" xfId="16375" xr:uid="{945EFDA0-A87F-4B44-8F80-DD0B844E6FF5}"/>
    <cellStyle name="Note 2 2 2 2 8 3" xfId="12158" xr:uid="{65243250-2FD7-4C1A-8809-004812872747}"/>
    <cellStyle name="Note 2 2 2 2 9" xfId="4904" xr:uid="{00000000-0005-0000-0000-0000AD200000}"/>
    <cellStyle name="Note 2 2 2 2 9 2" xfId="14230" xr:uid="{C289FD10-F035-4181-85C6-E09EE53C367A}"/>
    <cellStyle name="Note 2 2 2 3" xfId="1007" xr:uid="{00000000-0005-0000-0000-0000AE200000}"/>
    <cellStyle name="Note 2 2 2 3 2" xfId="3239" xr:uid="{00000000-0005-0000-0000-0000AF200000}"/>
    <cellStyle name="Note 2 2 2 3 2 2" xfId="7461" xr:uid="{00000000-0005-0000-0000-0000B0200000}"/>
    <cellStyle name="Note 2 2 2 3 2 2 2" xfId="16787" xr:uid="{41FA3C27-B5D1-4694-A124-33288236FF0E}"/>
    <cellStyle name="Note 2 2 2 3 2 3" xfId="12570" xr:uid="{8D1D80B2-464D-44D1-90A1-CFB31FA58E96}"/>
    <cellStyle name="Note 2 2 2 3 3" xfId="5316" xr:uid="{00000000-0005-0000-0000-0000B1200000}"/>
    <cellStyle name="Note 2 2 2 3 3 2" xfId="14642" xr:uid="{603DAB50-BCE2-4E24-B2EC-72B753173F06}"/>
    <cellStyle name="Note 2 2 2 3 4" xfId="9369" xr:uid="{37FCA23B-964B-404F-A343-B489211FDCDC}"/>
    <cellStyle name="Note 2 2 2 3 4 2" xfId="18684" xr:uid="{3C53A8E3-8DBA-433C-B615-428300053B1B}"/>
    <cellStyle name="Note 2 2 2 3 5" xfId="10425" xr:uid="{09CB34DC-C5A4-4108-9ACD-C2A442F56540}"/>
    <cellStyle name="Note 2 2 2 4" xfId="1422" xr:uid="{00000000-0005-0000-0000-0000B2200000}"/>
    <cellStyle name="Note 2 2 2 4 2" xfId="3652" xr:uid="{00000000-0005-0000-0000-0000B3200000}"/>
    <cellStyle name="Note 2 2 2 4 2 2" xfId="7874" xr:uid="{00000000-0005-0000-0000-0000B4200000}"/>
    <cellStyle name="Note 2 2 2 4 2 2 2" xfId="17200" xr:uid="{0FC6158A-64EF-4B7D-BC44-E17A8EAE9290}"/>
    <cellStyle name="Note 2 2 2 4 2 3" xfId="12983" xr:uid="{C1AFD585-887A-4515-ACF4-5640E117BB9E}"/>
    <cellStyle name="Note 2 2 2 4 3" xfId="5729" xr:uid="{00000000-0005-0000-0000-0000B5200000}"/>
    <cellStyle name="Note 2 2 2 4 3 2" xfId="15055" xr:uid="{7A8A2F25-308C-4C4C-A64A-BBD21C757CD1}"/>
    <cellStyle name="Note 2 2 2 4 4" xfId="10838" xr:uid="{AFA16BC6-77F2-42F0-8719-84A02D458F74}"/>
    <cellStyle name="Note 2 2 2 5" xfId="1836" xr:uid="{00000000-0005-0000-0000-0000B6200000}"/>
    <cellStyle name="Note 2 2 2 5 2" xfId="4065" xr:uid="{00000000-0005-0000-0000-0000B7200000}"/>
    <cellStyle name="Note 2 2 2 5 2 2" xfId="8287" xr:uid="{00000000-0005-0000-0000-0000B8200000}"/>
    <cellStyle name="Note 2 2 2 5 2 2 2" xfId="17613" xr:uid="{5CECD85A-1CAD-44A3-B8CA-EC17B2F01152}"/>
    <cellStyle name="Note 2 2 2 5 2 3" xfId="13396" xr:uid="{42D1352B-A2B6-4868-96A5-AEF2F63AB583}"/>
    <cellStyle name="Note 2 2 2 5 3" xfId="6142" xr:uid="{00000000-0005-0000-0000-0000B9200000}"/>
    <cellStyle name="Note 2 2 2 5 3 2" xfId="15468" xr:uid="{C261A7CC-359A-41A8-91BE-01EE7EB138A8}"/>
    <cellStyle name="Note 2 2 2 5 4" xfId="11251" xr:uid="{CA6957F0-922D-4EFD-9676-EFC2155ACC08}"/>
    <cellStyle name="Note 2 2 2 6" xfId="2249" xr:uid="{00000000-0005-0000-0000-0000BA200000}"/>
    <cellStyle name="Note 2 2 2 6 2" xfId="4478" xr:uid="{00000000-0005-0000-0000-0000BB200000}"/>
    <cellStyle name="Note 2 2 2 6 2 2" xfId="8700" xr:uid="{00000000-0005-0000-0000-0000BC200000}"/>
    <cellStyle name="Note 2 2 2 6 2 2 2" xfId="18026" xr:uid="{001FE33F-363F-4EDE-A48F-7573FFFFAF7C}"/>
    <cellStyle name="Note 2 2 2 6 2 3" xfId="13809" xr:uid="{DC112943-542E-44D5-B915-F910D632D511}"/>
    <cellStyle name="Note 2 2 2 6 3" xfId="6555" xr:uid="{00000000-0005-0000-0000-0000BD200000}"/>
    <cellStyle name="Note 2 2 2 6 3 2" xfId="15881" xr:uid="{041C5DC2-0BEC-434B-84EC-52D9A7F1A43A}"/>
    <cellStyle name="Note 2 2 2 6 4" xfId="11664" xr:uid="{B595F36B-6D5B-4B25-8E32-D51B3B9F208B}"/>
    <cellStyle name="Note 2 2 2 7" xfId="2685" xr:uid="{00000000-0005-0000-0000-0000BE200000}"/>
    <cellStyle name="Note 2 2 2 7 2" xfId="6968" xr:uid="{00000000-0005-0000-0000-0000BF200000}"/>
    <cellStyle name="Note 2 2 2 7 2 2" xfId="16294" xr:uid="{873B2C4C-6EAD-40AB-92CF-04EA1F375CB5}"/>
    <cellStyle name="Note 2 2 2 7 3" xfId="12077" xr:uid="{E211C99F-D6D4-4658-80BC-A3C47653620D}"/>
    <cellStyle name="Note 2 2 2 8" xfId="2744" xr:uid="{00000000-0005-0000-0000-0000C0200000}"/>
    <cellStyle name="Note 2 2 2 9" xfId="2825" xr:uid="{00000000-0005-0000-0000-0000C1200000}"/>
    <cellStyle name="Note 2 2 2 9 2" xfId="7048" xr:uid="{00000000-0005-0000-0000-0000C2200000}"/>
    <cellStyle name="Note 2 2 2 9 2 2" xfId="16374" xr:uid="{01CFC9C2-9894-42A4-9C15-FC838F2688C9}"/>
    <cellStyle name="Note 2 2 2 9 3" xfId="12157" xr:uid="{8F4D53A7-5632-42B6-ACBB-2B3EF505E5E8}"/>
    <cellStyle name="Note 2 2 3" xfId="548" xr:uid="{00000000-0005-0000-0000-0000C3200000}"/>
    <cellStyle name="Note 2 2 3 10" xfId="9048" xr:uid="{894401FF-B7D8-49E8-91E6-A1C42DD04D54}"/>
    <cellStyle name="Note 2 2 3 10 2" xfId="18372" xr:uid="{6A50C746-8719-4BF8-94C3-32CAB20C7DB3}"/>
    <cellStyle name="Note 2 2 3 11" xfId="10014" xr:uid="{EDD81130-886E-4616-A851-A34115AD7BC0}"/>
    <cellStyle name="Note 2 2 3 2" xfId="1009" xr:uid="{00000000-0005-0000-0000-0000C4200000}"/>
    <cellStyle name="Note 2 2 3 2 2" xfId="3241" xr:uid="{00000000-0005-0000-0000-0000C5200000}"/>
    <cellStyle name="Note 2 2 3 2 2 2" xfId="7463" xr:uid="{00000000-0005-0000-0000-0000C6200000}"/>
    <cellStyle name="Note 2 2 3 2 2 2 2" xfId="16789" xr:uid="{5BA0A24E-436C-425F-8CDC-63E821240BE9}"/>
    <cellStyle name="Note 2 2 3 2 2 3" xfId="12572" xr:uid="{CB24B7E5-8931-4D0E-83EA-C6F24FAA5B17}"/>
    <cellStyle name="Note 2 2 3 2 3" xfId="5318" xr:uid="{00000000-0005-0000-0000-0000C7200000}"/>
    <cellStyle name="Note 2 2 3 2 3 2" xfId="14644" xr:uid="{B4B5BD8C-1419-4E09-9CF4-AC3B871E8CD7}"/>
    <cellStyle name="Note 2 2 3 2 4" xfId="9473" xr:uid="{7711F4E0-385B-44CD-ACEA-5E9D7E4CD8DC}"/>
    <cellStyle name="Note 2 2 3 2 4 2" xfId="18788" xr:uid="{87936A1A-A679-4DD9-91F6-A41E8A16A3F9}"/>
    <cellStyle name="Note 2 2 3 2 5" xfId="10427" xr:uid="{DAD84A70-AD2B-4086-B4BA-CAB5A700D4BC}"/>
    <cellStyle name="Note 2 2 3 3" xfId="1424" xr:uid="{00000000-0005-0000-0000-0000C8200000}"/>
    <cellStyle name="Note 2 2 3 3 2" xfId="3654" xr:uid="{00000000-0005-0000-0000-0000C9200000}"/>
    <cellStyle name="Note 2 2 3 3 2 2" xfId="7876" xr:uid="{00000000-0005-0000-0000-0000CA200000}"/>
    <cellStyle name="Note 2 2 3 3 2 2 2" xfId="17202" xr:uid="{06A43597-891A-4841-A585-38E3053C4082}"/>
    <cellStyle name="Note 2 2 3 3 2 3" xfId="12985" xr:uid="{C37A7C37-A4F1-44B0-8CBD-5C422FE83B2A}"/>
    <cellStyle name="Note 2 2 3 3 3" xfId="5731" xr:uid="{00000000-0005-0000-0000-0000CB200000}"/>
    <cellStyle name="Note 2 2 3 3 3 2" xfId="15057" xr:uid="{9F1E53AD-7E25-4F4C-AF30-6C9D19509D8C}"/>
    <cellStyle name="Note 2 2 3 3 4" xfId="10840" xr:uid="{058BA14D-327E-4E2E-9218-AF0CC9002A6B}"/>
    <cellStyle name="Note 2 2 3 4" xfId="1838" xr:uid="{00000000-0005-0000-0000-0000CC200000}"/>
    <cellStyle name="Note 2 2 3 4 2" xfId="4067" xr:uid="{00000000-0005-0000-0000-0000CD200000}"/>
    <cellStyle name="Note 2 2 3 4 2 2" xfId="8289" xr:uid="{00000000-0005-0000-0000-0000CE200000}"/>
    <cellStyle name="Note 2 2 3 4 2 2 2" xfId="17615" xr:uid="{B0B13D21-ED4D-4261-887E-CF8CE8461D3C}"/>
    <cellStyle name="Note 2 2 3 4 2 3" xfId="13398" xr:uid="{21FCCD8C-D972-4198-9FEA-EACF556D5D37}"/>
    <cellStyle name="Note 2 2 3 4 3" xfId="6144" xr:uid="{00000000-0005-0000-0000-0000CF200000}"/>
    <cellStyle name="Note 2 2 3 4 3 2" xfId="15470" xr:uid="{AD027EA4-629D-4D72-9185-7B5E9B73F7A6}"/>
    <cellStyle name="Note 2 2 3 4 4" xfId="11253" xr:uid="{EE1197A2-ACE6-4250-9890-4A3B9CCBD702}"/>
    <cellStyle name="Note 2 2 3 5" xfId="2251" xr:uid="{00000000-0005-0000-0000-0000D0200000}"/>
    <cellStyle name="Note 2 2 3 5 2" xfId="4480" xr:uid="{00000000-0005-0000-0000-0000D1200000}"/>
    <cellStyle name="Note 2 2 3 5 2 2" xfId="8702" xr:uid="{00000000-0005-0000-0000-0000D2200000}"/>
    <cellStyle name="Note 2 2 3 5 2 2 2" xfId="18028" xr:uid="{5DA5EE84-6968-4AB1-A976-6B68E798C101}"/>
    <cellStyle name="Note 2 2 3 5 2 3" xfId="13811" xr:uid="{1ACA9FD6-515D-485D-8118-F086C2DE994B}"/>
    <cellStyle name="Note 2 2 3 5 3" xfId="6557" xr:uid="{00000000-0005-0000-0000-0000D3200000}"/>
    <cellStyle name="Note 2 2 3 5 3 2" xfId="15883" xr:uid="{5E1AD4FE-6C6F-4057-B340-65CF7AB264DE}"/>
    <cellStyle name="Note 2 2 3 5 4" xfId="11666" xr:uid="{F3FE116B-590A-4E43-A00C-2FB870CCDAA7}"/>
    <cellStyle name="Note 2 2 3 6" xfId="2687" xr:uid="{00000000-0005-0000-0000-0000D4200000}"/>
    <cellStyle name="Note 2 2 3 6 2" xfId="6970" xr:uid="{00000000-0005-0000-0000-0000D5200000}"/>
    <cellStyle name="Note 2 2 3 6 2 2" xfId="16296" xr:uid="{1C81D999-ADE7-4DCD-BCBE-1B59D5206977}"/>
    <cellStyle name="Note 2 2 3 6 3" xfId="12079" xr:uid="{E21CBE99-2F6F-42B9-8EB1-366F84E25DCB}"/>
    <cellStyle name="Note 2 2 3 7" xfId="2746" xr:uid="{00000000-0005-0000-0000-0000D6200000}"/>
    <cellStyle name="Note 2 2 3 8" xfId="2827" xr:uid="{00000000-0005-0000-0000-0000D7200000}"/>
    <cellStyle name="Note 2 2 3 8 2" xfId="7050" xr:uid="{00000000-0005-0000-0000-0000D8200000}"/>
    <cellStyle name="Note 2 2 3 8 2 2" xfId="16376" xr:uid="{6A51640A-F0D7-4F29-9C40-52CF5F30F870}"/>
    <cellStyle name="Note 2 2 3 8 3" xfId="12159" xr:uid="{6B5959F5-CFD4-4B5D-8E39-13E598DB29F8}"/>
    <cellStyle name="Note 2 2 3 9" xfId="4905" xr:uid="{00000000-0005-0000-0000-0000D9200000}"/>
    <cellStyle name="Note 2 2 3 9 2" xfId="14231" xr:uid="{DA880310-5828-46FE-AD2D-8418E58AA01D}"/>
    <cellStyle name="Note 2 2 4" xfId="1006" xr:uid="{00000000-0005-0000-0000-0000DA200000}"/>
    <cellStyle name="Note 2 2 4 2" xfId="3238" xr:uid="{00000000-0005-0000-0000-0000DB200000}"/>
    <cellStyle name="Note 2 2 4 2 2" xfId="7460" xr:uid="{00000000-0005-0000-0000-0000DC200000}"/>
    <cellStyle name="Note 2 2 4 2 2 2" xfId="16786" xr:uid="{92EC829A-2B27-48D0-B302-F5FE33054AF4}"/>
    <cellStyle name="Note 2 2 4 2 3" xfId="12569" xr:uid="{47E91591-6C5E-4FA7-BAA7-FD6C333A7B16}"/>
    <cellStyle name="Note 2 2 4 3" xfId="5315" xr:uid="{00000000-0005-0000-0000-0000DD200000}"/>
    <cellStyle name="Note 2 2 4 3 2" xfId="14641" xr:uid="{DEAEEFF3-81D8-425A-A6AA-1AE4AB17BA33}"/>
    <cellStyle name="Note 2 2 4 4" xfId="9266" xr:uid="{8B6F7B8D-50FA-47DA-836F-17B0F9492E54}"/>
    <cellStyle name="Note 2 2 4 4 2" xfId="18581" xr:uid="{5E134669-3C3A-49F8-ABBD-9794FB645809}"/>
    <cellStyle name="Note 2 2 4 5" xfId="10424" xr:uid="{EA3C1D08-8938-47B0-B497-525D34E98BB9}"/>
    <cellStyle name="Note 2 2 5" xfId="1421" xr:uid="{00000000-0005-0000-0000-0000DE200000}"/>
    <cellStyle name="Note 2 2 5 2" xfId="3651" xr:uid="{00000000-0005-0000-0000-0000DF200000}"/>
    <cellStyle name="Note 2 2 5 2 2" xfId="7873" xr:uid="{00000000-0005-0000-0000-0000E0200000}"/>
    <cellStyle name="Note 2 2 5 2 2 2" xfId="17199" xr:uid="{0F923145-4ADC-4FD6-8CA9-4B831108143E}"/>
    <cellStyle name="Note 2 2 5 2 3" xfId="12982" xr:uid="{DFFCAE49-A433-4061-B2CB-26F54877E5A5}"/>
    <cellStyle name="Note 2 2 5 3" xfId="5728" xr:uid="{00000000-0005-0000-0000-0000E1200000}"/>
    <cellStyle name="Note 2 2 5 3 2" xfId="15054" xr:uid="{F9A7439A-A063-450C-9CBC-6606E1FEF469}"/>
    <cellStyle name="Note 2 2 5 4" xfId="10837" xr:uid="{12AABC7C-5CAC-4938-97D4-5324B0772FDE}"/>
    <cellStyle name="Note 2 2 6" xfId="1835" xr:uid="{00000000-0005-0000-0000-0000E2200000}"/>
    <cellStyle name="Note 2 2 6 2" xfId="4064" xr:uid="{00000000-0005-0000-0000-0000E3200000}"/>
    <cellStyle name="Note 2 2 6 2 2" xfId="8286" xr:uid="{00000000-0005-0000-0000-0000E4200000}"/>
    <cellStyle name="Note 2 2 6 2 2 2" xfId="17612" xr:uid="{B3B9D913-1E9F-41A6-B882-0B707DE8B5C3}"/>
    <cellStyle name="Note 2 2 6 2 3" xfId="13395" xr:uid="{FE8D5CD9-1A0D-4956-9E26-A0C0A07011F8}"/>
    <cellStyle name="Note 2 2 6 3" xfId="6141" xr:uid="{00000000-0005-0000-0000-0000E5200000}"/>
    <cellStyle name="Note 2 2 6 3 2" xfId="15467" xr:uid="{794F32FE-FB29-4406-A102-9899409083E6}"/>
    <cellStyle name="Note 2 2 6 4" xfId="11250" xr:uid="{D7F61CA6-1A10-4268-ADD3-B98BF995EAA8}"/>
    <cellStyle name="Note 2 2 7" xfId="2248" xr:uid="{00000000-0005-0000-0000-0000E6200000}"/>
    <cellStyle name="Note 2 2 7 2" xfId="4477" xr:uid="{00000000-0005-0000-0000-0000E7200000}"/>
    <cellStyle name="Note 2 2 7 2 2" xfId="8699" xr:uid="{00000000-0005-0000-0000-0000E8200000}"/>
    <cellStyle name="Note 2 2 7 2 2 2" xfId="18025" xr:uid="{39F942A5-A270-42A3-94DA-99C9C596260D}"/>
    <cellStyle name="Note 2 2 7 2 3" xfId="13808" xr:uid="{C657420C-40A7-4C3D-8CC2-A6188FBD9020}"/>
    <cellStyle name="Note 2 2 7 3" xfId="6554" xr:uid="{00000000-0005-0000-0000-0000E9200000}"/>
    <cellStyle name="Note 2 2 7 3 2" xfId="15880" xr:uid="{995D1941-CDA8-4D50-AA8C-B4A40E4996C7}"/>
    <cellStyle name="Note 2 2 7 4" xfId="11663" xr:uid="{F10EA5A8-4F8F-4212-8B5E-11A1D1B7CB1D}"/>
    <cellStyle name="Note 2 2 8" xfId="2684" xr:uid="{00000000-0005-0000-0000-0000EA200000}"/>
    <cellStyle name="Note 2 2 8 2" xfId="6967" xr:uid="{00000000-0005-0000-0000-0000EB200000}"/>
    <cellStyle name="Note 2 2 8 2 2" xfId="16293" xr:uid="{7C84ABC8-E512-4739-923D-47D29680A83D}"/>
    <cellStyle name="Note 2 2 8 3" xfId="12076" xr:uid="{CAF7C3C1-E983-4168-83C2-AD2BF47B1B5B}"/>
    <cellStyle name="Note 2 2 9" xfId="2743" xr:uid="{00000000-0005-0000-0000-0000EC200000}"/>
    <cellStyle name="Note 2 3" xfId="549" xr:uid="{00000000-0005-0000-0000-0000ED200000}"/>
    <cellStyle name="Note 2 3 10" xfId="4906" xr:uid="{00000000-0005-0000-0000-0000EE200000}"/>
    <cellStyle name="Note 2 3 10 2" xfId="14232" xr:uid="{47FA5E3C-3D14-4E61-9E17-9208B0934284}"/>
    <cellStyle name="Note 2 3 11" xfId="8894" xr:uid="{2BFFE8D0-DA42-4876-8895-58F80713E965}"/>
    <cellStyle name="Note 2 3 11 2" xfId="18218" xr:uid="{3F892930-4709-471A-999B-731EAD1D258C}"/>
    <cellStyle name="Note 2 3 12" xfId="10015" xr:uid="{338E0B7C-CC6E-4279-8496-2149DB789B3D}"/>
    <cellStyle name="Note 2 3 2" xfId="550" xr:uid="{00000000-0005-0000-0000-0000EF200000}"/>
    <cellStyle name="Note 2 3 2 10" xfId="9101" xr:uid="{1822EEA2-225E-465E-B4CD-D4615440EC62}"/>
    <cellStyle name="Note 2 3 2 10 2" xfId="18425" xr:uid="{5A13EC2A-2698-4201-AF93-6E2FD9E332FF}"/>
    <cellStyle name="Note 2 3 2 11" xfId="10016" xr:uid="{66CC01DB-CD72-4C2A-9842-C3F9027AE409}"/>
    <cellStyle name="Note 2 3 2 2" xfId="1011" xr:uid="{00000000-0005-0000-0000-0000F0200000}"/>
    <cellStyle name="Note 2 3 2 2 2" xfId="3243" xr:uid="{00000000-0005-0000-0000-0000F1200000}"/>
    <cellStyle name="Note 2 3 2 2 2 2" xfId="7465" xr:uid="{00000000-0005-0000-0000-0000F2200000}"/>
    <cellStyle name="Note 2 3 2 2 2 2 2" xfId="16791" xr:uid="{A0ACD105-97F7-4C2B-8852-4CE0481E9AE4}"/>
    <cellStyle name="Note 2 3 2 2 2 3" xfId="12574" xr:uid="{A391433C-E43E-435C-BC09-C60D66ACFECC}"/>
    <cellStyle name="Note 2 3 2 2 3" xfId="5320" xr:uid="{00000000-0005-0000-0000-0000F3200000}"/>
    <cellStyle name="Note 2 3 2 2 3 2" xfId="14646" xr:uid="{BBCB8FCD-800C-4205-A82C-B2F094126373}"/>
    <cellStyle name="Note 2 3 2 2 4" xfId="9526" xr:uid="{1C428179-0C82-4F5D-9FE4-E11D597F9E89}"/>
    <cellStyle name="Note 2 3 2 2 4 2" xfId="18841" xr:uid="{84682D82-2A1B-42E4-8BD6-F184924D2569}"/>
    <cellStyle name="Note 2 3 2 2 5" xfId="10429" xr:uid="{ED4A5B26-BA70-4564-8EB1-46B04DBD120E}"/>
    <cellStyle name="Note 2 3 2 3" xfId="1426" xr:uid="{00000000-0005-0000-0000-0000F4200000}"/>
    <cellStyle name="Note 2 3 2 3 2" xfId="3656" xr:uid="{00000000-0005-0000-0000-0000F5200000}"/>
    <cellStyle name="Note 2 3 2 3 2 2" xfId="7878" xr:uid="{00000000-0005-0000-0000-0000F6200000}"/>
    <cellStyle name="Note 2 3 2 3 2 2 2" xfId="17204" xr:uid="{346AAADB-4C39-4EC4-8C98-D3CC17598CD4}"/>
    <cellStyle name="Note 2 3 2 3 2 3" xfId="12987" xr:uid="{16A266E3-6557-4F7F-9F34-8C48B402ED45}"/>
    <cellStyle name="Note 2 3 2 3 3" xfId="5733" xr:uid="{00000000-0005-0000-0000-0000F7200000}"/>
    <cellStyle name="Note 2 3 2 3 3 2" xfId="15059" xr:uid="{1EDCF0EC-2F64-4029-AA69-0A22AFBF95C4}"/>
    <cellStyle name="Note 2 3 2 3 4" xfId="10842" xr:uid="{8F88697A-62CF-4D8B-BEAF-15DCEE31D3F8}"/>
    <cellStyle name="Note 2 3 2 4" xfId="1840" xr:uid="{00000000-0005-0000-0000-0000F8200000}"/>
    <cellStyle name="Note 2 3 2 4 2" xfId="4069" xr:uid="{00000000-0005-0000-0000-0000F9200000}"/>
    <cellStyle name="Note 2 3 2 4 2 2" xfId="8291" xr:uid="{00000000-0005-0000-0000-0000FA200000}"/>
    <cellStyle name="Note 2 3 2 4 2 2 2" xfId="17617" xr:uid="{C4D85E47-4D58-4814-AD9B-3DDA4DE507EA}"/>
    <cellStyle name="Note 2 3 2 4 2 3" xfId="13400" xr:uid="{1FD42B9E-58AB-41E6-926C-4B648300C8ED}"/>
    <cellStyle name="Note 2 3 2 4 3" xfId="6146" xr:uid="{00000000-0005-0000-0000-0000FB200000}"/>
    <cellStyle name="Note 2 3 2 4 3 2" xfId="15472" xr:uid="{442D9806-52D2-490D-B9E5-08B6CED851CD}"/>
    <cellStyle name="Note 2 3 2 4 4" xfId="11255" xr:uid="{B96F2BDD-148D-427F-ACFC-A8DED61F5EB3}"/>
    <cellStyle name="Note 2 3 2 5" xfId="2253" xr:uid="{00000000-0005-0000-0000-0000FC200000}"/>
    <cellStyle name="Note 2 3 2 5 2" xfId="4482" xr:uid="{00000000-0005-0000-0000-0000FD200000}"/>
    <cellStyle name="Note 2 3 2 5 2 2" xfId="8704" xr:uid="{00000000-0005-0000-0000-0000FE200000}"/>
    <cellStyle name="Note 2 3 2 5 2 2 2" xfId="18030" xr:uid="{D9AC5ADB-8252-4474-9762-ABEA38E920FD}"/>
    <cellStyle name="Note 2 3 2 5 2 3" xfId="13813" xr:uid="{CAA75D87-451A-4492-AA68-3F417051EE01}"/>
    <cellStyle name="Note 2 3 2 5 3" xfId="6559" xr:uid="{00000000-0005-0000-0000-0000FF200000}"/>
    <cellStyle name="Note 2 3 2 5 3 2" xfId="15885" xr:uid="{D05C4B76-FC5B-4642-93B4-AB75BBA56DD0}"/>
    <cellStyle name="Note 2 3 2 5 4" xfId="11668" xr:uid="{72CAEE3E-6BBE-46D6-AD9D-6B86A0BDCB87}"/>
    <cellStyle name="Note 2 3 2 6" xfId="2689" xr:uid="{00000000-0005-0000-0000-000000210000}"/>
    <cellStyle name="Note 2 3 2 6 2" xfId="6972" xr:uid="{00000000-0005-0000-0000-000001210000}"/>
    <cellStyle name="Note 2 3 2 6 2 2" xfId="16298" xr:uid="{EB82CED2-9E96-48E1-B3E3-EB3E3A15C05C}"/>
    <cellStyle name="Note 2 3 2 6 3" xfId="12081" xr:uid="{1306C79F-C014-4AA9-B568-6FE84E333D4B}"/>
    <cellStyle name="Note 2 3 2 7" xfId="2748" xr:uid="{00000000-0005-0000-0000-000002210000}"/>
    <cellStyle name="Note 2 3 2 8" xfId="2829" xr:uid="{00000000-0005-0000-0000-000003210000}"/>
    <cellStyle name="Note 2 3 2 8 2" xfId="7052" xr:uid="{00000000-0005-0000-0000-000004210000}"/>
    <cellStyle name="Note 2 3 2 8 2 2" xfId="16378" xr:uid="{0A39B5E9-5924-47BA-A63C-6EEC6496FD5B}"/>
    <cellStyle name="Note 2 3 2 8 3" xfId="12161" xr:uid="{80E8D9B3-5934-4A9B-93E7-32CA44676119}"/>
    <cellStyle name="Note 2 3 2 9" xfId="4907" xr:uid="{00000000-0005-0000-0000-000005210000}"/>
    <cellStyle name="Note 2 3 2 9 2" xfId="14233" xr:uid="{84EEA944-882D-49E2-BA15-07D6AE7D5B6C}"/>
    <cellStyle name="Note 2 3 3" xfId="1010" xr:uid="{00000000-0005-0000-0000-000006210000}"/>
    <cellStyle name="Note 2 3 3 2" xfId="3242" xr:uid="{00000000-0005-0000-0000-000007210000}"/>
    <cellStyle name="Note 2 3 3 2 2" xfId="7464" xr:uid="{00000000-0005-0000-0000-000008210000}"/>
    <cellStyle name="Note 2 3 3 2 2 2" xfId="16790" xr:uid="{DEF3EBAC-7343-45D8-835B-96A07EF2C675}"/>
    <cellStyle name="Note 2 3 3 2 3" xfId="12573" xr:uid="{EA29092A-7D6D-4233-9B11-5CE3DC9427F1}"/>
    <cellStyle name="Note 2 3 3 3" xfId="5319" xr:uid="{00000000-0005-0000-0000-000009210000}"/>
    <cellStyle name="Note 2 3 3 3 2" xfId="14645" xr:uid="{653E1285-0068-4161-8FEE-C63B548B3C7B}"/>
    <cellStyle name="Note 2 3 3 4" xfId="9319" xr:uid="{06E4A3C6-5CAA-4424-B4C3-41162F21AE7D}"/>
    <cellStyle name="Note 2 3 3 4 2" xfId="18634" xr:uid="{CDFA4E9C-0DA2-4674-AF29-FEC43E09A387}"/>
    <cellStyle name="Note 2 3 3 5" xfId="10428" xr:uid="{FFAD774B-D366-41D2-B7C8-E30A433DD8E0}"/>
    <cellStyle name="Note 2 3 4" xfId="1425" xr:uid="{00000000-0005-0000-0000-00000A210000}"/>
    <cellStyle name="Note 2 3 4 2" xfId="3655" xr:uid="{00000000-0005-0000-0000-00000B210000}"/>
    <cellStyle name="Note 2 3 4 2 2" xfId="7877" xr:uid="{00000000-0005-0000-0000-00000C210000}"/>
    <cellStyle name="Note 2 3 4 2 2 2" xfId="17203" xr:uid="{415DC20A-769D-4285-8C2E-427B2828BA1E}"/>
    <cellStyle name="Note 2 3 4 2 3" xfId="12986" xr:uid="{A56AAF31-A127-4D0A-950D-23376C9FF3C5}"/>
    <cellStyle name="Note 2 3 4 3" xfId="5732" xr:uid="{00000000-0005-0000-0000-00000D210000}"/>
    <cellStyle name="Note 2 3 4 3 2" xfId="15058" xr:uid="{7336DC85-85D1-4089-BC5D-EB53DBD05CAF}"/>
    <cellStyle name="Note 2 3 4 4" xfId="10841" xr:uid="{745DD541-DB24-469D-881B-52951981F630}"/>
    <cellStyle name="Note 2 3 5" xfId="1839" xr:uid="{00000000-0005-0000-0000-00000E210000}"/>
    <cellStyle name="Note 2 3 5 2" xfId="4068" xr:uid="{00000000-0005-0000-0000-00000F210000}"/>
    <cellStyle name="Note 2 3 5 2 2" xfId="8290" xr:uid="{00000000-0005-0000-0000-000010210000}"/>
    <cellStyle name="Note 2 3 5 2 2 2" xfId="17616" xr:uid="{6F8C2E3B-FBD3-4500-9C47-A9D3C79B4E7E}"/>
    <cellStyle name="Note 2 3 5 2 3" xfId="13399" xr:uid="{82C4174F-02DE-4AE1-AB77-F048DA9BAF16}"/>
    <cellStyle name="Note 2 3 5 3" xfId="6145" xr:uid="{00000000-0005-0000-0000-000011210000}"/>
    <cellStyle name="Note 2 3 5 3 2" xfId="15471" xr:uid="{E7197AC4-74D2-45BC-B46E-6CF91BA35B4A}"/>
    <cellStyle name="Note 2 3 5 4" xfId="11254" xr:uid="{429C146A-EC01-4D20-BD5C-EB47A6DE0AFB}"/>
    <cellStyle name="Note 2 3 6" xfId="2252" xr:uid="{00000000-0005-0000-0000-000012210000}"/>
    <cellStyle name="Note 2 3 6 2" xfId="4481" xr:uid="{00000000-0005-0000-0000-000013210000}"/>
    <cellStyle name="Note 2 3 6 2 2" xfId="8703" xr:uid="{00000000-0005-0000-0000-000014210000}"/>
    <cellStyle name="Note 2 3 6 2 2 2" xfId="18029" xr:uid="{C6333591-6FF8-4150-903B-A39391E1A8C3}"/>
    <cellStyle name="Note 2 3 6 2 3" xfId="13812" xr:uid="{6CDE54A5-EB31-4D89-A555-17BA2B887EDD}"/>
    <cellStyle name="Note 2 3 6 3" xfId="6558" xr:uid="{00000000-0005-0000-0000-000015210000}"/>
    <cellStyle name="Note 2 3 6 3 2" xfId="15884" xr:uid="{298F380E-0CB1-4FD8-A76D-248606D0AA56}"/>
    <cellStyle name="Note 2 3 6 4" xfId="11667" xr:uid="{4EC098F8-87FF-4B46-A7CC-D34C9EC1DBB1}"/>
    <cellStyle name="Note 2 3 7" xfId="2688" xr:uid="{00000000-0005-0000-0000-000016210000}"/>
    <cellStyle name="Note 2 3 7 2" xfId="6971" xr:uid="{00000000-0005-0000-0000-000017210000}"/>
    <cellStyle name="Note 2 3 7 2 2" xfId="16297" xr:uid="{C021B0B0-2135-4FD7-B1EE-F27B86FEEC80}"/>
    <cellStyle name="Note 2 3 7 3" xfId="12080" xr:uid="{2EB9AC65-AACD-4366-80D7-F4862D989FC0}"/>
    <cellStyle name="Note 2 3 8" xfId="2747" xr:uid="{00000000-0005-0000-0000-000018210000}"/>
    <cellStyle name="Note 2 3 9" xfId="2828" xr:uid="{00000000-0005-0000-0000-000019210000}"/>
    <cellStyle name="Note 2 3 9 2" xfId="7051" xr:uid="{00000000-0005-0000-0000-00001A210000}"/>
    <cellStyle name="Note 2 3 9 2 2" xfId="16377" xr:uid="{A546E0A4-1F29-4F3F-BBC4-AB69C4A1C882}"/>
    <cellStyle name="Note 2 3 9 3" xfId="12160" xr:uid="{134DD263-F234-4C7F-85B3-59F8178BCF67}"/>
    <cellStyle name="Note 2 4" xfId="551" xr:uid="{00000000-0005-0000-0000-00001B210000}"/>
    <cellStyle name="Note 2 4 10" xfId="8998" xr:uid="{AC87C288-14A9-4FB3-A26C-1706964E6651}"/>
    <cellStyle name="Note 2 4 10 2" xfId="18322" xr:uid="{696E6186-358D-4DC6-B765-7AB6B6DE3F6B}"/>
    <cellStyle name="Note 2 4 11" xfId="10017" xr:uid="{4C1F2761-2E4C-4518-B2AD-97FE2E08A536}"/>
    <cellStyle name="Note 2 4 2" xfId="1012" xr:uid="{00000000-0005-0000-0000-00001C210000}"/>
    <cellStyle name="Note 2 4 2 2" xfId="3244" xr:uid="{00000000-0005-0000-0000-00001D210000}"/>
    <cellStyle name="Note 2 4 2 2 2" xfId="7466" xr:uid="{00000000-0005-0000-0000-00001E210000}"/>
    <cellStyle name="Note 2 4 2 2 2 2" xfId="16792" xr:uid="{440A3ED6-002C-4AB9-8423-0DE4986F4FCB}"/>
    <cellStyle name="Note 2 4 2 2 3" xfId="12575" xr:uid="{ABE43445-2290-446E-837E-3594101D7491}"/>
    <cellStyle name="Note 2 4 2 3" xfId="5321" xr:uid="{00000000-0005-0000-0000-00001F210000}"/>
    <cellStyle name="Note 2 4 2 3 2" xfId="14647" xr:uid="{4D5BFABE-D9E6-4DF3-9597-B4F7311C0F76}"/>
    <cellStyle name="Note 2 4 2 4" xfId="9423" xr:uid="{43B93802-BE55-43D9-BEBC-4095E3C1FF74}"/>
    <cellStyle name="Note 2 4 2 4 2" xfId="18738" xr:uid="{13D90DE7-9FAB-4FC4-84D3-5523454B18BE}"/>
    <cellStyle name="Note 2 4 2 5" xfId="10430" xr:uid="{E4E72F31-E1BC-4DD3-9DA2-8DADD480DA61}"/>
    <cellStyle name="Note 2 4 3" xfId="1427" xr:uid="{00000000-0005-0000-0000-000020210000}"/>
    <cellStyle name="Note 2 4 3 2" xfId="3657" xr:uid="{00000000-0005-0000-0000-000021210000}"/>
    <cellStyle name="Note 2 4 3 2 2" xfId="7879" xr:uid="{00000000-0005-0000-0000-000022210000}"/>
    <cellStyle name="Note 2 4 3 2 2 2" xfId="17205" xr:uid="{98BBC694-3FB6-4182-BA85-166DE9079AE4}"/>
    <cellStyle name="Note 2 4 3 2 3" xfId="12988" xr:uid="{87F5EC43-21D1-4F48-A8B5-97D39CC4EDFE}"/>
    <cellStyle name="Note 2 4 3 3" xfId="5734" xr:uid="{00000000-0005-0000-0000-000023210000}"/>
    <cellStyle name="Note 2 4 3 3 2" xfId="15060" xr:uid="{051BBC4C-F039-44D7-9E15-EF042AA270CB}"/>
    <cellStyle name="Note 2 4 3 4" xfId="10843" xr:uid="{15972C38-BDDC-4E1D-BBAA-075374E31B3D}"/>
    <cellStyle name="Note 2 4 4" xfId="1841" xr:uid="{00000000-0005-0000-0000-000024210000}"/>
    <cellStyle name="Note 2 4 4 2" xfId="4070" xr:uid="{00000000-0005-0000-0000-000025210000}"/>
    <cellStyle name="Note 2 4 4 2 2" xfId="8292" xr:uid="{00000000-0005-0000-0000-000026210000}"/>
    <cellStyle name="Note 2 4 4 2 2 2" xfId="17618" xr:uid="{7F16D41B-E6ED-4173-85B6-FD7207813F25}"/>
    <cellStyle name="Note 2 4 4 2 3" xfId="13401" xr:uid="{8441EA44-900A-49DD-956F-81BAFE40222B}"/>
    <cellStyle name="Note 2 4 4 3" xfId="6147" xr:uid="{00000000-0005-0000-0000-000027210000}"/>
    <cellStyle name="Note 2 4 4 3 2" xfId="15473" xr:uid="{96B867BE-4192-446F-B68F-13208FC9D20A}"/>
    <cellStyle name="Note 2 4 4 4" xfId="11256" xr:uid="{9B6820F0-FEE8-4C76-AC0E-CE2E04620751}"/>
    <cellStyle name="Note 2 4 5" xfId="2254" xr:uid="{00000000-0005-0000-0000-000028210000}"/>
    <cellStyle name="Note 2 4 5 2" xfId="4483" xr:uid="{00000000-0005-0000-0000-000029210000}"/>
    <cellStyle name="Note 2 4 5 2 2" xfId="8705" xr:uid="{00000000-0005-0000-0000-00002A210000}"/>
    <cellStyle name="Note 2 4 5 2 2 2" xfId="18031" xr:uid="{86644181-AF9A-495C-A1D2-578A965D3201}"/>
    <cellStyle name="Note 2 4 5 2 3" xfId="13814" xr:uid="{DF075F7B-4621-47BE-AC53-C311E352E8DC}"/>
    <cellStyle name="Note 2 4 5 3" xfId="6560" xr:uid="{00000000-0005-0000-0000-00002B210000}"/>
    <cellStyle name="Note 2 4 5 3 2" xfId="15886" xr:uid="{33808743-7EFF-4298-9B7D-B77C6DCAEDE2}"/>
    <cellStyle name="Note 2 4 5 4" xfId="11669" xr:uid="{9F1EC3B6-C632-4ACC-86D3-12823C3FC062}"/>
    <cellStyle name="Note 2 4 6" xfId="2690" xr:uid="{00000000-0005-0000-0000-00002C210000}"/>
    <cellStyle name="Note 2 4 6 2" xfId="6973" xr:uid="{00000000-0005-0000-0000-00002D210000}"/>
    <cellStyle name="Note 2 4 6 2 2" xfId="16299" xr:uid="{7E922ACF-E769-40A3-A872-98030E816DD7}"/>
    <cellStyle name="Note 2 4 6 3" xfId="12082" xr:uid="{CECF220A-7495-44D7-B3A3-74869FF843D1}"/>
    <cellStyle name="Note 2 4 7" xfId="2749" xr:uid="{00000000-0005-0000-0000-00002E210000}"/>
    <cellStyle name="Note 2 4 8" xfId="2830" xr:uid="{00000000-0005-0000-0000-00002F210000}"/>
    <cellStyle name="Note 2 4 8 2" xfId="7053" xr:uid="{00000000-0005-0000-0000-000030210000}"/>
    <cellStyle name="Note 2 4 8 2 2" xfId="16379" xr:uid="{8ACAD95E-B88A-428B-88CF-27F3A1434174}"/>
    <cellStyle name="Note 2 4 8 3" xfId="12162" xr:uid="{8EAC366B-68DD-49A5-8FF5-DD0D20638D9B}"/>
    <cellStyle name="Note 2 4 9" xfId="4908" xr:uid="{00000000-0005-0000-0000-000031210000}"/>
    <cellStyle name="Note 2 4 9 2" xfId="14234" xr:uid="{9DB0EAB0-A629-445F-AD8E-260A24E0339D}"/>
    <cellStyle name="Note 2 5" xfId="552" xr:uid="{00000000-0005-0000-0000-000032210000}"/>
    <cellStyle name="Note 2 5 10" xfId="9215" xr:uid="{69947D86-0683-476F-9E74-96CA08091560}"/>
    <cellStyle name="Note 2 5 10 2" xfId="18531" xr:uid="{225D8E3E-A0A1-469E-8348-6C4C46234460}"/>
    <cellStyle name="Note 2 5 11" xfId="10018" xr:uid="{59DCCE58-6B0A-489F-8D7D-B092028591D6}"/>
    <cellStyle name="Note 2 5 2" xfId="1013" xr:uid="{00000000-0005-0000-0000-000033210000}"/>
    <cellStyle name="Note 2 5 2 2" xfId="3245" xr:uid="{00000000-0005-0000-0000-000034210000}"/>
    <cellStyle name="Note 2 5 2 2 2" xfId="7467" xr:uid="{00000000-0005-0000-0000-000035210000}"/>
    <cellStyle name="Note 2 5 2 2 2 2" xfId="16793" xr:uid="{11526F24-B03E-4EA2-97BC-5A5A518020DC}"/>
    <cellStyle name="Note 2 5 2 2 3" xfId="12576" xr:uid="{11DEC723-0D93-42D2-8AC0-0BC1C14D18A8}"/>
    <cellStyle name="Note 2 5 2 3" xfId="5322" xr:uid="{00000000-0005-0000-0000-000036210000}"/>
    <cellStyle name="Note 2 5 2 3 2" xfId="14648" xr:uid="{98B7798B-362A-4CC8-B584-067A69FD82B1}"/>
    <cellStyle name="Note 2 5 2 4" xfId="9610" xr:uid="{26530D10-1DF8-4FA4-8FC9-4C945AA92A94}"/>
    <cellStyle name="Note 2 5 2 4 2" xfId="18910" xr:uid="{4E51769E-614E-46EC-A9C7-D89F2108FFB5}"/>
    <cellStyle name="Note 2 5 2 5" xfId="10431" xr:uid="{433AC1A4-92ED-406F-8005-2C4F9AAFCC62}"/>
    <cellStyle name="Note 2 5 3" xfId="1428" xr:uid="{00000000-0005-0000-0000-000037210000}"/>
    <cellStyle name="Note 2 5 3 2" xfId="3658" xr:uid="{00000000-0005-0000-0000-000038210000}"/>
    <cellStyle name="Note 2 5 3 2 2" xfId="7880" xr:uid="{00000000-0005-0000-0000-000039210000}"/>
    <cellStyle name="Note 2 5 3 2 2 2" xfId="17206" xr:uid="{6043A2E4-CA87-4392-98D9-9B9F33F515F2}"/>
    <cellStyle name="Note 2 5 3 2 3" xfId="12989" xr:uid="{62B54421-B110-43DA-ABF1-6062EBBC7214}"/>
    <cellStyle name="Note 2 5 3 3" xfId="5735" xr:uid="{00000000-0005-0000-0000-00003A210000}"/>
    <cellStyle name="Note 2 5 3 3 2" xfId="15061" xr:uid="{580FEB00-88DF-4058-9379-41284A504D49}"/>
    <cellStyle name="Note 2 5 3 4" xfId="10844" xr:uid="{8B7323FE-8CA2-4BBA-BCF4-5E3AF4BA25C9}"/>
    <cellStyle name="Note 2 5 4" xfId="1842" xr:uid="{00000000-0005-0000-0000-00003B210000}"/>
    <cellStyle name="Note 2 5 4 2" xfId="4071" xr:uid="{00000000-0005-0000-0000-00003C210000}"/>
    <cellStyle name="Note 2 5 4 2 2" xfId="8293" xr:uid="{00000000-0005-0000-0000-00003D210000}"/>
    <cellStyle name="Note 2 5 4 2 2 2" xfId="17619" xr:uid="{7D7E03FE-A9EC-422E-A65D-B2F70C86F906}"/>
    <cellStyle name="Note 2 5 4 2 3" xfId="13402" xr:uid="{F48DC319-2FF6-4F92-BE53-07FCCFE0C29C}"/>
    <cellStyle name="Note 2 5 4 3" xfId="6148" xr:uid="{00000000-0005-0000-0000-00003E210000}"/>
    <cellStyle name="Note 2 5 4 3 2" xfId="15474" xr:uid="{3C4047C5-67D1-481E-8AE4-0908ED9E0F79}"/>
    <cellStyle name="Note 2 5 4 4" xfId="11257" xr:uid="{EE7372D4-3801-4A7B-B17E-0BB06D8ADAB6}"/>
    <cellStyle name="Note 2 5 5" xfId="2255" xr:uid="{00000000-0005-0000-0000-00003F210000}"/>
    <cellStyle name="Note 2 5 5 2" xfId="4484" xr:uid="{00000000-0005-0000-0000-000040210000}"/>
    <cellStyle name="Note 2 5 5 2 2" xfId="8706" xr:uid="{00000000-0005-0000-0000-000041210000}"/>
    <cellStyle name="Note 2 5 5 2 2 2" xfId="18032" xr:uid="{C06DE66B-C4B5-426D-85AA-1FA0577D83BE}"/>
    <cellStyle name="Note 2 5 5 2 3" xfId="13815" xr:uid="{40A983C4-B06C-40CB-8204-BF011D6BA7A6}"/>
    <cellStyle name="Note 2 5 5 3" xfId="6561" xr:uid="{00000000-0005-0000-0000-000042210000}"/>
    <cellStyle name="Note 2 5 5 3 2" xfId="15887" xr:uid="{F9447730-344D-489A-A0DD-C2E0A76FF360}"/>
    <cellStyle name="Note 2 5 5 4" xfId="11670" xr:uid="{D75B96FE-5B84-4F36-944C-1C987980064E}"/>
    <cellStyle name="Note 2 5 6" xfId="2691" xr:uid="{00000000-0005-0000-0000-000043210000}"/>
    <cellStyle name="Note 2 5 6 2" xfId="6974" xr:uid="{00000000-0005-0000-0000-000044210000}"/>
    <cellStyle name="Note 2 5 6 2 2" xfId="16300" xr:uid="{86ECFCBC-BD3B-4E03-A663-B3D6798D5E3F}"/>
    <cellStyle name="Note 2 5 6 3" xfId="12083" xr:uid="{7D9B79D1-DE4D-4641-ACF2-1934861BD1B1}"/>
    <cellStyle name="Note 2 5 7" xfId="2750" xr:uid="{00000000-0005-0000-0000-000045210000}"/>
    <cellStyle name="Note 2 5 8" xfId="2831" xr:uid="{00000000-0005-0000-0000-000046210000}"/>
    <cellStyle name="Note 2 5 8 2" xfId="7054" xr:uid="{00000000-0005-0000-0000-000047210000}"/>
    <cellStyle name="Note 2 5 8 2 2" xfId="16380" xr:uid="{E997242F-5A48-4D02-9114-60B80CE57C8E}"/>
    <cellStyle name="Note 2 5 8 3" xfId="12163" xr:uid="{0247600C-8600-4D60-BD9A-C338819F6AA0}"/>
    <cellStyle name="Note 2 5 9" xfId="4909" xr:uid="{00000000-0005-0000-0000-000048210000}"/>
    <cellStyle name="Note 2 5 9 2" xfId="14235" xr:uid="{D7FEB2E3-1B6F-40F8-A136-88B1CDF5E377}"/>
    <cellStyle name="Note 2 6" xfId="9587" xr:uid="{DE0DCBC9-1C06-4AD6-BDCF-10B3C6A625B6}"/>
    <cellStyle name="Note 2 7" xfId="8791" xr:uid="{7AC3614D-154D-4BB0-B207-B3151ECF2433}"/>
    <cellStyle name="Note 2 7 2" xfId="18115" xr:uid="{3211C4AA-06DE-4D15-8E40-DFF54640D69E}"/>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9ADE1F4A-F969-44E0-AC63-B52E02CB258E}"/>
    <cellStyle name="Note 3 2 10 3" xfId="12164" xr:uid="{A004F31D-716A-4DF0-B1EC-B39F0D0743A2}"/>
    <cellStyle name="Note 3 2 11" xfId="4910" xr:uid="{00000000-0005-0000-0000-00004D210000}"/>
    <cellStyle name="Note 3 2 11 2" xfId="14236" xr:uid="{02516246-20D7-4731-BBF3-1EAEEE22FC0B}"/>
    <cellStyle name="Note 3 2 12" xfId="8842" xr:uid="{646587AC-B7A9-43E2-AC1E-1B77745805D8}"/>
    <cellStyle name="Note 3 2 12 2" xfId="18166" xr:uid="{CB8CADB3-49EC-4378-9778-4F10C2D3DEC2}"/>
    <cellStyle name="Note 3 2 13" xfId="10019" xr:uid="{D0A6D857-C950-4248-87B1-A1B910FE9496}"/>
    <cellStyle name="Note 3 2 2" xfId="555" xr:uid="{00000000-0005-0000-0000-00004E210000}"/>
    <cellStyle name="Note 3 2 2 10" xfId="4911" xr:uid="{00000000-0005-0000-0000-00004F210000}"/>
    <cellStyle name="Note 3 2 2 10 2" xfId="14237" xr:uid="{DED28061-932D-43ED-8EFB-ED1903FB0365}"/>
    <cellStyle name="Note 3 2 2 11" xfId="8945" xr:uid="{D320AF38-4F47-4266-9CB9-3BD7E15BFDAE}"/>
    <cellStyle name="Note 3 2 2 11 2" xfId="18269" xr:uid="{2E0C0B15-3605-48EF-B633-17A4BB60997F}"/>
    <cellStyle name="Note 3 2 2 12" xfId="10020" xr:uid="{9A8C2F39-B863-4DF8-B0A3-FDA67B42C2B9}"/>
    <cellStyle name="Note 3 2 2 2" xfId="556" xr:uid="{00000000-0005-0000-0000-000050210000}"/>
    <cellStyle name="Note 3 2 2 2 10" xfId="9152" xr:uid="{24874F5B-4700-44ED-9556-84C4E89A274D}"/>
    <cellStyle name="Note 3 2 2 2 10 2" xfId="18476" xr:uid="{558E64EF-B65B-4318-843A-1B1D83D01FCF}"/>
    <cellStyle name="Note 3 2 2 2 11" xfId="10021" xr:uid="{0BFB5EFB-1E50-450C-9E28-742948980347}"/>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35D72C23-1065-4117-A840-0B071F005A43}"/>
    <cellStyle name="Note 3 2 2 2 2 2 3" xfId="12579" xr:uid="{4ED78DB0-6F6A-436C-B5D0-924522153049}"/>
    <cellStyle name="Note 3 2 2 2 2 3" xfId="5325" xr:uid="{00000000-0005-0000-0000-000054210000}"/>
    <cellStyle name="Note 3 2 2 2 2 3 2" xfId="14651" xr:uid="{DFD4664C-7FC7-4E52-9906-91B4CAAF8280}"/>
    <cellStyle name="Note 3 2 2 2 2 4" xfId="9577" xr:uid="{7C0C89D7-CA14-4942-89B2-D584AC810EDC}"/>
    <cellStyle name="Note 3 2 2 2 2 4 2" xfId="18892" xr:uid="{69110070-126E-4B50-9BE2-3E4107DF98D6}"/>
    <cellStyle name="Note 3 2 2 2 2 5" xfId="10434" xr:uid="{060B58F1-1CD4-4FD9-AF9C-3445AD265126}"/>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AF15B37D-DA87-4C38-BB24-CDC3DD8D702C}"/>
    <cellStyle name="Note 3 2 2 2 3 2 3" xfId="12992" xr:uid="{A0CFF4A7-4535-4DB3-967B-BC8CA8B75C1F}"/>
    <cellStyle name="Note 3 2 2 2 3 3" xfId="5738" xr:uid="{00000000-0005-0000-0000-000058210000}"/>
    <cellStyle name="Note 3 2 2 2 3 3 2" xfId="15064" xr:uid="{7582B850-8BEF-4CB3-B0A5-EC9015031568}"/>
    <cellStyle name="Note 3 2 2 2 3 4" xfId="10847" xr:uid="{7CC0AD28-2737-471E-BBC3-9C1A9BFE1612}"/>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9F436CE4-B739-47B9-BA6D-85DCBAA5FCEB}"/>
    <cellStyle name="Note 3 2 2 2 4 2 3" xfId="13405" xr:uid="{2908B065-FC5E-45F2-BF6F-2F0FDC7AF1B0}"/>
    <cellStyle name="Note 3 2 2 2 4 3" xfId="6151" xr:uid="{00000000-0005-0000-0000-00005C210000}"/>
    <cellStyle name="Note 3 2 2 2 4 3 2" xfId="15477" xr:uid="{6E8E4123-EF45-4BC3-83A3-1198BF083C74}"/>
    <cellStyle name="Note 3 2 2 2 4 4" xfId="11260" xr:uid="{6D64FC4A-238E-492B-8FA0-64D5400CAD3C}"/>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A708DFA6-D422-4747-AF80-B9F881E24720}"/>
    <cellStyle name="Note 3 2 2 2 5 2 3" xfId="13818" xr:uid="{70EB4867-EA54-489F-98BD-2951A11BDF49}"/>
    <cellStyle name="Note 3 2 2 2 5 3" xfId="6564" xr:uid="{00000000-0005-0000-0000-000060210000}"/>
    <cellStyle name="Note 3 2 2 2 5 3 2" xfId="15890" xr:uid="{7F702A7E-F29E-42B6-A1AE-0121CCD20885}"/>
    <cellStyle name="Note 3 2 2 2 5 4" xfId="11673" xr:uid="{D0751009-1A66-47D7-B16E-F628217AF594}"/>
    <cellStyle name="Note 3 2 2 2 6" xfId="2694" xr:uid="{00000000-0005-0000-0000-000061210000}"/>
    <cellStyle name="Note 3 2 2 2 6 2" xfId="6977" xr:uid="{00000000-0005-0000-0000-000062210000}"/>
    <cellStyle name="Note 3 2 2 2 6 2 2" xfId="16303" xr:uid="{714AC522-6BFF-4368-89B6-6F04FD62BBB3}"/>
    <cellStyle name="Note 3 2 2 2 6 3" xfId="12086" xr:uid="{545E9D8D-A592-4DAD-86E0-6AB5C7CCD3A2}"/>
    <cellStyle name="Note 3 2 2 2 7" xfId="2753" xr:uid="{00000000-0005-0000-0000-000063210000}"/>
    <cellStyle name="Note 3 2 2 2 8" xfId="2834" xr:uid="{00000000-0005-0000-0000-000064210000}"/>
    <cellStyle name="Note 3 2 2 2 8 2" xfId="7057" xr:uid="{00000000-0005-0000-0000-000065210000}"/>
    <cellStyle name="Note 3 2 2 2 8 2 2" xfId="16383" xr:uid="{9CD038E0-BB11-4AF4-9B46-9A43D723DEC2}"/>
    <cellStyle name="Note 3 2 2 2 8 3" xfId="12166" xr:uid="{EE96D892-A449-4381-873C-E906AB0590CB}"/>
    <cellStyle name="Note 3 2 2 2 9" xfId="4912" xr:uid="{00000000-0005-0000-0000-000066210000}"/>
    <cellStyle name="Note 3 2 2 2 9 2" xfId="14238" xr:uid="{B8BDDB2C-644A-4F8F-A433-0404B426BF95}"/>
    <cellStyle name="Note 3 2 2 3" xfId="1015" xr:uid="{00000000-0005-0000-0000-000067210000}"/>
    <cellStyle name="Note 3 2 2 3 2" xfId="3247" xr:uid="{00000000-0005-0000-0000-000068210000}"/>
    <cellStyle name="Note 3 2 2 3 2 2" xfId="7469" xr:uid="{00000000-0005-0000-0000-000069210000}"/>
    <cellStyle name="Note 3 2 2 3 2 2 2" xfId="16795" xr:uid="{A4783611-8253-493A-A3A4-AAC104D436D9}"/>
    <cellStyle name="Note 3 2 2 3 2 3" xfId="12578" xr:uid="{C7E0FB7C-24A8-4E07-A8FC-2815AFC3C170}"/>
    <cellStyle name="Note 3 2 2 3 3" xfId="5324" xr:uid="{00000000-0005-0000-0000-00006A210000}"/>
    <cellStyle name="Note 3 2 2 3 3 2" xfId="14650" xr:uid="{A5D064A8-1F41-4685-A701-43B7542066DC}"/>
    <cellStyle name="Note 3 2 2 3 4" xfId="9370" xr:uid="{7A803908-679B-4EF0-9BD4-89724B1FB321}"/>
    <cellStyle name="Note 3 2 2 3 4 2" xfId="18685" xr:uid="{B80C341D-2AD4-4BE1-997C-A7A1BDE590EB}"/>
    <cellStyle name="Note 3 2 2 3 5" xfId="10433" xr:uid="{C6BA8DEE-C267-49F6-8F15-5BA9C158C74C}"/>
    <cellStyle name="Note 3 2 2 4" xfId="1430" xr:uid="{00000000-0005-0000-0000-00006B210000}"/>
    <cellStyle name="Note 3 2 2 4 2" xfId="3660" xr:uid="{00000000-0005-0000-0000-00006C210000}"/>
    <cellStyle name="Note 3 2 2 4 2 2" xfId="7882" xr:uid="{00000000-0005-0000-0000-00006D210000}"/>
    <cellStyle name="Note 3 2 2 4 2 2 2" xfId="17208" xr:uid="{436C0344-BA98-4801-8DBC-B2A868814035}"/>
    <cellStyle name="Note 3 2 2 4 2 3" xfId="12991" xr:uid="{ADFC8DB5-1006-42F0-818B-C39332AB0243}"/>
    <cellStyle name="Note 3 2 2 4 3" xfId="5737" xr:uid="{00000000-0005-0000-0000-00006E210000}"/>
    <cellStyle name="Note 3 2 2 4 3 2" xfId="15063" xr:uid="{91E9518D-B1F9-44AA-BFA8-A4C88BDCF943}"/>
    <cellStyle name="Note 3 2 2 4 4" xfId="10846" xr:uid="{B5590302-B4B2-4C51-B2A6-5214FC6458D9}"/>
    <cellStyle name="Note 3 2 2 5" xfId="1844" xr:uid="{00000000-0005-0000-0000-00006F210000}"/>
    <cellStyle name="Note 3 2 2 5 2" xfId="4073" xr:uid="{00000000-0005-0000-0000-000070210000}"/>
    <cellStyle name="Note 3 2 2 5 2 2" xfId="8295" xr:uid="{00000000-0005-0000-0000-000071210000}"/>
    <cellStyle name="Note 3 2 2 5 2 2 2" xfId="17621" xr:uid="{75CE65D7-17FB-4AAD-AC32-36D9BD59F525}"/>
    <cellStyle name="Note 3 2 2 5 2 3" xfId="13404" xr:uid="{D33B7209-3053-4718-8C27-F20A8E07E1C5}"/>
    <cellStyle name="Note 3 2 2 5 3" xfId="6150" xr:uid="{00000000-0005-0000-0000-000072210000}"/>
    <cellStyle name="Note 3 2 2 5 3 2" xfId="15476" xr:uid="{672B27EF-2EAF-4A2F-96E9-DA587DEB09CE}"/>
    <cellStyle name="Note 3 2 2 5 4" xfId="11259" xr:uid="{26F8D640-14B8-4BF0-A24A-9069660CFF72}"/>
    <cellStyle name="Note 3 2 2 6" xfId="2257" xr:uid="{00000000-0005-0000-0000-000073210000}"/>
    <cellStyle name="Note 3 2 2 6 2" xfId="4486" xr:uid="{00000000-0005-0000-0000-000074210000}"/>
    <cellStyle name="Note 3 2 2 6 2 2" xfId="8708" xr:uid="{00000000-0005-0000-0000-000075210000}"/>
    <cellStyle name="Note 3 2 2 6 2 2 2" xfId="18034" xr:uid="{D3CD40C9-2B49-4B1C-AA90-A764035B1E1D}"/>
    <cellStyle name="Note 3 2 2 6 2 3" xfId="13817" xr:uid="{61939DB8-EE68-4BC3-A706-540985328256}"/>
    <cellStyle name="Note 3 2 2 6 3" xfId="6563" xr:uid="{00000000-0005-0000-0000-000076210000}"/>
    <cellStyle name="Note 3 2 2 6 3 2" xfId="15889" xr:uid="{D986E8AF-554E-4A77-B2BB-C47FB78FE812}"/>
    <cellStyle name="Note 3 2 2 6 4" xfId="11672" xr:uid="{E3185AC1-A5B6-46F8-B4A0-0C3E16CE6975}"/>
    <cellStyle name="Note 3 2 2 7" xfId="2693" xr:uid="{00000000-0005-0000-0000-000077210000}"/>
    <cellStyle name="Note 3 2 2 7 2" xfId="6976" xr:uid="{00000000-0005-0000-0000-000078210000}"/>
    <cellStyle name="Note 3 2 2 7 2 2" xfId="16302" xr:uid="{34FF4F37-D2BC-4594-959A-ED3E24F15EEB}"/>
    <cellStyle name="Note 3 2 2 7 3" xfId="12085" xr:uid="{15A39AAD-20BA-4D71-93CB-41C5A82386F1}"/>
    <cellStyle name="Note 3 2 2 8" xfId="2752" xr:uid="{00000000-0005-0000-0000-000079210000}"/>
    <cellStyle name="Note 3 2 2 9" xfId="2833" xr:uid="{00000000-0005-0000-0000-00007A210000}"/>
    <cellStyle name="Note 3 2 2 9 2" xfId="7056" xr:uid="{00000000-0005-0000-0000-00007B210000}"/>
    <cellStyle name="Note 3 2 2 9 2 2" xfId="16382" xr:uid="{2EC5A754-079A-478E-80F6-2FB46F604C53}"/>
    <cellStyle name="Note 3 2 2 9 3" xfId="12165" xr:uid="{AF5999B8-A662-4CD2-8C1A-C82859F8BF3C}"/>
    <cellStyle name="Note 3 2 3" xfId="557" xr:uid="{00000000-0005-0000-0000-00007C210000}"/>
    <cellStyle name="Note 3 2 3 10" xfId="9049" xr:uid="{98DA21AE-8EED-4AF2-A5D5-94394E9C9EFE}"/>
    <cellStyle name="Note 3 2 3 10 2" xfId="18373" xr:uid="{00E80695-0D8C-4E29-85B5-2BCB424A425B}"/>
    <cellStyle name="Note 3 2 3 11" xfId="10022" xr:uid="{86FEC67D-994E-4A5E-9547-55996F49121F}"/>
    <cellStyle name="Note 3 2 3 2" xfId="1017" xr:uid="{00000000-0005-0000-0000-00007D210000}"/>
    <cellStyle name="Note 3 2 3 2 2" xfId="3249" xr:uid="{00000000-0005-0000-0000-00007E210000}"/>
    <cellStyle name="Note 3 2 3 2 2 2" xfId="7471" xr:uid="{00000000-0005-0000-0000-00007F210000}"/>
    <cellStyle name="Note 3 2 3 2 2 2 2" xfId="16797" xr:uid="{D48C35DC-EDF6-44E6-9930-546BD1B7DA5B}"/>
    <cellStyle name="Note 3 2 3 2 2 3" xfId="12580" xr:uid="{F3A26B1A-BCD8-4ED3-B58C-DC30568E330E}"/>
    <cellStyle name="Note 3 2 3 2 3" xfId="5326" xr:uid="{00000000-0005-0000-0000-000080210000}"/>
    <cellStyle name="Note 3 2 3 2 3 2" xfId="14652" xr:uid="{D8F0E346-20BB-45D7-9BCF-3B3D7E99208C}"/>
    <cellStyle name="Note 3 2 3 2 4" xfId="9474" xr:uid="{8827394E-7DCF-4E58-BF45-94E8587F7D91}"/>
    <cellStyle name="Note 3 2 3 2 4 2" xfId="18789" xr:uid="{3DD8A564-2106-4DFB-8017-555B5A96A2F4}"/>
    <cellStyle name="Note 3 2 3 2 5" xfId="10435" xr:uid="{D322D5F3-73D5-4FAD-94D8-F4552EAB2451}"/>
    <cellStyle name="Note 3 2 3 3" xfId="1432" xr:uid="{00000000-0005-0000-0000-000081210000}"/>
    <cellStyle name="Note 3 2 3 3 2" xfId="3662" xr:uid="{00000000-0005-0000-0000-000082210000}"/>
    <cellStyle name="Note 3 2 3 3 2 2" xfId="7884" xr:uid="{00000000-0005-0000-0000-000083210000}"/>
    <cellStyle name="Note 3 2 3 3 2 2 2" xfId="17210" xr:uid="{D70602A7-F56E-40EA-AD94-C999C4292AFE}"/>
    <cellStyle name="Note 3 2 3 3 2 3" xfId="12993" xr:uid="{DCFE7B82-95C5-441A-81D2-9B56D6E0F293}"/>
    <cellStyle name="Note 3 2 3 3 3" xfId="5739" xr:uid="{00000000-0005-0000-0000-000084210000}"/>
    <cellStyle name="Note 3 2 3 3 3 2" xfId="15065" xr:uid="{65B829E5-44C5-4DF0-924D-6CFE0AC35C65}"/>
    <cellStyle name="Note 3 2 3 3 4" xfId="10848" xr:uid="{A00FA261-CDD7-41D0-A4DF-820B40AD7BD2}"/>
    <cellStyle name="Note 3 2 3 4" xfId="1846" xr:uid="{00000000-0005-0000-0000-000085210000}"/>
    <cellStyle name="Note 3 2 3 4 2" xfId="4075" xr:uid="{00000000-0005-0000-0000-000086210000}"/>
    <cellStyle name="Note 3 2 3 4 2 2" xfId="8297" xr:uid="{00000000-0005-0000-0000-000087210000}"/>
    <cellStyle name="Note 3 2 3 4 2 2 2" xfId="17623" xr:uid="{1E0B27B1-8765-455E-B307-EBB6DEF91095}"/>
    <cellStyle name="Note 3 2 3 4 2 3" xfId="13406" xr:uid="{42A8FC5A-A86A-450E-BC82-44CAA7832D02}"/>
    <cellStyle name="Note 3 2 3 4 3" xfId="6152" xr:uid="{00000000-0005-0000-0000-000088210000}"/>
    <cellStyle name="Note 3 2 3 4 3 2" xfId="15478" xr:uid="{4DE40AF9-5148-4495-B850-B984AB2F0E0B}"/>
    <cellStyle name="Note 3 2 3 4 4" xfId="11261" xr:uid="{D7D27985-51DC-446C-8D1D-73FF319C3DD6}"/>
    <cellStyle name="Note 3 2 3 5" xfId="2259" xr:uid="{00000000-0005-0000-0000-000089210000}"/>
    <cellStyle name="Note 3 2 3 5 2" xfId="4488" xr:uid="{00000000-0005-0000-0000-00008A210000}"/>
    <cellStyle name="Note 3 2 3 5 2 2" xfId="8710" xr:uid="{00000000-0005-0000-0000-00008B210000}"/>
    <cellStyle name="Note 3 2 3 5 2 2 2" xfId="18036" xr:uid="{764010BE-DDF4-41C7-9CC8-778EDC50A66F}"/>
    <cellStyle name="Note 3 2 3 5 2 3" xfId="13819" xr:uid="{E2DF3393-0FC0-4EFC-8555-FF543FDE8986}"/>
    <cellStyle name="Note 3 2 3 5 3" xfId="6565" xr:uid="{00000000-0005-0000-0000-00008C210000}"/>
    <cellStyle name="Note 3 2 3 5 3 2" xfId="15891" xr:uid="{9A5DF94C-4453-4CC7-8468-D7CCA12EE71E}"/>
    <cellStyle name="Note 3 2 3 5 4" xfId="11674" xr:uid="{50D3032B-BDAC-4AED-BD28-9AA0EC25BFC1}"/>
    <cellStyle name="Note 3 2 3 6" xfId="2695" xr:uid="{00000000-0005-0000-0000-00008D210000}"/>
    <cellStyle name="Note 3 2 3 6 2" xfId="6978" xr:uid="{00000000-0005-0000-0000-00008E210000}"/>
    <cellStyle name="Note 3 2 3 6 2 2" xfId="16304" xr:uid="{FEB3AB73-80C2-4283-B600-35347C406F33}"/>
    <cellStyle name="Note 3 2 3 6 3" xfId="12087" xr:uid="{F50A34BF-7A1A-4497-A806-5BB60D427012}"/>
    <cellStyle name="Note 3 2 3 7" xfId="2754" xr:uid="{00000000-0005-0000-0000-00008F210000}"/>
    <cellStyle name="Note 3 2 3 8" xfId="2835" xr:uid="{00000000-0005-0000-0000-000090210000}"/>
    <cellStyle name="Note 3 2 3 8 2" xfId="7058" xr:uid="{00000000-0005-0000-0000-000091210000}"/>
    <cellStyle name="Note 3 2 3 8 2 2" xfId="16384" xr:uid="{E09402A6-2D74-4A03-80DF-8F0243565900}"/>
    <cellStyle name="Note 3 2 3 8 3" xfId="12167" xr:uid="{2924EEB1-4726-462B-90E3-6B624603A34F}"/>
    <cellStyle name="Note 3 2 3 9" xfId="4913" xr:uid="{00000000-0005-0000-0000-000092210000}"/>
    <cellStyle name="Note 3 2 3 9 2" xfId="14239" xr:uid="{AAF2FDBF-660E-4AD8-B4E2-C03696B1D3E0}"/>
    <cellStyle name="Note 3 2 4" xfId="1014" xr:uid="{00000000-0005-0000-0000-000093210000}"/>
    <cellStyle name="Note 3 2 4 2" xfId="3246" xr:uid="{00000000-0005-0000-0000-000094210000}"/>
    <cellStyle name="Note 3 2 4 2 2" xfId="7468" xr:uid="{00000000-0005-0000-0000-000095210000}"/>
    <cellStyle name="Note 3 2 4 2 2 2" xfId="16794" xr:uid="{966EBDDF-1A0D-45FE-BF5D-C4B6924D53CA}"/>
    <cellStyle name="Note 3 2 4 2 3" xfId="12577" xr:uid="{4545D909-837A-45E4-A1F7-4964E7EC4966}"/>
    <cellStyle name="Note 3 2 4 3" xfId="5323" xr:uid="{00000000-0005-0000-0000-000096210000}"/>
    <cellStyle name="Note 3 2 4 3 2" xfId="14649" xr:uid="{0B75889D-BAD5-477A-9FF3-B04F1AFE5D28}"/>
    <cellStyle name="Note 3 2 4 4" xfId="9267" xr:uid="{1291CED5-E18E-4F1A-8856-A132B18F5C81}"/>
    <cellStyle name="Note 3 2 4 4 2" xfId="18582" xr:uid="{12457BD4-09F2-42D5-8E48-1AD28970FA84}"/>
    <cellStyle name="Note 3 2 4 5" xfId="10432" xr:uid="{D8BF2814-2957-4C92-AFD2-FEE0386FA1C2}"/>
    <cellStyle name="Note 3 2 5" xfId="1429" xr:uid="{00000000-0005-0000-0000-000097210000}"/>
    <cellStyle name="Note 3 2 5 2" xfId="3659" xr:uid="{00000000-0005-0000-0000-000098210000}"/>
    <cellStyle name="Note 3 2 5 2 2" xfId="7881" xr:uid="{00000000-0005-0000-0000-000099210000}"/>
    <cellStyle name="Note 3 2 5 2 2 2" xfId="17207" xr:uid="{C2EDD268-1CC7-4B30-A02C-5267CC68CF82}"/>
    <cellStyle name="Note 3 2 5 2 3" xfId="12990" xr:uid="{EB0AF1D6-1477-4735-87B9-38E21BE192C0}"/>
    <cellStyle name="Note 3 2 5 3" xfId="5736" xr:uid="{00000000-0005-0000-0000-00009A210000}"/>
    <cellStyle name="Note 3 2 5 3 2" xfId="15062" xr:uid="{2342B0C8-658F-48B9-AE58-7E9455B361EB}"/>
    <cellStyle name="Note 3 2 5 4" xfId="10845" xr:uid="{F5DDF7AB-E359-45E6-BD53-973301F54D02}"/>
    <cellStyle name="Note 3 2 6" xfId="1843" xr:uid="{00000000-0005-0000-0000-00009B210000}"/>
    <cellStyle name="Note 3 2 6 2" xfId="4072" xr:uid="{00000000-0005-0000-0000-00009C210000}"/>
    <cellStyle name="Note 3 2 6 2 2" xfId="8294" xr:uid="{00000000-0005-0000-0000-00009D210000}"/>
    <cellStyle name="Note 3 2 6 2 2 2" xfId="17620" xr:uid="{50F4DD17-76EC-4490-9079-360FDA034A70}"/>
    <cellStyle name="Note 3 2 6 2 3" xfId="13403" xr:uid="{3A47E7E3-A077-4562-8AB0-124F9EABB8D4}"/>
    <cellStyle name="Note 3 2 6 3" xfId="6149" xr:uid="{00000000-0005-0000-0000-00009E210000}"/>
    <cellStyle name="Note 3 2 6 3 2" xfId="15475" xr:uid="{E9A93E83-AB4F-4217-BBE9-D9752466044F}"/>
    <cellStyle name="Note 3 2 6 4" xfId="11258" xr:uid="{1C0BD6E6-8B25-4C5E-8AA0-96DE51A7D123}"/>
    <cellStyle name="Note 3 2 7" xfId="2256" xr:uid="{00000000-0005-0000-0000-00009F210000}"/>
    <cellStyle name="Note 3 2 7 2" xfId="4485" xr:uid="{00000000-0005-0000-0000-0000A0210000}"/>
    <cellStyle name="Note 3 2 7 2 2" xfId="8707" xr:uid="{00000000-0005-0000-0000-0000A1210000}"/>
    <cellStyle name="Note 3 2 7 2 2 2" xfId="18033" xr:uid="{17EBC753-4608-4218-BAEF-673CEDEFDEF2}"/>
    <cellStyle name="Note 3 2 7 2 3" xfId="13816" xr:uid="{7BEA01E6-823F-43EE-A477-7A855E35F4FD}"/>
    <cellStyle name="Note 3 2 7 3" xfId="6562" xr:uid="{00000000-0005-0000-0000-0000A2210000}"/>
    <cellStyle name="Note 3 2 7 3 2" xfId="15888" xr:uid="{5D31A8F0-7615-4A1D-9938-558BD370420B}"/>
    <cellStyle name="Note 3 2 7 4" xfId="11671" xr:uid="{C7B7C018-A50D-4328-8CAD-3C764BE25308}"/>
    <cellStyle name="Note 3 2 8" xfId="2692" xr:uid="{00000000-0005-0000-0000-0000A3210000}"/>
    <cellStyle name="Note 3 2 8 2" xfId="6975" xr:uid="{00000000-0005-0000-0000-0000A4210000}"/>
    <cellStyle name="Note 3 2 8 2 2" xfId="16301" xr:uid="{2E13CBD9-D42C-48B1-A19F-B18688A37D8B}"/>
    <cellStyle name="Note 3 2 8 3" xfId="12084" xr:uid="{CAC0D917-7DB6-4AB1-AB4F-BA652B047DAF}"/>
    <cellStyle name="Note 3 2 9" xfId="2751" xr:uid="{00000000-0005-0000-0000-0000A5210000}"/>
    <cellStyle name="Note 3 3" xfId="558" xr:uid="{00000000-0005-0000-0000-0000A6210000}"/>
    <cellStyle name="Note 3 3 10" xfId="4914" xr:uid="{00000000-0005-0000-0000-0000A7210000}"/>
    <cellStyle name="Note 3 3 10 2" xfId="14240" xr:uid="{EC48A209-338B-4A48-A257-5B84D3333E15}"/>
    <cellStyle name="Note 3 3 11" xfId="8892" xr:uid="{8511F94A-7472-4DD0-A9AB-40754FEE5F47}"/>
    <cellStyle name="Note 3 3 11 2" xfId="18216" xr:uid="{BC2DE1FF-D7A4-4E8E-8A83-7A8B58585FAE}"/>
    <cellStyle name="Note 3 3 12" xfId="10023" xr:uid="{47D6F204-8831-430E-BD97-60B78CB26378}"/>
    <cellStyle name="Note 3 3 2" xfId="559" xr:uid="{00000000-0005-0000-0000-0000A8210000}"/>
    <cellStyle name="Note 3 3 2 10" xfId="9099" xr:uid="{29F3AC20-D296-4B59-BA53-0A5C025B0569}"/>
    <cellStyle name="Note 3 3 2 10 2" xfId="18423" xr:uid="{E261D8CD-6CC8-46B7-9C22-9DBDE0E6C357}"/>
    <cellStyle name="Note 3 3 2 11" xfId="10024" xr:uid="{728CA249-3BD7-455C-AC78-5722B19CB943}"/>
    <cellStyle name="Note 3 3 2 2" xfId="1019" xr:uid="{00000000-0005-0000-0000-0000A9210000}"/>
    <cellStyle name="Note 3 3 2 2 2" xfId="3251" xr:uid="{00000000-0005-0000-0000-0000AA210000}"/>
    <cellStyle name="Note 3 3 2 2 2 2" xfId="7473" xr:uid="{00000000-0005-0000-0000-0000AB210000}"/>
    <cellStyle name="Note 3 3 2 2 2 2 2" xfId="16799" xr:uid="{AF8FBA22-1EF9-46F6-AC6A-A8EC22D19111}"/>
    <cellStyle name="Note 3 3 2 2 2 3" xfId="12582" xr:uid="{9C8E4A0A-08D3-4099-8108-C4FCBCBDD2A0}"/>
    <cellStyle name="Note 3 3 2 2 3" xfId="5328" xr:uid="{00000000-0005-0000-0000-0000AC210000}"/>
    <cellStyle name="Note 3 3 2 2 3 2" xfId="14654" xr:uid="{104F56FB-4466-41B3-8C9C-DB199A083963}"/>
    <cellStyle name="Note 3 3 2 2 4" xfId="9524" xr:uid="{D03F5DE7-D9AB-48C0-A1E3-0A929D2C18C5}"/>
    <cellStyle name="Note 3 3 2 2 4 2" xfId="18839" xr:uid="{07FE12DF-C92E-44BB-95E7-20EABA076CB0}"/>
    <cellStyle name="Note 3 3 2 2 5" xfId="10437" xr:uid="{A4F6C6FD-CDF4-45B3-96B8-C4EA5432C0CD}"/>
    <cellStyle name="Note 3 3 2 3" xfId="1434" xr:uid="{00000000-0005-0000-0000-0000AD210000}"/>
    <cellStyle name="Note 3 3 2 3 2" xfId="3664" xr:uid="{00000000-0005-0000-0000-0000AE210000}"/>
    <cellStyle name="Note 3 3 2 3 2 2" xfId="7886" xr:uid="{00000000-0005-0000-0000-0000AF210000}"/>
    <cellStyle name="Note 3 3 2 3 2 2 2" xfId="17212" xr:uid="{83DBE72D-1705-4559-AB0F-96C439385216}"/>
    <cellStyle name="Note 3 3 2 3 2 3" xfId="12995" xr:uid="{E9F6BFE4-4294-4937-97A2-71172093F8E1}"/>
    <cellStyle name="Note 3 3 2 3 3" xfId="5741" xr:uid="{00000000-0005-0000-0000-0000B0210000}"/>
    <cellStyle name="Note 3 3 2 3 3 2" xfId="15067" xr:uid="{F4D26FE4-706C-4E33-B1B8-B94C8C2ED449}"/>
    <cellStyle name="Note 3 3 2 3 4" xfId="10850" xr:uid="{CEA8D294-523F-4F57-B469-C3603C127500}"/>
    <cellStyle name="Note 3 3 2 4" xfId="1848" xr:uid="{00000000-0005-0000-0000-0000B1210000}"/>
    <cellStyle name="Note 3 3 2 4 2" xfId="4077" xr:uid="{00000000-0005-0000-0000-0000B2210000}"/>
    <cellStyle name="Note 3 3 2 4 2 2" xfId="8299" xr:uid="{00000000-0005-0000-0000-0000B3210000}"/>
    <cellStyle name="Note 3 3 2 4 2 2 2" xfId="17625" xr:uid="{62180AD8-ED20-4496-BDF2-359FAB524ED7}"/>
    <cellStyle name="Note 3 3 2 4 2 3" xfId="13408" xr:uid="{4A875122-E1B0-4A10-8BC5-7FCE35792BD9}"/>
    <cellStyle name="Note 3 3 2 4 3" xfId="6154" xr:uid="{00000000-0005-0000-0000-0000B4210000}"/>
    <cellStyle name="Note 3 3 2 4 3 2" xfId="15480" xr:uid="{12DD64F2-50F3-4D2E-9626-97F3DE673E8E}"/>
    <cellStyle name="Note 3 3 2 4 4" xfId="11263" xr:uid="{AB0CA5AB-54C7-4DA9-B250-979D7BCBEC87}"/>
    <cellStyle name="Note 3 3 2 5" xfId="2261" xr:uid="{00000000-0005-0000-0000-0000B5210000}"/>
    <cellStyle name="Note 3 3 2 5 2" xfId="4490" xr:uid="{00000000-0005-0000-0000-0000B6210000}"/>
    <cellStyle name="Note 3 3 2 5 2 2" xfId="8712" xr:uid="{00000000-0005-0000-0000-0000B7210000}"/>
    <cellStyle name="Note 3 3 2 5 2 2 2" xfId="18038" xr:uid="{365E6848-AEF4-4031-BB7B-152AF80A9163}"/>
    <cellStyle name="Note 3 3 2 5 2 3" xfId="13821" xr:uid="{FC45F891-EF78-4092-A932-47B95ADDBAB4}"/>
    <cellStyle name="Note 3 3 2 5 3" xfId="6567" xr:uid="{00000000-0005-0000-0000-0000B8210000}"/>
    <cellStyle name="Note 3 3 2 5 3 2" xfId="15893" xr:uid="{1B76EDD5-A06A-4E2D-B8DA-10A6FDA289E1}"/>
    <cellStyle name="Note 3 3 2 5 4" xfId="11676" xr:uid="{787D9A4C-1F0D-4318-A04B-153886825D78}"/>
    <cellStyle name="Note 3 3 2 6" xfId="2697" xr:uid="{00000000-0005-0000-0000-0000B9210000}"/>
    <cellStyle name="Note 3 3 2 6 2" xfId="6980" xr:uid="{00000000-0005-0000-0000-0000BA210000}"/>
    <cellStyle name="Note 3 3 2 6 2 2" xfId="16306" xr:uid="{EB5BB458-69D2-4937-A783-3D76CE3C7A18}"/>
    <cellStyle name="Note 3 3 2 6 3" xfId="12089" xr:uid="{669E3AB4-5EF6-4D65-B758-C3C04C9B7E65}"/>
    <cellStyle name="Note 3 3 2 7" xfId="2756" xr:uid="{00000000-0005-0000-0000-0000BB210000}"/>
    <cellStyle name="Note 3 3 2 8" xfId="2837" xr:uid="{00000000-0005-0000-0000-0000BC210000}"/>
    <cellStyle name="Note 3 3 2 8 2" xfId="7060" xr:uid="{00000000-0005-0000-0000-0000BD210000}"/>
    <cellStyle name="Note 3 3 2 8 2 2" xfId="16386" xr:uid="{9A003076-7F14-438D-8385-4B5C2FAC6818}"/>
    <cellStyle name="Note 3 3 2 8 3" xfId="12169" xr:uid="{17EDFCC1-A2DC-4E2A-A8EB-A3D7F89908B5}"/>
    <cellStyle name="Note 3 3 2 9" xfId="4915" xr:uid="{00000000-0005-0000-0000-0000BE210000}"/>
    <cellStyle name="Note 3 3 2 9 2" xfId="14241" xr:uid="{5C155BAD-143A-40BB-9E3B-10E99F043A50}"/>
    <cellStyle name="Note 3 3 3" xfId="1018" xr:uid="{00000000-0005-0000-0000-0000BF210000}"/>
    <cellStyle name="Note 3 3 3 2" xfId="3250" xr:uid="{00000000-0005-0000-0000-0000C0210000}"/>
    <cellStyle name="Note 3 3 3 2 2" xfId="7472" xr:uid="{00000000-0005-0000-0000-0000C1210000}"/>
    <cellStyle name="Note 3 3 3 2 2 2" xfId="16798" xr:uid="{F224B90B-4CBD-4324-B011-2601C32C7364}"/>
    <cellStyle name="Note 3 3 3 2 3" xfId="12581" xr:uid="{AA465A04-5B1E-4D88-9FA4-AF24F7777855}"/>
    <cellStyle name="Note 3 3 3 3" xfId="5327" xr:uid="{00000000-0005-0000-0000-0000C2210000}"/>
    <cellStyle name="Note 3 3 3 3 2" xfId="14653" xr:uid="{235723FB-AFCE-4A4D-BEE2-D1CBF8B5C049}"/>
    <cellStyle name="Note 3 3 3 4" xfId="9317" xr:uid="{171D8024-554D-4F15-BFD3-81CBE1A601EA}"/>
    <cellStyle name="Note 3 3 3 4 2" xfId="18632" xr:uid="{77E4680E-A80A-450F-A559-8C9C52C0156B}"/>
    <cellStyle name="Note 3 3 3 5" xfId="10436" xr:uid="{DFA8AFAB-5FA8-4586-BD55-02EBB9216662}"/>
    <cellStyle name="Note 3 3 4" xfId="1433" xr:uid="{00000000-0005-0000-0000-0000C3210000}"/>
    <cellStyle name="Note 3 3 4 2" xfId="3663" xr:uid="{00000000-0005-0000-0000-0000C4210000}"/>
    <cellStyle name="Note 3 3 4 2 2" xfId="7885" xr:uid="{00000000-0005-0000-0000-0000C5210000}"/>
    <cellStyle name="Note 3 3 4 2 2 2" xfId="17211" xr:uid="{9A96C1D2-C975-4E0C-8671-14C82C397DCF}"/>
    <cellStyle name="Note 3 3 4 2 3" xfId="12994" xr:uid="{68F41145-DFEC-4336-88B7-9431D039F603}"/>
    <cellStyle name="Note 3 3 4 3" xfId="5740" xr:uid="{00000000-0005-0000-0000-0000C6210000}"/>
    <cellStyle name="Note 3 3 4 3 2" xfId="15066" xr:uid="{C378FEDA-ECEF-4B26-B1B9-6B5F5C82EE83}"/>
    <cellStyle name="Note 3 3 4 4" xfId="10849" xr:uid="{B30CB4A6-44C3-4F21-9656-50FABD3370EE}"/>
    <cellStyle name="Note 3 3 5" xfId="1847" xr:uid="{00000000-0005-0000-0000-0000C7210000}"/>
    <cellStyle name="Note 3 3 5 2" xfId="4076" xr:uid="{00000000-0005-0000-0000-0000C8210000}"/>
    <cellStyle name="Note 3 3 5 2 2" xfId="8298" xr:uid="{00000000-0005-0000-0000-0000C9210000}"/>
    <cellStyle name="Note 3 3 5 2 2 2" xfId="17624" xr:uid="{2D5D85A0-6D28-4996-B5DB-BA08256D518D}"/>
    <cellStyle name="Note 3 3 5 2 3" xfId="13407" xr:uid="{AB8E9C2A-2284-4428-BFC6-A1BF56AF8EB2}"/>
    <cellStyle name="Note 3 3 5 3" xfId="6153" xr:uid="{00000000-0005-0000-0000-0000CA210000}"/>
    <cellStyle name="Note 3 3 5 3 2" xfId="15479" xr:uid="{EE4B5E02-8720-465E-8283-53DFD4189E1B}"/>
    <cellStyle name="Note 3 3 5 4" xfId="11262" xr:uid="{F95155ED-180F-4FF3-BADD-857BA6DD64F2}"/>
    <cellStyle name="Note 3 3 6" xfId="2260" xr:uid="{00000000-0005-0000-0000-0000CB210000}"/>
    <cellStyle name="Note 3 3 6 2" xfId="4489" xr:uid="{00000000-0005-0000-0000-0000CC210000}"/>
    <cellStyle name="Note 3 3 6 2 2" xfId="8711" xr:uid="{00000000-0005-0000-0000-0000CD210000}"/>
    <cellStyle name="Note 3 3 6 2 2 2" xfId="18037" xr:uid="{B0BB1F3A-E577-4C65-9222-901AA917B7BD}"/>
    <cellStyle name="Note 3 3 6 2 3" xfId="13820" xr:uid="{1DA505BC-C094-4865-AD2C-D2647D1BF9DE}"/>
    <cellStyle name="Note 3 3 6 3" xfId="6566" xr:uid="{00000000-0005-0000-0000-0000CE210000}"/>
    <cellStyle name="Note 3 3 6 3 2" xfId="15892" xr:uid="{E498E8DF-C886-4967-8E88-9DC20DBEF205}"/>
    <cellStyle name="Note 3 3 6 4" xfId="11675" xr:uid="{A4DF0888-24CE-4402-8ED7-D7F1E689CD22}"/>
    <cellStyle name="Note 3 3 7" xfId="2696" xr:uid="{00000000-0005-0000-0000-0000CF210000}"/>
    <cellStyle name="Note 3 3 7 2" xfId="6979" xr:uid="{00000000-0005-0000-0000-0000D0210000}"/>
    <cellStyle name="Note 3 3 7 2 2" xfId="16305" xr:uid="{F0A62D90-4BD6-48D6-8469-97C6BC675DF3}"/>
    <cellStyle name="Note 3 3 7 3" xfId="12088" xr:uid="{4F13BCB6-942B-455B-951C-63070339FC35}"/>
    <cellStyle name="Note 3 3 8" xfId="2755" xr:uid="{00000000-0005-0000-0000-0000D1210000}"/>
    <cellStyle name="Note 3 3 9" xfId="2836" xr:uid="{00000000-0005-0000-0000-0000D2210000}"/>
    <cellStyle name="Note 3 3 9 2" xfId="7059" xr:uid="{00000000-0005-0000-0000-0000D3210000}"/>
    <cellStyle name="Note 3 3 9 2 2" xfId="16385" xr:uid="{77DBAE10-AFA2-4EF4-A879-7E422146CB4D}"/>
    <cellStyle name="Note 3 3 9 3" xfId="12168" xr:uid="{3C244894-A325-4DED-9E38-E6573D826DF5}"/>
    <cellStyle name="Note 3 4" xfId="560" xr:uid="{00000000-0005-0000-0000-0000D4210000}"/>
    <cellStyle name="Note 3 4 10" xfId="8996" xr:uid="{0D704BEA-0820-4E61-9EA3-F4C1E73C6543}"/>
    <cellStyle name="Note 3 4 10 2" xfId="18320" xr:uid="{FCECEE72-4454-421A-B286-7550BA187793}"/>
    <cellStyle name="Note 3 4 11" xfId="10025" xr:uid="{3CD330EC-BEF3-49ED-BB08-0ACD6C8432B6}"/>
    <cellStyle name="Note 3 4 2" xfId="1020" xr:uid="{00000000-0005-0000-0000-0000D5210000}"/>
    <cellStyle name="Note 3 4 2 2" xfId="3252" xr:uid="{00000000-0005-0000-0000-0000D6210000}"/>
    <cellStyle name="Note 3 4 2 2 2" xfId="7474" xr:uid="{00000000-0005-0000-0000-0000D7210000}"/>
    <cellStyle name="Note 3 4 2 2 2 2" xfId="16800" xr:uid="{0BEDBB57-F526-4B71-B6E1-EF0FC4B4CAF6}"/>
    <cellStyle name="Note 3 4 2 2 3" xfId="12583" xr:uid="{70156F36-F66E-46A7-8782-80A51347FD8F}"/>
    <cellStyle name="Note 3 4 2 3" xfId="5329" xr:uid="{00000000-0005-0000-0000-0000D8210000}"/>
    <cellStyle name="Note 3 4 2 3 2" xfId="14655" xr:uid="{02AABE4E-0C30-4499-8407-69BCDEF1A365}"/>
    <cellStyle name="Note 3 4 2 4" xfId="9421" xr:uid="{EC0A57E0-416C-4EC5-866A-A09E44531CB5}"/>
    <cellStyle name="Note 3 4 2 4 2" xfId="18736" xr:uid="{BCF46D46-180A-45E4-8B01-C5AB710020AE}"/>
    <cellStyle name="Note 3 4 2 5" xfId="10438" xr:uid="{2CD2852F-DE22-40C7-B2D5-66DA912DA947}"/>
    <cellStyle name="Note 3 4 3" xfId="1435" xr:uid="{00000000-0005-0000-0000-0000D9210000}"/>
    <cellStyle name="Note 3 4 3 2" xfId="3665" xr:uid="{00000000-0005-0000-0000-0000DA210000}"/>
    <cellStyle name="Note 3 4 3 2 2" xfId="7887" xr:uid="{00000000-0005-0000-0000-0000DB210000}"/>
    <cellStyle name="Note 3 4 3 2 2 2" xfId="17213" xr:uid="{192F8E02-A5A2-4CCF-B5B5-719764FD6359}"/>
    <cellStyle name="Note 3 4 3 2 3" xfId="12996" xr:uid="{11D7DB8F-6F14-468B-8B03-310523DA2C7B}"/>
    <cellStyle name="Note 3 4 3 3" xfId="5742" xr:uid="{00000000-0005-0000-0000-0000DC210000}"/>
    <cellStyle name="Note 3 4 3 3 2" xfId="15068" xr:uid="{529819CB-E1EB-48B3-9099-C3672364E112}"/>
    <cellStyle name="Note 3 4 3 4" xfId="10851" xr:uid="{F8EC3B38-B9A5-4967-85A7-A50A271C2AB0}"/>
    <cellStyle name="Note 3 4 4" xfId="1849" xr:uid="{00000000-0005-0000-0000-0000DD210000}"/>
    <cellStyle name="Note 3 4 4 2" xfId="4078" xr:uid="{00000000-0005-0000-0000-0000DE210000}"/>
    <cellStyle name="Note 3 4 4 2 2" xfId="8300" xr:uid="{00000000-0005-0000-0000-0000DF210000}"/>
    <cellStyle name="Note 3 4 4 2 2 2" xfId="17626" xr:uid="{7325A1A5-B2B5-450A-AC1F-57E94053735D}"/>
    <cellStyle name="Note 3 4 4 2 3" xfId="13409" xr:uid="{F045BDC3-A420-430F-B9E9-DBFD625340B2}"/>
    <cellStyle name="Note 3 4 4 3" xfId="6155" xr:uid="{00000000-0005-0000-0000-0000E0210000}"/>
    <cellStyle name="Note 3 4 4 3 2" xfId="15481" xr:uid="{2D034D30-7248-4183-A53A-3C32585041F5}"/>
    <cellStyle name="Note 3 4 4 4" xfId="11264" xr:uid="{84184F6A-E673-46A7-A7E4-AAF7248329D4}"/>
    <cellStyle name="Note 3 4 5" xfId="2262" xr:uid="{00000000-0005-0000-0000-0000E1210000}"/>
    <cellStyle name="Note 3 4 5 2" xfId="4491" xr:uid="{00000000-0005-0000-0000-0000E2210000}"/>
    <cellStyle name="Note 3 4 5 2 2" xfId="8713" xr:uid="{00000000-0005-0000-0000-0000E3210000}"/>
    <cellStyle name="Note 3 4 5 2 2 2" xfId="18039" xr:uid="{1D9B49A8-6267-40E9-8D26-312ECFA08A2E}"/>
    <cellStyle name="Note 3 4 5 2 3" xfId="13822" xr:uid="{D4723B03-1014-4BE6-87A7-528B5D4316C6}"/>
    <cellStyle name="Note 3 4 5 3" xfId="6568" xr:uid="{00000000-0005-0000-0000-0000E4210000}"/>
    <cellStyle name="Note 3 4 5 3 2" xfId="15894" xr:uid="{D06866BF-BBD6-4E0A-8BA6-FE43A7F9DCD6}"/>
    <cellStyle name="Note 3 4 5 4" xfId="11677" xr:uid="{FDD136B7-B790-4F79-8DFF-8FC4F2126FBD}"/>
    <cellStyle name="Note 3 4 6" xfId="2698" xr:uid="{00000000-0005-0000-0000-0000E5210000}"/>
    <cellStyle name="Note 3 4 6 2" xfId="6981" xr:uid="{00000000-0005-0000-0000-0000E6210000}"/>
    <cellStyle name="Note 3 4 6 2 2" xfId="16307" xr:uid="{3FF9E777-DE59-496C-9F98-F27098B29F6D}"/>
    <cellStyle name="Note 3 4 6 3" xfId="12090" xr:uid="{36800AEA-F2AF-43F8-8FA6-6EABF4DDB75B}"/>
    <cellStyle name="Note 3 4 7" xfId="2757" xr:uid="{00000000-0005-0000-0000-0000E7210000}"/>
    <cellStyle name="Note 3 4 8" xfId="2838" xr:uid="{00000000-0005-0000-0000-0000E8210000}"/>
    <cellStyle name="Note 3 4 8 2" xfId="7061" xr:uid="{00000000-0005-0000-0000-0000E9210000}"/>
    <cellStyle name="Note 3 4 8 2 2" xfId="16387" xr:uid="{CED5417A-A334-4F19-B3EF-44C9A74A8B79}"/>
    <cellStyle name="Note 3 4 8 3" xfId="12170" xr:uid="{4CAB388C-ED8D-4512-A2FF-A916B3610D80}"/>
    <cellStyle name="Note 3 4 9" xfId="4916" xr:uid="{00000000-0005-0000-0000-0000EA210000}"/>
    <cellStyle name="Note 3 4 9 2" xfId="14242" xr:uid="{064AD665-5C34-4F70-8BC8-B9AB7BD960BF}"/>
    <cellStyle name="Note 3 5" xfId="561" xr:uid="{00000000-0005-0000-0000-0000EB210000}"/>
    <cellStyle name="Note 3 5 10" xfId="9213" xr:uid="{D9D7FB9A-B03C-4A97-A778-36731B43DF3F}"/>
    <cellStyle name="Note 3 5 10 2" xfId="18529" xr:uid="{735975B4-ABB1-4A1A-9B9A-4758CC119382}"/>
    <cellStyle name="Note 3 5 11" xfId="10026" xr:uid="{87074F44-6A9E-40EC-934F-098DA6357B4E}"/>
    <cellStyle name="Note 3 5 2" xfId="1021" xr:uid="{00000000-0005-0000-0000-0000EC210000}"/>
    <cellStyle name="Note 3 5 2 2" xfId="3253" xr:uid="{00000000-0005-0000-0000-0000ED210000}"/>
    <cellStyle name="Note 3 5 2 2 2" xfId="7475" xr:uid="{00000000-0005-0000-0000-0000EE210000}"/>
    <cellStyle name="Note 3 5 2 2 2 2" xfId="16801" xr:uid="{AAF90F16-259E-4E78-A7BC-E4CCE3890129}"/>
    <cellStyle name="Note 3 5 2 2 3" xfId="12584" xr:uid="{B14F2A66-944B-4C09-8FD6-B8386EF02B91}"/>
    <cellStyle name="Note 3 5 2 3" xfId="5330" xr:uid="{00000000-0005-0000-0000-0000EF210000}"/>
    <cellStyle name="Note 3 5 2 3 2" xfId="14656" xr:uid="{6F0B0DC6-D80B-4095-9890-457988F2BD5E}"/>
    <cellStyle name="Note 3 5 2 4" xfId="9611" xr:uid="{74765414-66B3-4FDA-BA21-3BFFEF98E338}"/>
    <cellStyle name="Note 3 5 2 4 2" xfId="18911" xr:uid="{AEEF2D3D-426A-4B9E-8C3C-C1D732366911}"/>
    <cellStyle name="Note 3 5 2 5" xfId="10439" xr:uid="{D54B482B-EBDA-476B-B806-3D7064AA7596}"/>
    <cellStyle name="Note 3 5 3" xfId="1436" xr:uid="{00000000-0005-0000-0000-0000F0210000}"/>
    <cellStyle name="Note 3 5 3 2" xfId="3666" xr:uid="{00000000-0005-0000-0000-0000F1210000}"/>
    <cellStyle name="Note 3 5 3 2 2" xfId="7888" xr:uid="{00000000-0005-0000-0000-0000F2210000}"/>
    <cellStyle name="Note 3 5 3 2 2 2" xfId="17214" xr:uid="{4603B189-BAE9-4B4A-A746-4E13E314D936}"/>
    <cellStyle name="Note 3 5 3 2 3" xfId="12997" xr:uid="{6A80AB25-024E-4E21-8974-290F392F01B6}"/>
    <cellStyle name="Note 3 5 3 3" xfId="5743" xr:uid="{00000000-0005-0000-0000-0000F3210000}"/>
    <cellStyle name="Note 3 5 3 3 2" xfId="15069" xr:uid="{5453EABA-FBB0-4DDB-BD46-7C010A514956}"/>
    <cellStyle name="Note 3 5 3 4" xfId="10852" xr:uid="{69925F0B-3363-475C-8C56-F9E95ABEFE2B}"/>
    <cellStyle name="Note 3 5 4" xfId="1850" xr:uid="{00000000-0005-0000-0000-0000F4210000}"/>
    <cellStyle name="Note 3 5 4 2" xfId="4079" xr:uid="{00000000-0005-0000-0000-0000F5210000}"/>
    <cellStyle name="Note 3 5 4 2 2" xfId="8301" xr:uid="{00000000-0005-0000-0000-0000F6210000}"/>
    <cellStyle name="Note 3 5 4 2 2 2" xfId="17627" xr:uid="{FBDAC05F-0D69-4026-A104-2937DBB84E4C}"/>
    <cellStyle name="Note 3 5 4 2 3" xfId="13410" xr:uid="{96D2905B-E25E-40D8-97FB-065A226749F9}"/>
    <cellStyle name="Note 3 5 4 3" xfId="6156" xr:uid="{00000000-0005-0000-0000-0000F7210000}"/>
    <cellStyle name="Note 3 5 4 3 2" xfId="15482" xr:uid="{EB5D277C-0FAF-432A-8820-73D6B46773B0}"/>
    <cellStyle name="Note 3 5 4 4" xfId="11265" xr:uid="{BACA94FD-133C-4199-B518-6C4B6AD80A7C}"/>
    <cellStyle name="Note 3 5 5" xfId="2263" xr:uid="{00000000-0005-0000-0000-0000F8210000}"/>
    <cellStyle name="Note 3 5 5 2" xfId="4492" xr:uid="{00000000-0005-0000-0000-0000F9210000}"/>
    <cellStyle name="Note 3 5 5 2 2" xfId="8714" xr:uid="{00000000-0005-0000-0000-0000FA210000}"/>
    <cellStyle name="Note 3 5 5 2 2 2" xfId="18040" xr:uid="{C0F28A09-2FD3-435B-BC02-8EF34957FA89}"/>
    <cellStyle name="Note 3 5 5 2 3" xfId="13823" xr:uid="{E2B59F2A-01CE-4008-975B-3D2A202C6F19}"/>
    <cellStyle name="Note 3 5 5 3" xfId="6569" xr:uid="{00000000-0005-0000-0000-0000FB210000}"/>
    <cellStyle name="Note 3 5 5 3 2" xfId="15895" xr:uid="{143B8AC4-88A9-4403-8089-5FB0BE5B3523}"/>
    <cellStyle name="Note 3 5 5 4" xfId="11678" xr:uid="{058F4B84-20DA-4C3C-A5DC-439B09ED26DE}"/>
    <cellStyle name="Note 3 5 6" xfId="2699" xr:uid="{00000000-0005-0000-0000-0000FC210000}"/>
    <cellStyle name="Note 3 5 6 2" xfId="6982" xr:uid="{00000000-0005-0000-0000-0000FD210000}"/>
    <cellStyle name="Note 3 5 6 2 2" xfId="16308" xr:uid="{30603FEF-5F61-4362-9B08-3CD107D2084F}"/>
    <cellStyle name="Note 3 5 6 3" xfId="12091" xr:uid="{861A2376-7C5C-4258-B4FA-29C871E79D94}"/>
    <cellStyle name="Note 3 5 7" xfId="2758" xr:uid="{00000000-0005-0000-0000-0000FE210000}"/>
    <cellStyle name="Note 3 5 8" xfId="2839" xr:uid="{00000000-0005-0000-0000-0000FF210000}"/>
    <cellStyle name="Note 3 5 8 2" xfId="7062" xr:uid="{00000000-0005-0000-0000-000000220000}"/>
    <cellStyle name="Note 3 5 8 2 2" xfId="16388" xr:uid="{F966E35F-9065-4155-964A-343497D73A44}"/>
    <cellStyle name="Note 3 5 8 3" xfId="12171" xr:uid="{74691527-48FF-4B95-8E04-8C302DE6041F}"/>
    <cellStyle name="Note 3 5 9" xfId="4917" xr:uid="{00000000-0005-0000-0000-000001220000}"/>
    <cellStyle name="Note 3 5 9 2" xfId="14243" xr:uid="{CFDED0E1-6C8D-4E52-BB4D-21860F184AE6}"/>
    <cellStyle name="Note 3 6" xfId="9588" xr:uid="{4A2A2C5B-BA67-4FBC-A2F1-7546BE1E0E7F}"/>
    <cellStyle name="Note 3 7" xfId="8789" xr:uid="{EE6BC007-A514-4F23-A927-A69B937DFEC6}"/>
    <cellStyle name="Note 3 7 2" xfId="18113" xr:uid="{09F707B0-9C21-40D8-BD8A-FD190FEDFAF3}"/>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18896" xr:uid="{BE87E93B-2C29-4C30-A52A-DD2AF89D75B8}"/>
    <cellStyle name="Percent 3 3" xfId="13826" xr:uid="{7E758F47-1310-4471-87FD-60E8D8478CE3}"/>
    <cellStyle name="Percent 4" xfId="4502" xr:uid="{00000000-0005-0000-0000-000007220000}"/>
    <cellStyle name="Percent 4 2" xfId="8717" xr:uid="{00000000-0005-0000-0000-000008220000}"/>
    <cellStyle name="Percent 4 2 2" xfId="18043" xr:uid="{8A7D374D-EFCB-4314-917C-C636DD64C259}"/>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8062" xr:uid="{B8724E28-21C0-4B47-9998-D44C51170A33}"/>
    <cellStyle name="Percent 4 3 2 2 2 2 3" xfId="18059" xr:uid="{A0EAC02D-92E9-4571-A9A3-F495D82CC5A7}"/>
    <cellStyle name="Percent 4 3 2 2 2 3" xfId="18056" xr:uid="{CADB427A-8C81-4BB1-9D02-463412ACABC0}"/>
    <cellStyle name="Percent 4 3 2 2 3" xfId="18052" xr:uid="{A464ED89-CA84-49D9-BC33-48F3A37E2BF1}"/>
    <cellStyle name="Percent 4 3 2 3" xfId="18049" xr:uid="{AF5B7605-AF72-433A-A0DD-2F23FA53EF5B}"/>
    <cellStyle name="Percent 4 3 3" xfId="18046" xr:uid="{BD2956C2-F274-415F-824D-093A641FCC5C}"/>
    <cellStyle name="Percent 4 4" xfId="13829" xr:uid="{E685FED8-47FB-459B-B742-5287E0A17F85}"/>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2">
  <autoFilter ref="BD2:BF110"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0" dataDxfId="119" headerRowCellStyle="Normal 16 3" dataCellStyle="Normal 16 3">
  <autoFilter ref="BM8:BM13" xr:uid="{EC5E3245-E94C-4732-9264-A1FF7840F5A2}"/>
  <tableColumns count="1">
    <tableColumn id="1" xr3:uid="{FC9561DE-AB40-4108-8A40-2198A441853F}"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IFERROR(MIN(4,MATCH(Application!B726,UnitSizes,0)-1),"")</calculatedColumnFormula>
    </tableColumn>
    <tableColumn id="3" xr3:uid="{3C170205-C158-4CBB-8CF5-9AF725351349}" name="Quantity" dataDxfId="114" dataCellStyle="Normal 15">
      <calculatedColumnFormula>Application!G726</calculatedColumnFormula>
    </tableColumn>
    <tableColumn id="6" xr3:uid="{7C05B4DE-3AC1-47F3-9C25-D16553367CFA}" name="iAMI" dataDxfId="113" dataCellStyle="Percent">
      <calculatedColumnFormula>Application!AC726</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Row],[Quantity]]&gt;0,AND(Application!AK726&lt;&gt;"N/A",Application!AK726&lt;&gt;"")*Cdlac[[#This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550</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0" t="s">
        <v>1995</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5"/>
    </row>
    <row r="8" spans="1:38">
      <c r="A8" s="204"/>
      <c r="B8" s="204"/>
      <c r="C8" s="205"/>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5"/>
    </row>
    <row r="9" spans="1:38">
      <c r="A9" s="204"/>
      <c r="B9" s="204"/>
      <c r="C9" s="205"/>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0" t="s">
        <v>1996</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5"/>
    </row>
    <row r="12" spans="1:38">
      <c r="A12" s="204"/>
      <c r="B12" s="204"/>
      <c r="C12" s="205"/>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5"/>
    </row>
    <row r="13" spans="1:38">
      <c r="A13" s="204"/>
      <c r="B13" s="204"/>
      <c r="C13" s="205"/>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0" t="s">
        <v>2531</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5"/>
    </row>
    <row r="16" spans="1:38" ht="13.15" customHeight="1">
      <c r="A16" s="204"/>
      <c r="B16" s="204"/>
      <c r="C16" s="205"/>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5"/>
    </row>
    <row r="17" spans="1:38">
      <c r="A17" s="204"/>
      <c r="B17" s="204"/>
      <c r="C17" s="205"/>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5"/>
    </row>
    <row r="18" spans="1:38">
      <c r="A18" s="204"/>
      <c r="B18" s="204"/>
      <c r="C18" s="205"/>
      <c r="D18" s="519" t="s">
        <v>2530</v>
      </c>
      <c r="E18" s="441"/>
      <c r="G18" s="441"/>
      <c r="H18" s="441"/>
      <c r="I18" s="441"/>
      <c r="J18" s="1272" t="s">
        <v>2529</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0" t="s">
        <v>1997</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4"/>
    </row>
    <row r="21" spans="1:38">
      <c r="A21" s="204"/>
      <c r="B21" s="204"/>
      <c r="C21" s="205"/>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4"/>
    </row>
    <row r="22" spans="1:38">
      <c r="A22" s="204"/>
      <c r="B22" s="204"/>
      <c r="C22" s="205"/>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4"/>
    </row>
    <row r="23" spans="1:38" ht="13.15" customHeight="1">
      <c r="A23" s="204"/>
      <c r="B23" s="204"/>
      <c r="C23" s="205"/>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4"/>
    </row>
    <row r="24" spans="1:38">
      <c r="A24" s="204"/>
      <c r="B24" s="204"/>
      <c r="C24" s="205"/>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4"/>
    </row>
    <row r="25" spans="1:38">
      <c r="A25" s="204"/>
      <c r="B25" s="204"/>
      <c r="C25" s="205"/>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4"/>
    </row>
    <row r="26" spans="1:38">
      <c r="A26" s="204"/>
      <c r="B26" s="204"/>
      <c r="C26" s="205"/>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4"/>
    </row>
    <row r="27" spans="1:38">
      <c r="A27" s="204"/>
      <c r="B27" s="204"/>
      <c r="C27" s="205"/>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4"/>
    </row>
    <row r="28" spans="1:38">
      <c r="A28" s="204"/>
      <c r="B28" s="204"/>
      <c r="C28" s="205"/>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0" t="s">
        <v>1998</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4"/>
    </row>
    <row r="31" spans="1:38">
      <c r="A31" s="204"/>
      <c r="B31" s="204"/>
      <c r="C31" s="205"/>
      <c r="D31" s="455"/>
      <c r="E31" s="1278" t="s">
        <v>2609</v>
      </c>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204"/>
    </row>
    <row r="32" spans="1:38">
      <c r="A32" s="4"/>
      <c r="C32" s="2"/>
    </row>
    <row r="33" spans="1:38">
      <c r="A33" s="4"/>
      <c r="D33" s="1271" t="s">
        <v>2098</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77" t="s">
        <v>2610</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0"/>
      <c r="E36" s="1277" t="s">
        <v>2611</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15" customHeight="1">
      <c r="A40" s="4"/>
      <c r="B40"/>
      <c r="C40" s="2"/>
      <c r="D40" s="4"/>
      <c r="E40" s="4" t="s">
        <v>653</v>
      </c>
      <c r="F40" s="1270" t="s">
        <v>1164</v>
      </c>
    </row>
    <row r="41" spans="1:38" s="1270"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5" t="s">
        <v>1246</v>
      </c>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row>
    <row r="44" spans="1:38" s="118" customFormat="1">
      <c r="A44" s="4"/>
      <c r="B44"/>
      <c r="C44" s="2"/>
      <c r="D44" s="4"/>
      <c r="E44" s="4"/>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row>
    <row r="45" spans="1:38" s="118" customFormat="1" ht="13.15" customHeight="1">
      <c r="A45" s="4"/>
      <c r="B45"/>
      <c r="C45" s="2"/>
      <c r="D45" s="4"/>
      <c r="E45" s="4"/>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70" t="s">
        <v>2000</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3" t="s">
        <v>1191</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575</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3" t="s">
        <v>2001</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70" t="s">
        <v>1166</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15" customHeight="1">
      <c r="A67" s="4"/>
      <c r="C67" s="2"/>
      <c r="D67" s="4"/>
      <c r="E67" s="4"/>
      <c r="F67" t="s">
        <v>509</v>
      </c>
      <c r="G67" s="1270" t="s">
        <v>1167</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70" t="s">
        <v>1168</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c r="A72" s="4"/>
      <c r="C72" s="2"/>
      <c r="D72" s="4"/>
      <c r="E72" s="4"/>
      <c r="F72" s="8" t="s">
        <v>509</v>
      </c>
      <c r="G72" s="1270" t="s">
        <v>1169</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0" t="s">
        <v>1170</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0" t="s">
        <v>1171</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80" t="s">
        <v>1172</v>
      </c>
      <c r="H88" s="1280"/>
      <c r="I88" s="1280"/>
      <c r="J88" s="1280"/>
      <c r="K88" s="1280"/>
      <c r="L88" s="1280"/>
      <c r="M88" s="1280"/>
      <c r="N88" s="1280"/>
      <c r="O88" s="1280"/>
      <c r="P88" s="1280"/>
      <c r="Q88" s="1280"/>
      <c r="R88" s="1280"/>
      <c r="S88" s="1280"/>
      <c r="T88" s="1280"/>
      <c r="U88" s="1280"/>
      <c r="V88" s="1280"/>
      <c r="W88" s="1280"/>
      <c r="X88" s="1280"/>
      <c r="Y88" s="1280"/>
      <c r="Z88" s="1280"/>
      <c r="AA88" s="1280"/>
      <c r="AB88" s="1280"/>
      <c r="AC88" s="1280"/>
      <c r="AD88" s="1280"/>
      <c r="AE88" s="1280"/>
      <c r="AF88" s="1280"/>
      <c r="AG88" s="1280"/>
      <c r="AH88" s="1280"/>
      <c r="AI88" s="1280"/>
      <c r="AJ88" s="1280"/>
      <c r="AK88" s="1280"/>
    </row>
    <row r="89" spans="1:37">
      <c r="A89" s="4"/>
      <c r="C89" s="2"/>
      <c r="D89" s="4"/>
      <c r="E89" s="4"/>
      <c r="G89" s="1280"/>
      <c r="H89" s="1280"/>
      <c r="I89" s="1280"/>
      <c r="J89" s="1280"/>
      <c r="K89" s="1280"/>
      <c r="L89" s="1280"/>
      <c r="M89" s="1280"/>
      <c r="N89" s="1280"/>
      <c r="O89" s="1280"/>
      <c r="P89" s="1280"/>
      <c r="Q89" s="1280"/>
      <c r="R89" s="1280"/>
      <c r="S89" s="1280"/>
      <c r="T89" s="1280"/>
      <c r="U89" s="1280"/>
      <c r="V89" s="1280"/>
      <c r="W89" s="1280"/>
      <c r="X89" s="1280"/>
      <c r="Y89" s="1280"/>
      <c r="Z89" s="1280"/>
      <c r="AA89" s="1280"/>
      <c r="AB89" s="1280"/>
      <c r="AC89" s="1280"/>
      <c r="AD89" s="1280"/>
      <c r="AE89" s="1280"/>
      <c r="AF89" s="1280"/>
      <c r="AG89" s="1280"/>
      <c r="AH89" s="1280"/>
      <c r="AI89" s="1280"/>
      <c r="AJ89" s="1280"/>
      <c r="AK89" s="1280"/>
    </row>
    <row r="90" spans="1:37">
      <c r="A90" s="4"/>
      <c r="C90" s="2"/>
      <c r="D90" s="4"/>
      <c r="E90" s="4"/>
      <c r="G90" s="1280"/>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0" t="s">
        <v>1173</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70" t="s">
        <v>1174</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D98" s="99"/>
      <c r="E98" s="1281" t="s">
        <v>1175</v>
      </c>
      <c r="F98" s="1281"/>
      <c r="G98" s="1281"/>
      <c r="H98" s="1281"/>
      <c r="I98" s="1281"/>
      <c r="J98" s="1281"/>
      <c r="K98" s="1281"/>
      <c r="L98" s="1281"/>
      <c r="M98" s="1281"/>
      <c r="N98" s="1281"/>
      <c r="O98" s="1281"/>
      <c r="P98" s="1281"/>
      <c r="Q98" s="1281"/>
      <c r="R98" s="1281"/>
      <c r="S98" s="1281"/>
      <c r="T98" s="1281"/>
      <c r="U98" s="1281"/>
      <c r="V98" s="1281"/>
      <c r="W98" s="1281"/>
      <c r="X98" s="1281"/>
      <c r="Y98" s="1281"/>
      <c r="Z98" s="1281"/>
      <c r="AA98" s="1281"/>
      <c r="AB98" s="1281"/>
      <c r="AC98" s="1281"/>
      <c r="AD98" s="1281"/>
      <c r="AE98" s="1281"/>
      <c r="AF98" s="1281"/>
      <c r="AG98" s="1281"/>
      <c r="AH98" s="1281"/>
      <c r="AI98" s="1281"/>
      <c r="AJ98" s="1281"/>
      <c r="AK98" s="1281"/>
    </row>
    <row r="99" spans="1:38">
      <c r="A99" s="4"/>
      <c r="D99" s="99"/>
      <c r="E99" s="1281"/>
      <c r="F99" s="1281"/>
      <c r="G99" s="1281"/>
      <c r="H99" s="1281"/>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1"/>
      <c r="AI99" s="1281"/>
      <c r="AJ99" s="1281"/>
      <c r="AK99" s="128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70" t="s">
        <v>1176</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70" t="s">
        <v>1155</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3" t="s">
        <v>1235</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70" t="s">
        <v>1237</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t="s">
        <v>113</v>
      </c>
      <c r="F350" s="1270" t="s">
        <v>1236</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6" customFormat="1">
      <c r="A367"/>
      <c r="B367" s="2"/>
      <c r="C367"/>
      <c r="D367"/>
      <c r="E367" s="1275" t="s">
        <v>1258</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0" t="s">
        <v>1269</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85" zoomScaleNormal="85" workbookViewId="0">
      <selection activeCell="I32" sqref="I32"/>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2" t="s">
        <v>1574</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109586366</v>
      </c>
      <c r="I3" s="1099"/>
    </row>
    <row r="4" spans="1:13" s="1046" customFormat="1" ht="20.100000000000001" customHeight="1">
      <c r="B4" s="1088"/>
      <c r="D4" s="1102"/>
      <c r="F4" s="1087" t="s">
        <v>1965</v>
      </c>
      <c r="G4" s="1086" t="s">
        <v>1964</v>
      </c>
      <c r="H4" s="1201">
        <f>I18</f>
        <v>40644843.949285716</v>
      </c>
      <c r="I4" s="1089"/>
      <c r="K4" s="1050"/>
    </row>
    <row r="5" spans="1:13" s="1046" customFormat="1" ht="20.100000000000001" customHeight="1" thickBot="1">
      <c r="B5" s="1090"/>
      <c r="C5" s="1091"/>
      <c r="D5" s="1103"/>
      <c r="E5" s="1092"/>
      <c r="F5" s="1103" t="s">
        <v>1915</v>
      </c>
      <c r="G5" s="1104"/>
      <c r="H5" s="1100">
        <f>IFERROR(H3/H4,0)</f>
        <v>2.6961935476178853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1913</v>
      </c>
      <c r="C8" s="2666"/>
      <c r="D8" s="2666"/>
      <c r="E8" s="2667"/>
      <c r="G8" s="2668" t="s">
        <v>1914</v>
      </c>
      <c r="H8" s="2669"/>
      <c r="I8" s="2670"/>
      <c r="K8" s="1052"/>
    </row>
    <row r="9" spans="1:13" ht="15" customHeight="1">
      <c r="A9" s="1041"/>
      <c r="B9" s="2663" t="s">
        <v>1947</v>
      </c>
      <c r="C9" s="2663"/>
      <c r="D9" s="2663"/>
      <c r="E9" s="1054">
        <f>G33</f>
        <v>21087500</v>
      </c>
      <c r="G9" s="2659" t="s">
        <v>1945</v>
      </c>
      <c r="H9" s="2659"/>
      <c r="I9" s="1055">
        <f>MAX(SUMIF(Application!M562:M573,"Loan, Tax-Exempt",Application!AM562:AM573),27.5%*SUM('Sources and Uses Budget'!C8,'Sources and Uses Budget'!S105,'Sources and Uses Budget'!T105))</f>
        <v>39598317</v>
      </c>
      <c r="K9" s="1056"/>
      <c r="M9" s="1057"/>
    </row>
    <row r="10" spans="1:13" ht="15" customHeight="1" thickBot="1">
      <c r="A10" s="1041"/>
      <c r="B10" s="2663" t="s">
        <v>1948</v>
      </c>
      <c r="C10" s="2663"/>
      <c r="D10" s="2663"/>
      <c r="E10" s="1055">
        <f>G47</f>
        <v>52597115.999999993</v>
      </c>
      <c r="G10" s="2661" t="s">
        <v>1916</v>
      </c>
      <c r="H10" s="2661"/>
      <c r="I10" s="1134">
        <f>IF(OR(Application!Z205="State Farmworker Credit",Application!Z205="$500M (Farmworker Housing)"),0,'Basis &amp; Credits'!AB78)</f>
        <v>0</v>
      </c>
      <c r="M10" s="1057"/>
    </row>
    <row r="11" spans="1:13" ht="15" customHeight="1">
      <c r="A11" s="1041"/>
      <c r="B11" s="2672" t="s">
        <v>2212</v>
      </c>
      <c r="C11" s="2673"/>
      <c r="D11" s="2674"/>
      <c r="E11" s="1055">
        <f>SUM(E13,E12)</f>
        <v>1740000</v>
      </c>
      <c r="G11" s="2671" t="s">
        <v>1956</v>
      </c>
      <c r="H11" s="2671"/>
      <c r="I11" s="1133">
        <f>I9+I10</f>
        <v>39598317</v>
      </c>
      <c r="M11" s="1057"/>
    </row>
    <row r="12" spans="1:13" ht="15" customHeight="1">
      <c r="A12" s="1058"/>
      <c r="B12" s="2664" t="s">
        <v>2575</v>
      </c>
      <c r="C12" s="2664"/>
      <c r="D12" s="2664"/>
      <c r="E12" s="1158">
        <f>G56</f>
        <v>1740000</v>
      </c>
      <c r="M12" s="1057"/>
    </row>
    <row r="13" spans="1:13" ht="15" customHeight="1">
      <c r="A13" s="1044"/>
      <c r="B13" s="2664" t="s">
        <v>2576</v>
      </c>
      <c r="C13" s="2664"/>
      <c r="D13" s="2664"/>
      <c r="E13" s="1158">
        <f>IF(G67,MAX(G65,G79),G65)</f>
        <v>0</v>
      </c>
      <c r="G13" s="2668" t="s">
        <v>1979</v>
      </c>
      <c r="H13" s="2669"/>
      <c r="I13" s="2670"/>
    </row>
    <row r="14" spans="1:13" ht="15" customHeight="1">
      <c r="A14" s="1044"/>
      <c r="B14" s="2672" t="s">
        <v>2213</v>
      </c>
      <c r="C14" s="2673"/>
      <c r="D14" s="2674"/>
      <c r="E14" s="1160">
        <f>MAX(E15,E16)+E17</f>
        <v>34161750</v>
      </c>
      <c r="G14" s="2659" t="s">
        <v>2592</v>
      </c>
      <c r="H14" s="2659"/>
      <c r="I14" s="1059">
        <f>IF(AND(G134="Yes",G136&lt;&gt;""),IF(OR(G141="Yes",G145="Yes"),18%,15%),0)</f>
        <v>0</v>
      </c>
      <c r="M14" s="1057"/>
    </row>
    <row r="15" spans="1:13" ht="15" customHeight="1">
      <c r="A15" s="1044"/>
      <c r="B15" s="2675" t="s">
        <v>2589</v>
      </c>
      <c r="C15" s="2676"/>
      <c r="D15" s="2677"/>
      <c r="E15" s="1158">
        <f>G94</f>
        <v>0</v>
      </c>
      <c r="G15" s="1131" t="s">
        <v>1957</v>
      </c>
      <c r="H15" s="1131"/>
      <c r="I15" s="1059">
        <f>IF(Application!AJ1041&gt;0,10%,IF(Application!AJ1045&gt;0,5%,0))</f>
        <v>0</v>
      </c>
      <c r="M15" s="1057"/>
    </row>
    <row r="16" spans="1:13" ht="15" customHeight="1">
      <c r="A16" s="1044"/>
      <c r="B16" s="2675" t="s">
        <v>2590</v>
      </c>
      <c r="C16" s="2676"/>
      <c r="D16" s="2677"/>
      <c r="E16" s="1158">
        <f>G104</f>
        <v>8435000</v>
      </c>
      <c r="G16" s="2659" t="s">
        <v>1958</v>
      </c>
      <c r="H16" s="2659"/>
      <c r="I16" s="1059">
        <f>G155</f>
        <v>-2.642857142857143E-2</v>
      </c>
    </row>
    <row r="17" spans="1:21" ht="15" customHeight="1" thickBot="1">
      <c r="A17" s="1044"/>
      <c r="B17" s="2675" t="s">
        <v>2591</v>
      </c>
      <c r="C17" s="2676"/>
      <c r="D17" s="2677"/>
      <c r="E17" s="1158">
        <f>G129</f>
        <v>25726750</v>
      </c>
      <c r="G17" s="2659" t="s">
        <v>2221</v>
      </c>
      <c r="H17" s="2659"/>
      <c r="I17" s="1059">
        <f>IF(AND(G161="Yes",G159),IF(G165&gt;15%,15%,G165),0)</f>
        <v>0</v>
      </c>
    </row>
    <row r="18" spans="1:21" ht="15" customHeight="1">
      <c r="A18" s="1041"/>
      <c r="B18" s="2660" t="s">
        <v>1912</v>
      </c>
      <c r="C18" s="2660"/>
      <c r="D18" s="2660"/>
      <c r="E18" s="1105">
        <f>SUM(E9:E11,E14)</f>
        <v>109586366</v>
      </c>
      <c r="G18" s="1132" t="s">
        <v>1946</v>
      </c>
      <c r="H18" s="1132"/>
      <c r="I18" s="1106">
        <f>I11-((I11*I14)+(I11*I15)+(I11*I16)+(I11*I17))</f>
        <v>40644843.949285716</v>
      </c>
      <c r="M18" s="1060">
        <f>SUM(Cdlac[Quantity])</f>
        <v>344</v>
      </c>
      <c r="O18" s="1079" t="s">
        <v>582</v>
      </c>
      <c r="P18" s="1039">
        <f>MATCH(Application!T189,Application!CB160:CB217,0)</f>
        <v>34</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32</v>
      </c>
      <c r="N20" s="1066">
        <f>Application!AC726</f>
        <v>0.3</v>
      </c>
      <c r="O20" s="1066">
        <f>IF(Cdlac[[#This Row],[Quantity]]&gt;0,IF(Cdlac[[#This Row],[Federal]],30%,IF(AND(OR(NOT($G$38),$G$38=""),$G$43),40%,Cdlac[[#This Row],[iAMI]])),"")</f>
        <v>0.3</v>
      </c>
      <c r="P20" s="1060" cm="1">
        <f t="array" ref="P20">IF(Cdlac[[#This Row],[Quantity]]&gt;0,INDEX(TcacRents,$P$18,Cdlac[[#This Row],[Bedrooms]]+1)*Cdlac[[#This Row],[AMI]],"")</f>
        <v>723.6</v>
      </c>
      <c r="Q20" s="1157"/>
      <c r="R20" s="1060" cm="1">
        <f t="array" ref="R20">IF(Cdlac[[#This Row],[Quantity]]&gt;0,INDEX(HudFmrs,$P$18,Cdlac[[#This Row],[Bedrooms]]+1),"")</f>
        <v>1777</v>
      </c>
      <c r="S20" s="1060">
        <f>IF(Cdlac[[#This Row],[Quantity]]&gt;0,MAX(0,Cdlac[[#This Row],[Fair Market Rent]]-IF(AND($G$37,$G$38,$G$38&lt;&gt;"",NOT(Cdlac[[#This Row],[Federal]]),Cdlac[[#This Row],[Preservation Rent]]&lt;&gt;""),Cdlac[[#This Row],[Preservation Rent]],Cdlac[[#This Row],[Restricted Rent]])),"")</f>
        <v>1053.4000000000001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12</v>
      </c>
      <c r="N21" s="1066">
        <f>Application!AC727</f>
        <v>0.5</v>
      </c>
      <c r="O21" s="1066">
        <f>IF(Cdlac[[#This Row],[Quantity]]&gt;0,IF(Cdlac[[#This Row],[Federal]],30%,IF(AND(OR(NOT($G$38),$G$38=""),$G$43),40%,Cdlac[[#This Row],[iAMI]])),"")</f>
        <v>0.5</v>
      </c>
      <c r="P21" s="1060" cm="1">
        <f t="array" ref="P21">IF(Cdlac[[#This Row],[Quantity]]&gt;0,INDEX(TcacRents,$P$18,Cdlac[[#This Row],[Bedrooms]]+1)*Cdlac[[#This Row],[AMI]],"")</f>
        <v>1206</v>
      </c>
      <c r="Q21" s="1157"/>
      <c r="R21" s="1060" cm="1">
        <f t="array" ref="R21">IF(Cdlac[[#This Row],[Quantity]]&gt;0,INDEX(HudFmrs,$P$18,Cdlac[[#This Row],[Bedrooms]]+1),"")</f>
        <v>1777</v>
      </c>
      <c r="S21" s="1060">
        <f>IF(Cdlac[[#This Row],[Quantity]]&gt;0,MAX(0,Cdlac[[#This Row],[Fair Market Rent]]-IF(AND($G$37,$G$38,$G$38&lt;&gt;"",NOT(Cdlac[[#This Row],[Federal]]),Cdlac[[#This Row],[Preservation Rent]]&lt;&gt;""),Cdlac[[#This Row],[Preservation Rent]],Cdlac[[#This Row],[Restricted Rent]])),"")</f>
        <v>571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9" t="s">
        <v>1960</v>
      </c>
      <c r="D22" s="2649" t="s">
        <v>1961</v>
      </c>
      <c r="E22" s="2649" t="s">
        <v>1962</v>
      </c>
      <c r="F22" s="2649" t="s">
        <v>2536</v>
      </c>
      <c r="G22" s="2649" t="s">
        <v>1959</v>
      </c>
      <c r="H22" s="1065"/>
      <c r="I22" s="1064"/>
      <c r="L22" s="1039">
        <f>IFERROR(MIN(4,MATCH(Application!B728,UnitSizes,0)-1),"")</f>
        <v>1</v>
      </c>
      <c r="M22" s="1060">
        <f>Application!G728</f>
        <v>86</v>
      </c>
      <c r="N22" s="1066">
        <f>Application!AC728</f>
        <v>0.6</v>
      </c>
      <c r="O22" s="1066">
        <f>IF(Cdlac[[#This Row],[Quantity]]&gt;0,IF(Cdlac[[#This Row],[Federal]],30%,IF(AND(OR(NOT($G$38),$G$38=""),$G$43),40%,Cdlac[[#This Row],[iAMI]])),"")</f>
        <v>0.6</v>
      </c>
      <c r="P22" s="1060" cm="1">
        <f t="array" ref="P22">IF(Cdlac[[#This Row],[Quantity]]&gt;0,INDEX(TcacRents,$P$18,Cdlac[[#This Row],[Bedrooms]]+1)*Cdlac[[#This Row],[AMI]],"")</f>
        <v>1447.2</v>
      </c>
      <c r="Q22" s="1157"/>
      <c r="R22" s="1060" cm="1">
        <f t="array" ref="R22">IF(Cdlac[[#This Row],[Quantity]]&gt;0,INDEX(HudFmrs,$P$18,Cdlac[[#This Row],[Bedrooms]]+1),"")</f>
        <v>1777</v>
      </c>
      <c r="S22" s="1060">
        <f>IF(Cdlac[[#This Row],[Quantity]]&gt;0,MAX(0,Cdlac[[#This Row],[Fair Market Rent]]-IF(AND($G$37,$G$38,$G$38&lt;&gt;"",NOT(Cdlac[[#This Row],[Federal]]),Cdlac[[#This Row],[Preservation Rent]]&lt;&gt;""),Cdlac[[#This Row],[Preservation Rent]],Cdlac[[#This Row],[Restricted Rent]])),"")</f>
        <v>329.79999999999995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0"/>
      <c r="D23" s="2650"/>
      <c r="E23" s="2650"/>
      <c r="F23" s="2650"/>
      <c r="G23" s="2650"/>
      <c r="H23" s="1065"/>
      <c r="I23" s="1064"/>
      <c r="L23" s="1039">
        <f>IFERROR(MIN(4,MATCH(Application!B729,UnitSizes,0)-1),"")</f>
        <v>2</v>
      </c>
      <c r="M23" s="1060">
        <f>Application!G729</f>
        <v>45</v>
      </c>
      <c r="N23" s="1066">
        <f>Application!AC729</f>
        <v>0.3</v>
      </c>
      <c r="O23" s="1066">
        <f>IF(Cdlac[[#This Row],[Quantity]]&gt;0,IF(Cdlac[[#This Row],[Federal]],30%,IF(AND(OR(NOT($G$38),$G$38=""),$G$43),40%,Cdlac[[#This Row],[iAMI]])),"")</f>
        <v>0.3</v>
      </c>
      <c r="P23" s="1060" cm="1">
        <f t="array" ref="P23">IF(Cdlac[[#This Row],[Quantity]]&gt;0,INDEX(TcacRents,$P$18,Cdlac[[#This Row],[Bedrooms]]+1)*Cdlac[[#This Row],[AMI]],"")</f>
        <v>868.19999999999993</v>
      </c>
      <c r="Q23" s="1157"/>
      <c r="R23" s="1060" cm="1">
        <f t="array" ref="R23">IF(Cdlac[[#This Row],[Quantity]]&gt;0,INDEX(HudFmrs,$P$18,Cdlac[[#This Row],[Bedrooms]]+1),"")</f>
        <v>2206</v>
      </c>
      <c r="S23" s="1060">
        <f>IF(Cdlac[[#This Row],[Quantity]]&gt;0,MAX(0,Cdlac[[#This Row],[Fair Market Rent]]-IF(AND($G$37,$G$38,$G$38&lt;&gt;"",NOT(Cdlac[[#This Row],[Federal]]),Cdlac[[#This Row],[Preservation Rent]]&lt;&gt;""),Cdlac[[#This Row],[Preservation Rent]],Cdlac[[#This Row],[Restricted Rent]])),"")</f>
        <v>1337.8000000000002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12</v>
      </c>
      <c r="N24" s="1066">
        <f>Application!AC730</f>
        <v>0.5</v>
      </c>
      <c r="O24" s="1066">
        <f>IF(Cdlac[[#This Row],[Quantity]]&gt;0,IF(Cdlac[[#This Row],[Federal]],30%,IF(AND(OR(NOT($G$38),$G$38=""),$G$43),40%,Cdlac[[#This Row],[iAMI]])),"")</f>
        <v>0.5</v>
      </c>
      <c r="P24" s="1060" cm="1">
        <f t="array" ref="P24">IF(Cdlac[[#This Row],[Quantity]]&gt;0,INDEX(TcacRents,$P$18,Cdlac[[#This Row],[Bedrooms]]+1)*Cdlac[[#This Row],[AMI]],"")</f>
        <v>1447</v>
      </c>
      <c r="Q24" s="1157"/>
      <c r="R24" s="1060" cm="1">
        <f t="array" ref="R24">IF(Cdlac[[#This Row],[Quantity]]&gt;0,INDEX(HudFmrs,$P$18,Cdlac[[#This Row],[Bedrooms]]+1),"")</f>
        <v>2206</v>
      </c>
      <c r="S24" s="1060">
        <f>IF(Cdlac[[#This Row],[Quantity]]&gt;0,MAX(0,Cdlac[[#This Row],[Fair Market Rent]]-IF(AND($G$37,$G$38,$G$38&lt;&gt;"",NOT(Cdlac[[#This Row],[Federal]]),Cdlac[[#This Row],[Preservation Rent]]&lt;&gt;""),Cdlac[[#This Row],[Preservation Rent]],Cdlac[[#This Row],[Restricted Rent]])),"")</f>
        <v>759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130</v>
      </c>
      <c r="F25" s="1067">
        <f>E25</f>
        <v>130</v>
      </c>
      <c r="G25" s="1067">
        <f>D25*F25</f>
        <v>130</v>
      </c>
      <c r="L25" s="1039">
        <f>IFERROR(MIN(4,MATCH(Application!B731,UnitSizes,0)-1),"")</f>
        <v>2</v>
      </c>
      <c r="M25" s="1060">
        <f>Application!G731</f>
        <v>60</v>
      </c>
      <c r="N25" s="1066">
        <f>Application!AC731</f>
        <v>0.6</v>
      </c>
      <c r="O25" s="1066">
        <f>IF(Cdlac[[#This Row],[Quantity]]&gt;0,IF(Cdlac[[#This Row],[Federal]],30%,IF(AND(OR(NOT($G$38),$G$38=""),$G$43),40%,Cdlac[[#This Row],[iAMI]])),"")</f>
        <v>0.6</v>
      </c>
      <c r="P25" s="1060" cm="1">
        <f t="array" ref="P25">IF(Cdlac[[#This Row],[Quantity]]&gt;0,INDEX(TcacRents,$P$18,Cdlac[[#This Row],[Bedrooms]]+1)*Cdlac[[#This Row],[AMI]],"")</f>
        <v>1736.3999999999999</v>
      </c>
      <c r="Q25" s="1157"/>
      <c r="R25" s="1060" cm="1">
        <f t="array" ref="R25">IF(Cdlac[[#This Row],[Quantity]]&gt;0,INDEX(HudFmrs,$P$18,Cdlac[[#This Row],[Bedrooms]]+1),"")</f>
        <v>2206</v>
      </c>
      <c r="S25" s="1060">
        <f>IF(Cdlac[[#This Row],[Quantity]]&gt;0,MAX(0,Cdlac[[#This Row],[Fair Market Rent]]-IF(AND($G$37,$G$38,$G$38&lt;&gt;"",NOT(Cdlac[[#This Row],[Federal]]),Cdlac[[#This Row],[Preservation Rent]]&lt;&gt;""),Cdlac[[#This Row],[Preservation Rent]],Cdlac[[#This Row],[Restricted Rent]])),"")</f>
        <v>469.60000000000014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117</v>
      </c>
      <c r="F26" s="1070">
        <f>SUM(E26:E28)-SUM(F27:F28)</f>
        <v>117</v>
      </c>
      <c r="G26" s="1067">
        <f>D26*F26</f>
        <v>146.25</v>
      </c>
      <c r="H26" s="1069"/>
      <c r="I26" s="1069"/>
      <c r="L26" s="1039">
        <f>IFERROR(MIN(4,MATCH(Application!B732,UnitSizes,0)-1),"")</f>
        <v>3</v>
      </c>
      <c r="M26" s="1060">
        <f>Application!G732</f>
        <v>10</v>
      </c>
      <c r="N26" s="1066">
        <f>Application!AC732</f>
        <v>0.3</v>
      </c>
      <c r="O26" s="1066">
        <f>IF(Cdlac[[#This Row],[Quantity]]&gt;0,IF(Cdlac[[#This Row],[Federal]],30%,IF(AND(OR(NOT($G$38),$G$38=""),$G$43),40%,Cdlac[[#This Row],[iAMI]])),"")</f>
        <v>0.3</v>
      </c>
      <c r="P26" s="1060" cm="1">
        <f t="array" ref="P26">IF(Cdlac[[#This Row],[Quantity]]&gt;0,INDEX(TcacRents,$P$18,Cdlac[[#This Row],[Bedrooms]]+1)*Cdlac[[#This Row],[AMI]],"")</f>
        <v>1002.5999999999999</v>
      </c>
      <c r="Q26" s="1157"/>
      <c r="R26" s="1060" cm="1">
        <f t="array" ref="R26">IF(Cdlac[[#This Row],[Quantity]]&gt;0,INDEX(HudFmrs,$P$18,Cdlac[[#This Row],[Bedrooms]]+1),"")</f>
        <v>2992</v>
      </c>
      <c r="S26" s="1060">
        <f>IF(Cdlac[[#This Row],[Quantity]]&gt;0,MAX(0,Cdlac[[#This Row],[Fair Market Rent]]-IF(AND($G$37,$G$38,$G$38&lt;&gt;"",NOT(Cdlac[[#This Row],[Federal]]),Cdlac[[#This Row],[Preservation Rent]]&lt;&gt;""),Cdlac[[#This Row],[Preservation Rent]],Cdlac[[#This Row],[Restricted Rent]])),"")</f>
        <v>1989.4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97</v>
      </c>
      <c r="F27" s="1070">
        <f>MIN(E27,ROUNDDOWN(E29*30%,0))</f>
        <v>97</v>
      </c>
      <c r="G27" s="1067">
        <f>D27*F27</f>
        <v>145.5</v>
      </c>
      <c r="H27" s="1069"/>
      <c r="I27" s="1069"/>
      <c r="L27" s="1039">
        <f>IFERROR(MIN(4,MATCH(Application!B733,UnitSizes,0)-1),"")</f>
        <v>3</v>
      </c>
      <c r="M27" s="1060">
        <f>Application!G733</f>
        <v>60</v>
      </c>
      <c r="N27" s="1066">
        <f>Application!AC733</f>
        <v>0.5</v>
      </c>
      <c r="O27" s="1066">
        <f>IF(Cdlac[[#This Row],[Quantity]]&gt;0,IF(Cdlac[[#This Row],[Federal]],30%,IF(AND(OR(NOT($G$38),$G$38=""),$G$43),40%,Cdlac[[#This Row],[iAMI]])),"")</f>
        <v>0.5</v>
      </c>
      <c r="P27" s="1060" cm="1">
        <f t="array" ref="P27">IF(Cdlac[[#This Row],[Quantity]]&gt;0,INDEX(TcacRents,$P$18,Cdlac[[#This Row],[Bedrooms]]+1)*Cdlac[[#This Row],[AMI]],"")</f>
        <v>1671</v>
      </c>
      <c r="Q27" s="1157"/>
      <c r="R27" s="1060" cm="1">
        <f t="array" ref="R27">IF(Cdlac[[#This Row],[Quantity]]&gt;0,INDEX(HudFmrs,$P$18,Cdlac[[#This Row],[Bedrooms]]+1),"")</f>
        <v>2992</v>
      </c>
      <c r="S27" s="1060">
        <f>IF(Cdlac[[#This Row],[Quantity]]&gt;0,MAX(0,Cdlac[[#This Row],[Fair Market Rent]]-IF(AND($G$37,$G$38,$G$38&lt;&gt;"",NOT(Cdlac[[#This Row],[Federal]]),Cdlac[[#This Row],[Preservation Rent]]&lt;&gt;""),Cdlac[[#This Row],[Preservation Rent]],Cdlac[[#This Row],[Restricted Rent]])),"")</f>
        <v>1321</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27</v>
      </c>
      <c r="N28" s="1066">
        <f>Application!AC734</f>
        <v>0.6</v>
      </c>
      <c r="O28" s="1066">
        <f>IF(Cdlac[[#This Row],[Quantity]]&gt;0,IF(Cdlac[[#This Row],[Federal]],30%,IF(AND(OR(NOT($G$38),$G$38=""),$G$43),40%,Cdlac[[#This Row],[iAMI]])),"")</f>
        <v>0.6</v>
      </c>
      <c r="P28" s="1060" cm="1">
        <f t="array" ref="P28">IF(Cdlac[[#This Row],[Quantity]]&gt;0,INDEX(TcacRents,$P$18,Cdlac[[#This Row],[Bedrooms]]+1)*Cdlac[[#This Row],[AMI]],"")</f>
        <v>2005.1999999999998</v>
      </c>
      <c r="Q28" s="1157"/>
      <c r="R28" s="1060" cm="1">
        <f t="array" ref="R28">IF(Cdlac[[#This Row],[Quantity]]&gt;0,INDEX(HudFmrs,$P$18,Cdlac[[#This Row],[Bedrooms]]+1),"")</f>
        <v>2992</v>
      </c>
      <c r="S28" s="1060">
        <f>IF(Cdlac[[#This Row],[Quantity]]&gt;0,MAX(0,Cdlac[[#This Row],[Fair Market Rent]]-IF(AND($G$37,$G$38,$G$38&lt;&gt;"",NOT(Cdlac[[#This Row],[Federal]]),Cdlac[[#This Row],[Preservation Rent]]&lt;&gt;""),Cdlac[[#This Row],[Preservation Rent]],Cdlac[[#This Row],[Restricted Rent]])),"")</f>
        <v>986.80000000000018</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9" t="s">
        <v>1575</v>
      </c>
      <c r="D29" s="2680"/>
      <c r="E29" s="1084">
        <f>SUM(E24:E28)</f>
        <v>344</v>
      </c>
      <c r="F29" s="1084">
        <f>SUM(F24:F28)</f>
        <v>344</v>
      </c>
      <c r="G29" s="1085">
        <f>SUMPRODUCT(D24:D28,F24:F28)</f>
        <v>421.75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421.75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21087500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0.49970930232558131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292206.19999999995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52597115.999999993</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87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172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87</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1740000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172</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51" t="s">
        <v>1943</v>
      </c>
      <c r="M83" s="2652"/>
      <c r="N83" s="1125">
        <v>30000</v>
      </c>
    </row>
    <row r="84" spans="2:14" ht="15" customHeight="1">
      <c r="C84" s="1072" t="s">
        <v>1955</v>
      </c>
      <c r="G84" s="1076" t="str">
        <f>IF(Application!D211="Large Family","Yes","No")</f>
        <v>Yes</v>
      </c>
      <c r="L84" s="2655" t="s">
        <v>1911</v>
      </c>
      <c r="M84" s="2656"/>
      <c r="N84" s="1126">
        <v>20000</v>
      </c>
    </row>
    <row r="85" spans="2:14" ht="15" customHeight="1" thickBot="1">
      <c r="C85" s="1072" t="s">
        <v>1941</v>
      </c>
      <c r="G85" s="1038" t="s">
        <v>669</v>
      </c>
      <c r="L85" s="2657" t="s">
        <v>1944</v>
      </c>
      <c r="M85" s="2658"/>
      <c r="N85" s="1127">
        <v>10000</v>
      </c>
    </row>
    <row r="86" spans="2:14" ht="15" customHeight="1" thickBot="1">
      <c r="C86" s="1072" t="s">
        <v>1942</v>
      </c>
      <c r="G86" s="1039" t="str">
        <f>Application!T193</f>
        <v>Low Resource</v>
      </c>
    </row>
    <row r="87" spans="2:14" ht="15" customHeight="1">
      <c r="C87" s="2685" t="s">
        <v>2211</v>
      </c>
      <c r="D87" s="2685"/>
      <c r="E87" s="2685"/>
      <c r="F87" s="2685"/>
      <c r="G87" s="1038" t="s">
        <v>669</v>
      </c>
      <c r="L87" s="1121" t="str">
        <f>'Points System'!H651</f>
        <v>(i)</v>
      </c>
      <c r="M87" s="2653" t="s">
        <v>1397</v>
      </c>
      <c r="N87" s="2654"/>
    </row>
    <row r="88" spans="2:14" ht="15" customHeight="1">
      <c r="C88" s="2685"/>
      <c r="D88" s="2685"/>
      <c r="E88" s="2685"/>
      <c r="F88" s="2685"/>
      <c r="L88" s="1122" t="str">
        <f>'Points System'!H663</f>
        <v>(ii)</v>
      </c>
      <c r="M88" s="2645" t="s">
        <v>1930</v>
      </c>
      <c r="N88" s="2646"/>
    </row>
    <row r="89" spans="2:14" ht="15" customHeight="1">
      <c r="C89" s="1072"/>
      <c r="L89" s="1122" t="str">
        <f>'Points System'!H698</f>
        <v>(ii)</v>
      </c>
      <c r="M89" s="2645" t="s">
        <v>1931</v>
      </c>
      <c r="N89" s="2646"/>
    </row>
    <row r="90" spans="2:14" ht="15" customHeight="1">
      <c r="E90" s="1079" t="s">
        <v>1973</v>
      </c>
      <c r="G90" s="1074" t="b">
        <f>OR(AND(COUNTIFS(G84:G85,"Yes")&gt;=1,G83="Yes"),G87="Yes")</f>
        <v>1</v>
      </c>
      <c r="L90" s="1122" t="str">
        <f>IF(OR('Points System'!H722="(ii)",'Points System'!H722="(i)"),"(i)","N/A")</f>
        <v>(i)</v>
      </c>
      <c r="M90" s="2645" t="s">
        <v>1932</v>
      </c>
      <c r="N90" s="2646"/>
    </row>
    <row r="91" spans="2:14" ht="15" customHeight="1">
      <c r="E91" s="1079"/>
      <c r="G91" s="1074"/>
      <c r="L91" s="1123" t="str">
        <f>'Points System'!H736</f>
        <v>N/A</v>
      </c>
      <c r="M91" s="2645" t="s">
        <v>1423</v>
      </c>
      <c r="N91" s="2646"/>
    </row>
    <row r="92" spans="2:14" ht="15" customHeight="1">
      <c r="E92" s="1079" t="s">
        <v>1918</v>
      </c>
      <c r="G92" s="1073">
        <f>IFERROR(IF($G$87="Yes",30000,INDEX(N83:N85,MATCH(LEFT(G86,17),L83:L85,0))),0)</f>
        <v>0</v>
      </c>
      <c r="L92" s="1122" t="str">
        <f>'Points System'!H748</f>
        <v>N/A</v>
      </c>
      <c r="M92" s="2645" t="s">
        <v>1933</v>
      </c>
      <c r="N92" s="2646"/>
    </row>
    <row r="93" spans="2:14" ht="15" customHeight="1">
      <c r="E93" s="1079" t="str">
        <f>E110</f>
        <v>Bedroom-Adjusted Low-Income Units</v>
      </c>
      <c r="F93" s="1107" t="s">
        <v>1966</v>
      </c>
      <c r="G93" s="1108">
        <f>G29</f>
        <v>421.75</v>
      </c>
      <c r="L93" s="1122" t="str">
        <f>'Points System'!H764</f>
        <v>N/A</v>
      </c>
      <c r="M93" s="2645" t="s">
        <v>1934</v>
      </c>
      <c r="N93" s="2646"/>
    </row>
    <row r="94" spans="2:14" ht="15" customHeight="1" thickBot="1">
      <c r="D94" s="1041"/>
      <c r="E94" s="1112" t="s">
        <v>2214</v>
      </c>
      <c r="F94" s="1041"/>
      <c r="G94" s="1117">
        <f>G93*G92*G90</f>
        <v>0</v>
      </c>
      <c r="L94" s="1124" t="str">
        <f>'Points System'!H776</f>
        <v>(ii)</v>
      </c>
      <c r="M94" s="2647" t="s">
        <v>1426</v>
      </c>
      <c r="N94" s="264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421.75</v>
      </c>
    </row>
    <row r="103" spans="2:9" ht="15" customHeight="1">
      <c r="E103" s="1079" t="s">
        <v>1918</v>
      </c>
      <c r="F103" s="1107" t="s">
        <v>1966</v>
      </c>
      <c r="G103" s="1045">
        <v>20000</v>
      </c>
    </row>
    <row r="104" spans="2:9" ht="15" customHeight="1">
      <c r="E104" s="1112" t="s">
        <v>2215</v>
      </c>
      <c r="F104" s="1041"/>
      <c r="G104" s="1117">
        <f>G100*G103*G102</f>
        <v>8435000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421.75</v>
      </c>
    </row>
    <row r="111" spans="2:9" ht="15" customHeight="1">
      <c r="E111" s="1112" t="s">
        <v>1935</v>
      </c>
      <c r="F111" s="1041"/>
      <c r="G111" s="1117">
        <f>G108*G109*G110</f>
        <v>11809000</v>
      </c>
    </row>
    <row r="112" spans="2:9" ht="15" customHeight="1">
      <c r="C112" s="1072"/>
      <c r="G112" s="1108"/>
    </row>
    <row r="113" spans="2:7" ht="15" customHeight="1">
      <c r="E113" s="1079" t="s">
        <v>1971</v>
      </c>
      <c r="G113" s="1108">
        <f>COUNTIFS(L87:L94,"(i)")</f>
        <v>2</v>
      </c>
    </row>
    <row r="114" spans="2:7" ht="15" customHeight="1">
      <c r="E114" s="1079" t="s">
        <v>1918</v>
      </c>
      <c r="F114" s="1107" t="s">
        <v>1966</v>
      </c>
      <c r="G114" s="1118">
        <v>4000</v>
      </c>
    </row>
    <row r="115" spans="2:7" ht="15" customHeight="1">
      <c r="E115" s="1112" t="s">
        <v>1936</v>
      </c>
      <c r="F115" s="1041"/>
      <c r="G115" s="1117">
        <f>G110*G113*G114</f>
        <v>3374000</v>
      </c>
    </row>
    <row r="116" spans="2:7" ht="15" customHeight="1"/>
    <row r="117" spans="2:7" ht="15" customHeight="1">
      <c r="C117" s="1075" t="s">
        <v>1938</v>
      </c>
    </row>
    <row r="118" spans="2:7" ht="15" customHeight="1">
      <c r="C118" s="1072" t="s">
        <v>1939</v>
      </c>
      <c r="G118" s="1038"/>
    </row>
    <row r="119" spans="2:7" ht="15" customHeight="1">
      <c r="C119" s="1072" t="s">
        <v>1940</v>
      </c>
      <c r="G119" s="1038" t="s">
        <v>545</v>
      </c>
    </row>
    <row r="120" spans="2:7" ht="15" customHeight="1">
      <c r="C120" s="1072" t="s">
        <v>2096</v>
      </c>
      <c r="G120" s="1038" t="s">
        <v>545</v>
      </c>
    </row>
    <row r="121" spans="2:7">
      <c r="C121" s="1072" t="s">
        <v>2097</v>
      </c>
      <c r="G121" s="1038" t="s">
        <v>545</v>
      </c>
    </row>
    <row r="123" spans="2:7">
      <c r="B123" s="1073"/>
      <c r="C123" s="1072"/>
      <c r="E123" s="1079" t="s">
        <v>1973</v>
      </c>
      <c r="G123" s="1074" t="b">
        <f>COUNTIFS(G118:G121,"Yes")&gt;=1</f>
        <v>1</v>
      </c>
    </row>
    <row r="124" spans="2:7">
      <c r="E124" s="1072"/>
    </row>
    <row r="125" spans="2:7" ht="15">
      <c r="E125" s="1079" t="s">
        <v>1970</v>
      </c>
      <c r="F125" s="1107" t="s">
        <v>1966</v>
      </c>
      <c r="G125" s="1108">
        <f>G29</f>
        <v>421.75</v>
      </c>
    </row>
    <row r="126" spans="2:7" ht="15">
      <c r="E126" s="1079" t="s">
        <v>1918</v>
      </c>
      <c r="F126" s="1107" t="s">
        <v>1966</v>
      </c>
      <c r="G126" s="1118">
        <v>25000</v>
      </c>
    </row>
    <row r="127" spans="2:7" ht="15">
      <c r="E127" s="1112" t="s">
        <v>1937</v>
      </c>
      <c r="F127" s="1041"/>
      <c r="G127" s="1117">
        <f>G123*G126*G110</f>
        <v>10543750</v>
      </c>
    </row>
    <row r="128" spans="2:7">
      <c r="C128" s="1072"/>
      <c r="E128" s="1072"/>
    </row>
    <row r="129" spans="2:9" ht="15">
      <c r="E129" s="1112" t="s">
        <v>2216</v>
      </c>
      <c r="G129" s="1117">
        <f>G127+G115+G111</f>
        <v>25726750</v>
      </c>
    </row>
    <row r="131" spans="2:9" ht="15">
      <c r="B131" s="1061" t="s">
        <v>139</v>
      </c>
      <c r="C131" s="1062"/>
      <c r="D131" s="1062"/>
      <c r="E131" s="1062"/>
      <c r="F131" s="1062"/>
      <c r="G131" s="1062"/>
      <c r="H131" s="1062"/>
      <c r="I131" s="1063"/>
    </row>
    <row r="133" spans="2:9">
      <c r="C133" s="2681" t="s">
        <v>2182</v>
      </c>
      <c r="D133" s="2681"/>
      <c r="E133" s="2681"/>
      <c r="F133" s="2681"/>
    </row>
    <row r="134" spans="2:9">
      <c r="C134" s="2681"/>
      <c r="D134" s="2681"/>
      <c r="E134" s="2681"/>
      <c r="F134" s="2681"/>
      <c r="G134" s="1038"/>
    </row>
    <row r="135" spans="2:9" ht="14.25" customHeight="1"/>
    <row r="136" spans="2:9">
      <c r="C136" s="1039" t="s">
        <v>2184</v>
      </c>
      <c r="G136" s="2683"/>
      <c r="H136" s="2683"/>
    </row>
    <row r="137" spans="2:9">
      <c r="G137" s="2683"/>
      <c r="H137" s="2683"/>
    </row>
    <row r="138" spans="2:9">
      <c r="G138" s="2684"/>
      <c r="H138" s="2684"/>
    </row>
    <row r="140" spans="2:9">
      <c r="C140" s="2681" t="s">
        <v>2594</v>
      </c>
      <c r="D140" s="2681"/>
      <c r="E140" s="2681"/>
      <c r="F140" s="2681"/>
    </row>
    <row r="141" spans="2:9">
      <c r="C141" s="2681"/>
      <c r="D141" s="2681"/>
      <c r="E141" s="2681"/>
      <c r="F141" s="2681"/>
      <c r="G141" s="1038"/>
    </row>
    <row r="142" spans="2:9">
      <c r="C142" s="2681"/>
      <c r="D142" s="2681"/>
      <c r="E142" s="2681"/>
      <c r="F142" s="2681"/>
    </row>
    <row r="144" spans="2:9">
      <c r="C144" s="2681" t="s">
        <v>2593</v>
      </c>
      <c r="D144" s="2681"/>
      <c r="E144" s="2681"/>
      <c r="F144" s="2681"/>
    </row>
    <row r="145" spans="2:9">
      <c r="C145" s="2681"/>
      <c r="D145" s="2681"/>
      <c r="E145" s="2681"/>
      <c r="F145" s="2681"/>
      <c r="G145" s="1038"/>
    </row>
    <row r="146" spans="2:9">
      <c r="C146" s="2681"/>
      <c r="D146" s="2681"/>
      <c r="E146" s="2681"/>
      <c r="F146" s="2681"/>
    </row>
    <row r="147" spans="2:9">
      <c r="C147" s="2681"/>
      <c r="D147" s="2681"/>
      <c r="E147" s="2681"/>
      <c r="F147" s="2681"/>
    </row>
    <row r="149" spans="2:9" ht="15">
      <c r="B149" s="1061" t="s">
        <v>1975</v>
      </c>
      <c r="C149" s="1062"/>
      <c r="D149" s="1062"/>
      <c r="E149" s="1062"/>
      <c r="F149" s="1062"/>
      <c r="G149" s="1062"/>
      <c r="H149" s="1062"/>
      <c r="I149" s="1063"/>
    </row>
    <row r="151" spans="2:9">
      <c r="E151" s="1079" t="s">
        <v>582</v>
      </c>
      <c r="G151" s="1039" t="str">
        <f>IF(Application!T189="","",Application!T189)</f>
        <v>Sacramento</v>
      </c>
    </row>
    <row r="152" spans="2:9">
      <c r="E152" s="1079"/>
      <c r="G152" s="1073"/>
    </row>
    <row r="153" spans="2:9">
      <c r="E153" s="1079" t="str">
        <f>"2-Bedroom "&amp;G151&amp;" County Basis Limit"</f>
        <v>2-Bedroom Sacramento County Basis Limit</v>
      </c>
      <c r="G153" s="1073">
        <f>Application!R997</f>
        <v>500800</v>
      </c>
    </row>
    <row r="154" spans="2:9">
      <c r="E154" s="1079" t="s">
        <v>1974</v>
      </c>
      <c r="G154" s="1073">
        <f>MEDIAN((Application!CU160:CU217))</f>
        <v>560000</v>
      </c>
    </row>
    <row r="155" spans="2:9" ht="15">
      <c r="D155" s="1041"/>
      <c r="E155" s="1112" t="s">
        <v>1976</v>
      </c>
      <c r="F155" s="1128"/>
      <c r="G155" s="1129">
        <f>((G153-G154)/G154)*0.25</f>
        <v>-2.642857142857143E-2</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0</v>
      </c>
    </row>
    <row r="160" spans="2:9">
      <c r="C160" s="2678" t="s">
        <v>2218</v>
      </c>
      <c r="D160" s="2678"/>
      <c r="E160" s="2678"/>
      <c r="F160" s="2678"/>
    </row>
    <row r="161" spans="2:7">
      <c r="B161" s="1040"/>
      <c r="C161" s="2678"/>
      <c r="D161" s="2678"/>
      <c r="E161" s="2678"/>
      <c r="F161" s="2678"/>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5939747.5499999998</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909</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1 Bedroom</v>
      </c>
      <c r="B4" s="1077">
        <f>Application!G726</f>
        <v>32</v>
      </c>
      <c r="C4" s="1155"/>
      <c r="D4" s="428">
        <f>Application!O726</f>
        <v>648.75</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12</v>
      </c>
      <c r="C5" s="1155"/>
      <c r="D5" s="428">
        <f>Application!O727</f>
        <v>1131.75</v>
      </c>
      <c r="E5" s="429"/>
      <c r="F5" s="1078"/>
      <c r="G5" s="428">
        <f t="shared" ref="G5:G38" si="2">F5*B5</f>
        <v>0</v>
      </c>
      <c r="H5" s="429"/>
      <c r="I5" s="428" t="str">
        <f t="shared" si="0"/>
        <v/>
      </c>
      <c r="J5" s="428" t="str">
        <f t="shared" si="1"/>
        <v/>
      </c>
      <c r="K5" s="204"/>
      <c r="L5" s="305"/>
    </row>
    <row r="6" spans="1:12">
      <c r="A6" s="428" t="str">
        <f>Application!B728</f>
        <v>1 Bedroom</v>
      </c>
      <c r="B6" s="1077">
        <f>Application!G728</f>
        <v>86</v>
      </c>
      <c r="C6" s="1155"/>
      <c r="D6" s="428">
        <f>Application!O728</f>
        <v>1324.75</v>
      </c>
      <c r="E6" s="429"/>
      <c r="F6" s="1078"/>
      <c r="G6" s="428">
        <f t="shared" si="2"/>
        <v>0</v>
      </c>
      <c r="H6" s="429"/>
      <c r="I6" s="428" t="str">
        <f t="shared" si="0"/>
        <v/>
      </c>
      <c r="J6" s="428" t="str">
        <f t="shared" si="1"/>
        <v/>
      </c>
      <c r="K6" s="204"/>
      <c r="L6" s="305"/>
    </row>
    <row r="7" spans="1:12">
      <c r="A7" s="428" t="str">
        <f>Application!B729</f>
        <v>2 Bedrooms</v>
      </c>
      <c r="B7" s="1077">
        <f>Application!G729</f>
        <v>45</v>
      </c>
      <c r="C7" s="1155"/>
      <c r="D7" s="428">
        <f>Application!O729</f>
        <v>785</v>
      </c>
      <c r="E7" s="429"/>
      <c r="F7" s="1078"/>
      <c r="G7" s="428">
        <f t="shared" si="2"/>
        <v>0</v>
      </c>
      <c r="H7" s="429"/>
      <c r="I7" s="428" t="str">
        <f t="shared" si="0"/>
        <v/>
      </c>
      <c r="J7" s="428" t="str">
        <f t="shared" si="1"/>
        <v/>
      </c>
      <c r="K7" s="204"/>
      <c r="L7" s="305"/>
    </row>
    <row r="8" spans="1:12">
      <c r="A8" s="428" t="str">
        <f>Application!B730</f>
        <v>2 Bedrooms</v>
      </c>
      <c r="B8" s="1077">
        <f>Application!G730</f>
        <v>12</v>
      </c>
      <c r="C8" s="1155"/>
      <c r="D8" s="428">
        <f>Application!O730</f>
        <v>1364.31</v>
      </c>
      <c r="E8" s="429"/>
      <c r="F8" s="1078"/>
      <c r="G8" s="428">
        <f t="shared" si="2"/>
        <v>0</v>
      </c>
      <c r="H8" s="429"/>
      <c r="I8" s="428" t="str">
        <f t="shared" si="0"/>
        <v/>
      </c>
      <c r="J8" s="428" t="str">
        <f t="shared" si="1"/>
        <v/>
      </c>
      <c r="K8" s="204"/>
      <c r="L8" s="305"/>
    </row>
    <row r="9" spans="1:12">
      <c r="A9" s="428" t="str">
        <f>Application!B731</f>
        <v>2 Bedrooms</v>
      </c>
      <c r="B9" s="1077">
        <f>Application!G731</f>
        <v>60</v>
      </c>
      <c r="C9" s="1155"/>
      <c r="D9" s="428">
        <f>Application!O731</f>
        <v>1630.31</v>
      </c>
      <c r="E9" s="429"/>
      <c r="F9" s="1078"/>
      <c r="G9" s="428">
        <f t="shared" si="2"/>
        <v>0</v>
      </c>
      <c r="H9" s="429"/>
      <c r="I9" s="428" t="str">
        <f t="shared" si="0"/>
        <v/>
      </c>
      <c r="J9" s="428" t="str">
        <f t="shared" si="1"/>
        <v/>
      </c>
      <c r="K9" s="204"/>
      <c r="L9" s="305"/>
    </row>
    <row r="10" spans="1:12">
      <c r="A10" s="428" t="str">
        <f>Application!B732</f>
        <v>3 Bedrooms</v>
      </c>
      <c r="B10" s="1077">
        <f>Application!G732</f>
        <v>10</v>
      </c>
      <c r="C10" s="1155"/>
      <c r="D10" s="428">
        <f>Application!O732</f>
        <v>907.25</v>
      </c>
      <c r="E10" s="429"/>
      <c r="F10" s="1078"/>
      <c r="G10" s="428">
        <f t="shared" si="2"/>
        <v>0</v>
      </c>
      <c r="H10" s="429"/>
      <c r="I10" s="428" t="str">
        <f t="shared" si="0"/>
        <v/>
      </c>
      <c r="J10" s="428" t="str">
        <f t="shared" si="1"/>
        <v/>
      </c>
      <c r="K10" s="204"/>
      <c r="L10" s="305"/>
    </row>
    <row r="11" spans="1:12">
      <c r="A11" s="428" t="str">
        <f>Application!B733</f>
        <v>3 Bedrooms</v>
      </c>
      <c r="B11" s="1077">
        <f>Application!G733</f>
        <v>60</v>
      </c>
      <c r="C11" s="1155"/>
      <c r="D11" s="428">
        <f>Application!O733</f>
        <v>1575.25</v>
      </c>
      <c r="E11" s="429"/>
      <c r="F11" s="1078"/>
      <c r="G11" s="428">
        <f t="shared" si="2"/>
        <v>0</v>
      </c>
      <c r="H11" s="429"/>
      <c r="I11" s="428" t="str">
        <f t="shared" si="0"/>
        <v/>
      </c>
      <c r="J11" s="428" t="str">
        <f t="shared" si="1"/>
        <v/>
      </c>
      <c r="K11" s="204"/>
      <c r="L11" s="305"/>
    </row>
    <row r="12" spans="1:12">
      <c r="A12" s="428" t="str">
        <f>Application!B734</f>
        <v>3 Bedrooms</v>
      </c>
      <c r="B12" s="1077">
        <f>Application!G734</f>
        <v>27</v>
      </c>
      <c r="C12" s="1155"/>
      <c r="D12" s="428">
        <f>Application!O734</f>
        <v>1910.25</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452949.07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2207</v>
      </c>
    </row>
    <row r="43" spans="1:12">
      <c r="A43" s="2687" t="s">
        <v>2428</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2208</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90" zoomScaleNormal="90" workbookViewId="0">
      <selection activeCell="Q14" sqref="Q1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5435388.8399999999</v>
      </c>
      <c r="G4" s="219">
        <f>E4*$C$4</f>
        <v>5571273.5609999998</v>
      </c>
      <c r="I4" s="219">
        <f>G4*$C$4</f>
        <v>5710555.4000249989</v>
      </c>
      <c r="K4" s="219">
        <f>I4*$C$4</f>
        <v>5853319.2850256236</v>
      </c>
      <c r="M4" s="219">
        <f>K4*$C$4</f>
        <v>5999652.2671512635</v>
      </c>
      <c r="O4" s="219">
        <f>M4*$C$4</f>
        <v>6149643.5738300448</v>
      </c>
      <c r="Q4" s="219">
        <f>O4*$C$4</f>
        <v>6303384.6631757952</v>
      </c>
      <c r="S4" s="219">
        <f>Q4*$C$4</f>
        <v>6460969.2797551891</v>
      </c>
      <c r="U4" s="219">
        <f>S4*$C$4</f>
        <v>6622493.5117490683</v>
      </c>
      <c r="W4" s="219">
        <f>U4*$C$4</f>
        <v>6788055.8495427947</v>
      </c>
      <c r="Y4" s="219">
        <f>W4*$C$4</f>
        <v>6957757.2457813639</v>
      </c>
      <c r="AA4" s="219">
        <f>Y4*$C$4</f>
        <v>7131701.1769258976</v>
      </c>
      <c r="AC4" s="219">
        <f>AA4*$C$4</f>
        <v>7309993.7063490441</v>
      </c>
      <c r="AE4" s="219">
        <f>AC4*$C$4</f>
        <v>7492743.5490077697</v>
      </c>
      <c r="AG4" s="219">
        <f>AE4*$C$4</f>
        <v>7680062.1377329631</v>
      </c>
    </row>
    <row r="5" spans="1:34" s="210" customFormat="1" ht="14.25">
      <c r="B5" s="210" t="s">
        <v>838</v>
      </c>
      <c r="C5" s="238">
        <f>IF(Application!$D$211="Special Needs",(((0.1*Application!$T$212)+(0.05*(1-Application!$T$212)))),0.05)</f>
        <v>0.05</v>
      </c>
      <c r="E5" s="221">
        <f>-E4*$C$5</f>
        <v>-271769.44199999998</v>
      </c>
      <c r="F5" s="221"/>
      <c r="G5" s="221">
        <f>-G4*$C$5</f>
        <v>-278563.67804999999</v>
      </c>
      <c r="H5" s="221"/>
      <c r="I5" s="221">
        <f>-I4*$C$5</f>
        <v>-285527.77000124997</v>
      </c>
      <c r="J5" s="221"/>
      <c r="K5" s="221">
        <f>-K4*$C$5</f>
        <v>-292665.96425128117</v>
      </c>
      <c r="L5" s="221"/>
      <c r="M5" s="221">
        <f>-M4*$C$5</f>
        <v>-299982.61335756321</v>
      </c>
      <c r="N5" s="221"/>
      <c r="O5" s="221">
        <f>-O4*$C$5</f>
        <v>-307482.17869150225</v>
      </c>
      <c r="P5" s="221"/>
      <c r="Q5" s="221">
        <f>-Q4*$C$5</f>
        <v>-315169.23315878981</v>
      </c>
      <c r="R5" s="221"/>
      <c r="S5" s="221">
        <f>-S4*$C$5</f>
        <v>-323048.46398775949</v>
      </c>
      <c r="T5" s="221"/>
      <c r="U5" s="221">
        <f>-U4*$C$5</f>
        <v>-331124.67558745341</v>
      </c>
      <c r="V5" s="221"/>
      <c r="W5" s="221">
        <f>-W4*$C$5</f>
        <v>-339402.79247713974</v>
      </c>
      <c r="X5" s="221"/>
      <c r="Y5" s="221">
        <f>-Y4*$C$5</f>
        <v>-347887.86228906823</v>
      </c>
      <c r="Z5" s="221"/>
      <c r="AA5" s="221">
        <f>-AA4*$C$5</f>
        <v>-356585.05884629488</v>
      </c>
      <c r="AB5" s="221"/>
      <c r="AC5" s="221">
        <f>-AC4*$C$5</f>
        <v>-365499.68531745224</v>
      </c>
      <c r="AD5" s="221"/>
      <c r="AE5" s="221">
        <f>-AE4*$C$5</f>
        <v>-374637.1774503885</v>
      </c>
      <c r="AF5" s="221"/>
      <c r="AG5" s="221">
        <f>-AG4*$C$5</f>
        <v>-384003.10688664817</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5163619.398</v>
      </c>
      <c r="G11" s="223">
        <f>SUM(G4:G10)</f>
        <v>5292709.8829499995</v>
      </c>
      <c r="I11" s="223">
        <f>SUM(I4:I10)</f>
        <v>5425027.6300237486</v>
      </c>
      <c r="K11" s="223">
        <f>SUM(K4:K10)</f>
        <v>5560653.3207743429</v>
      </c>
      <c r="M11" s="223">
        <f>SUM(M4:M10)</f>
        <v>5699669.6537937</v>
      </c>
      <c r="O11" s="223">
        <f>SUM(O4:O10)</f>
        <v>5842161.3951385422</v>
      </c>
      <c r="Q11" s="223">
        <f>SUM(Q4:Q10)</f>
        <v>5988215.4300170057</v>
      </c>
      <c r="S11" s="223">
        <f>SUM(S4:S10)</f>
        <v>6137920.8157674298</v>
      </c>
      <c r="U11" s="223">
        <f>SUM(U4:U10)</f>
        <v>6291368.8361616153</v>
      </c>
      <c r="W11" s="223">
        <f>SUM(W4:W10)</f>
        <v>6448653.0570656545</v>
      </c>
      <c r="Y11" s="223">
        <f>SUM(Y4:Y10)</f>
        <v>6609869.3834922956</v>
      </c>
      <c r="AA11" s="223">
        <f>SUM(AA4:AA10)</f>
        <v>6775116.1180796027</v>
      </c>
      <c r="AC11" s="223">
        <f>SUM(AC4:AC10)</f>
        <v>6944494.021031592</v>
      </c>
      <c r="AE11" s="223">
        <f>SUM(AE4:AE10)</f>
        <v>7118106.371557381</v>
      </c>
      <c r="AG11" s="223">
        <f>SUM(AG4:AG10)</f>
        <v>7296059.0308463145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294283</v>
      </c>
      <c r="G15" s="219">
        <f>E15*$C$14</f>
        <v>304582.90499999997</v>
      </c>
      <c r="I15" s="219">
        <f>G15*$C$14</f>
        <v>315243.30667499994</v>
      </c>
      <c r="K15" s="219">
        <f>I15*$C$14</f>
        <v>326276.82240862492</v>
      </c>
      <c r="M15" s="219">
        <f>K15*$C$14</f>
        <v>337696.51119292679</v>
      </c>
      <c r="O15" s="219">
        <f>M15*$C$14</f>
        <v>349515.88908467919</v>
      </c>
      <c r="Q15" s="219">
        <f>O15*$C$14</f>
        <v>361748.94520264294</v>
      </c>
      <c r="S15" s="219">
        <f>Q15*$C$14</f>
        <v>374410.1582847354</v>
      </c>
      <c r="U15" s="219">
        <f>S15*$C$14</f>
        <v>387514.51382470113</v>
      </c>
      <c r="W15" s="219">
        <f>U15*$C$14</f>
        <v>401077.52180856565</v>
      </c>
      <c r="Y15" s="219">
        <f>W15*$C$14</f>
        <v>415115.23507186543</v>
      </c>
      <c r="AA15" s="219">
        <f>Y15*$C$14</f>
        <v>429644.26829938067</v>
      </c>
      <c r="AC15" s="219">
        <f>AA15*$C$14</f>
        <v>444681.81768985896</v>
      </c>
      <c r="AE15" s="219">
        <f>AC15*$C$14</f>
        <v>460245.68130900396</v>
      </c>
      <c r="AG15" s="219">
        <f>AE15*$C$14</f>
        <v>476354.28015481908</v>
      </c>
    </row>
    <row r="16" spans="1:34" s="210" customFormat="1" ht="14.25">
      <c r="A16" s="210" t="s">
        <v>344</v>
      </c>
      <c r="C16" s="233"/>
      <c r="E16" s="222">
        <f>Application!W857</f>
        <v>235531</v>
      </c>
      <c r="F16" s="222"/>
      <c r="G16" s="222">
        <f t="shared" ref="G16:AG21" si="0">E16*$C$14</f>
        <v>243774.58499999999</v>
      </c>
      <c r="H16" s="222"/>
      <c r="I16" s="222">
        <f t="shared" si="0"/>
        <v>252306.69547499999</v>
      </c>
      <c r="J16" s="222"/>
      <c r="K16" s="222">
        <f t="shared" si="0"/>
        <v>261137.42981662496</v>
      </c>
      <c r="L16" s="222"/>
      <c r="M16" s="222">
        <f t="shared" si="0"/>
        <v>270277.23986020684</v>
      </c>
      <c r="N16" s="222"/>
      <c r="O16" s="222">
        <f t="shared" si="0"/>
        <v>279736.94325531408</v>
      </c>
      <c r="P16" s="222"/>
      <c r="Q16" s="222">
        <f t="shared" si="0"/>
        <v>289527.73626925005</v>
      </c>
      <c r="R16" s="222"/>
      <c r="S16" s="222">
        <f t="shared" si="0"/>
        <v>299661.20703867375</v>
      </c>
      <c r="T16" s="222"/>
      <c r="U16" s="222">
        <f t="shared" si="0"/>
        <v>310149.3492850273</v>
      </c>
      <c r="V16" s="222"/>
      <c r="W16" s="222">
        <f t="shared" si="0"/>
        <v>321004.57651000324</v>
      </c>
      <c r="X16" s="222"/>
      <c r="Y16" s="222">
        <f t="shared" si="0"/>
        <v>332239.73668785335</v>
      </c>
      <c r="Z16" s="222"/>
      <c r="AA16" s="222">
        <f t="shared" si="0"/>
        <v>343868.12747192819</v>
      </c>
      <c r="AB16" s="222"/>
      <c r="AC16" s="222">
        <f t="shared" si="0"/>
        <v>355903.51193344564</v>
      </c>
      <c r="AD16" s="222"/>
      <c r="AE16" s="222">
        <f t="shared" si="0"/>
        <v>368360.13485111622</v>
      </c>
      <c r="AF16" s="222"/>
      <c r="AG16" s="222">
        <f t="shared" si="0"/>
        <v>381252.73957090528</v>
      </c>
    </row>
    <row r="17" spans="1:33" s="210" customFormat="1" ht="14.25">
      <c r="A17" s="210" t="s">
        <v>561</v>
      </c>
      <c r="C17" s="233"/>
      <c r="E17" s="222">
        <f>Application!W863</f>
        <v>278564</v>
      </c>
      <c r="F17" s="222"/>
      <c r="G17" s="222">
        <f t="shared" si="0"/>
        <v>288313.74</v>
      </c>
      <c r="H17" s="222"/>
      <c r="I17" s="222">
        <f t="shared" si="0"/>
        <v>298404.72089999996</v>
      </c>
      <c r="J17" s="222"/>
      <c r="K17" s="222">
        <f t="shared" si="0"/>
        <v>308848.88613149995</v>
      </c>
      <c r="L17" s="222"/>
      <c r="M17" s="222">
        <f t="shared" si="0"/>
        <v>319658.5971461024</v>
      </c>
      <c r="N17" s="222"/>
      <c r="O17" s="222">
        <f t="shared" si="0"/>
        <v>330846.64804621594</v>
      </c>
      <c r="P17" s="222"/>
      <c r="Q17" s="222">
        <f t="shared" si="0"/>
        <v>342426.28072783345</v>
      </c>
      <c r="R17" s="222"/>
      <c r="S17" s="222">
        <f t="shared" si="0"/>
        <v>354411.2005533076</v>
      </c>
      <c r="T17" s="222"/>
      <c r="U17" s="222">
        <f t="shared" si="0"/>
        <v>366815.59257267334</v>
      </c>
      <c r="V17" s="222"/>
      <c r="W17" s="222">
        <f t="shared" si="0"/>
        <v>379654.13831271685</v>
      </c>
      <c r="X17" s="222"/>
      <c r="Y17" s="222">
        <f t="shared" si="0"/>
        <v>392942.03315366193</v>
      </c>
      <c r="Z17" s="222"/>
      <c r="AA17" s="222">
        <f t="shared" si="0"/>
        <v>406695.00431404007</v>
      </c>
      <c r="AB17" s="222"/>
      <c r="AC17" s="222">
        <f t="shared" si="0"/>
        <v>420929.32946503145</v>
      </c>
      <c r="AD17" s="222"/>
      <c r="AE17" s="222">
        <f t="shared" si="0"/>
        <v>435661.85599630751</v>
      </c>
      <c r="AF17" s="222"/>
      <c r="AG17" s="222">
        <f t="shared" si="0"/>
        <v>450910.02095617825</v>
      </c>
    </row>
    <row r="18" spans="1:33" s="210" customFormat="1" ht="14.25">
      <c r="A18" s="210" t="s">
        <v>842</v>
      </c>
      <c r="C18" s="233"/>
      <c r="E18" s="222">
        <f>Application!W870</f>
        <v>486200</v>
      </c>
      <c r="F18" s="222"/>
      <c r="G18" s="222">
        <f t="shared" si="0"/>
        <v>503216.99999999994</v>
      </c>
      <c r="H18" s="222"/>
      <c r="I18" s="222">
        <f t="shared" si="0"/>
        <v>520829.59499999991</v>
      </c>
      <c r="J18" s="222"/>
      <c r="K18" s="222">
        <f t="shared" si="0"/>
        <v>539058.63082499988</v>
      </c>
      <c r="L18" s="222"/>
      <c r="M18" s="222">
        <f t="shared" si="0"/>
        <v>557925.68290387478</v>
      </c>
      <c r="N18" s="222"/>
      <c r="O18" s="222">
        <f t="shared" si="0"/>
        <v>577453.08180551033</v>
      </c>
      <c r="P18" s="222"/>
      <c r="Q18" s="222">
        <f t="shared" si="0"/>
        <v>597663.93966870313</v>
      </c>
      <c r="R18" s="222"/>
      <c r="S18" s="222">
        <f t="shared" si="0"/>
        <v>618582.17755710764</v>
      </c>
      <c r="T18" s="222"/>
      <c r="U18" s="222">
        <f t="shared" si="0"/>
        <v>640232.55377160641</v>
      </c>
      <c r="V18" s="222"/>
      <c r="W18" s="222">
        <f t="shared" si="0"/>
        <v>662640.69315361255</v>
      </c>
      <c r="X18" s="222"/>
      <c r="Y18" s="222">
        <f t="shared" si="0"/>
        <v>685833.11741398892</v>
      </c>
      <c r="Z18" s="222"/>
      <c r="AA18" s="222">
        <f t="shared" si="0"/>
        <v>709837.27652347845</v>
      </c>
      <c r="AB18" s="222"/>
      <c r="AC18" s="222">
        <f t="shared" si="0"/>
        <v>734681.58120180015</v>
      </c>
      <c r="AD18" s="222"/>
      <c r="AE18" s="222">
        <f t="shared" si="0"/>
        <v>760395.43654386303</v>
      </c>
      <c r="AF18" s="222"/>
      <c r="AG18" s="222">
        <f t="shared" si="0"/>
        <v>787009.27682289819</v>
      </c>
    </row>
    <row r="19" spans="1:33" s="210" customFormat="1" ht="14.25">
      <c r="A19" s="210" t="s">
        <v>155</v>
      </c>
      <c r="C19" s="233"/>
      <c r="E19" s="222">
        <f>Application!W872</f>
        <v>176942</v>
      </c>
      <c r="F19" s="222"/>
      <c r="G19" s="222">
        <f t="shared" si="0"/>
        <v>183134.96999999997</v>
      </c>
      <c r="H19" s="222"/>
      <c r="I19" s="222">
        <f t="shared" si="0"/>
        <v>189544.69394999996</v>
      </c>
      <c r="J19" s="222"/>
      <c r="K19" s="222">
        <f t="shared" si="0"/>
        <v>196178.75823824995</v>
      </c>
      <c r="L19" s="222"/>
      <c r="M19" s="222">
        <f t="shared" si="0"/>
        <v>203045.01477658868</v>
      </c>
      <c r="N19" s="222"/>
      <c r="O19" s="222">
        <f t="shared" si="0"/>
        <v>210151.59029376926</v>
      </c>
      <c r="P19" s="222"/>
      <c r="Q19" s="222">
        <f t="shared" si="0"/>
        <v>217506.89595405117</v>
      </c>
      <c r="R19" s="222"/>
      <c r="S19" s="222">
        <f t="shared" si="0"/>
        <v>225119.63731244294</v>
      </c>
      <c r="T19" s="222"/>
      <c r="U19" s="222">
        <f t="shared" si="0"/>
        <v>232998.82461837842</v>
      </c>
      <c r="V19" s="222"/>
      <c r="W19" s="222">
        <f t="shared" si="0"/>
        <v>241153.78348002164</v>
      </c>
      <c r="X19" s="222"/>
      <c r="Y19" s="222">
        <f t="shared" si="0"/>
        <v>249594.16590182239</v>
      </c>
      <c r="Z19" s="222"/>
      <c r="AA19" s="222">
        <f t="shared" si="0"/>
        <v>258329.96170838614</v>
      </c>
      <c r="AB19" s="222"/>
      <c r="AC19" s="222">
        <f t="shared" si="0"/>
        <v>267371.51036817965</v>
      </c>
      <c r="AD19" s="222"/>
      <c r="AE19" s="222">
        <f t="shared" si="0"/>
        <v>276729.51323106594</v>
      </c>
      <c r="AF19" s="222"/>
      <c r="AG19" s="222">
        <f t="shared" si="0"/>
        <v>286415.0461941532</v>
      </c>
    </row>
    <row r="20" spans="1:33" s="210" customFormat="1" ht="14.25">
      <c r="A20" s="210" t="s">
        <v>390</v>
      </c>
      <c r="C20" s="233"/>
      <c r="E20" s="222">
        <f>Application!W881</f>
        <v>261520</v>
      </c>
      <c r="F20" s="222"/>
      <c r="G20" s="222">
        <f t="shared" si="0"/>
        <v>270673.19999999995</v>
      </c>
      <c r="H20" s="222"/>
      <c r="I20" s="222">
        <f t="shared" si="0"/>
        <v>280146.76199999993</v>
      </c>
      <c r="J20" s="222"/>
      <c r="K20" s="222">
        <f t="shared" si="0"/>
        <v>289951.89866999991</v>
      </c>
      <c r="L20" s="222"/>
      <c r="M20" s="222">
        <f t="shared" si="0"/>
        <v>300100.21512344986</v>
      </c>
      <c r="N20" s="222"/>
      <c r="O20" s="222">
        <f t="shared" si="0"/>
        <v>310603.72265277058</v>
      </c>
      <c r="P20" s="222"/>
      <c r="Q20" s="222">
        <f t="shared" si="0"/>
        <v>321474.85294561752</v>
      </c>
      <c r="R20" s="222"/>
      <c r="S20" s="222">
        <f t="shared" si="0"/>
        <v>332726.47279871412</v>
      </c>
      <c r="T20" s="222"/>
      <c r="U20" s="222">
        <f t="shared" si="0"/>
        <v>344371.89934666909</v>
      </c>
      <c r="V20" s="222"/>
      <c r="W20" s="222">
        <f t="shared" si="0"/>
        <v>356424.91582380247</v>
      </c>
      <c r="X20" s="222"/>
      <c r="Y20" s="222">
        <f t="shared" si="0"/>
        <v>368899.78787763551</v>
      </c>
      <c r="Z20" s="222"/>
      <c r="AA20" s="222">
        <f t="shared" si="0"/>
        <v>381811.28045335272</v>
      </c>
      <c r="AB20" s="222"/>
      <c r="AC20" s="222">
        <f t="shared" si="0"/>
        <v>395174.67526922002</v>
      </c>
      <c r="AD20" s="222"/>
      <c r="AE20" s="222">
        <f t="shared" si="0"/>
        <v>409005.78890364268</v>
      </c>
      <c r="AF20" s="222"/>
      <c r="AG20" s="222">
        <f t="shared" si="0"/>
        <v>423320.99151527014</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1733040</v>
      </c>
      <c r="G22" s="223">
        <f>SUM(G15:G21)</f>
        <v>1793696.4</v>
      </c>
      <c r="I22" s="223">
        <f>SUM(I15:I21)</f>
        <v>1856475.7739999997</v>
      </c>
      <c r="K22" s="223">
        <f>SUM(K15:K21)</f>
        <v>1921452.4260899997</v>
      </c>
      <c r="M22" s="223">
        <f>SUM(M15:M21)</f>
        <v>1988703.2610031494</v>
      </c>
      <c r="O22" s="223">
        <f>SUM(O15:O21)</f>
        <v>2058307.8751382595</v>
      </c>
      <c r="Q22" s="223">
        <f>SUM(Q15:Q21)</f>
        <v>2130348.650768098</v>
      </c>
      <c r="S22" s="223">
        <f>SUM(S15:S21)</f>
        <v>2204910.8535449812</v>
      </c>
      <c r="U22" s="223">
        <f>SUM(U15:U21)</f>
        <v>2282082.7334190556</v>
      </c>
      <c r="W22" s="223">
        <f>SUM(W15:W21)</f>
        <v>2361955.6290887226</v>
      </c>
      <c r="Y22" s="223">
        <f>SUM(Y15:Y21)</f>
        <v>2444624.0761068277</v>
      </c>
      <c r="AA22" s="223">
        <f>SUM(AA15:AA21)</f>
        <v>2530185.9187705661</v>
      </c>
      <c r="AC22" s="223">
        <f>SUM(AC15:AC21)</f>
        <v>2618742.4259275356</v>
      </c>
      <c r="AE22" s="223">
        <f>SUM(AE15:AE21)</f>
        <v>2710398.4108349998</v>
      </c>
      <c r="AG22" s="223">
        <f>SUM(AG15:AG21)</f>
        <v>2805262.3552142242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50400</v>
      </c>
      <c r="F27" s="222"/>
      <c r="G27" s="222">
        <f>E27*$C$27</f>
        <v>52163.999999999993</v>
      </c>
      <c r="H27" s="222"/>
      <c r="I27" s="222">
        <f>G27*$C$27</f>
        <v>53989.739999999991</v>
      </c>
      <c r="J27" s="222"/>
      <c r="K27" s="222">
        <f>I27*$C$27</f>
        <v>55879.380899999989</v>
      </c>
      <c r="L27" s="222"/>
      <c r="M27" s="222">
        <f>K27*$C$27</f>
        <v>57835.159231499987</v>
      </c>
      <c r="N27" s="222"/>
      <c r="O27" s="222">
        <f>M27*$C$27</f>
        <v>59859.389804602484</v>
      </c>
      <c r="P27" s="222"/>
      <c r="Q27" s="222">
        <f>O27*$C$27</f>
        <v>61954.468447763567</v>
      </c>
      <c r="R27" s="222"/>
      <c r="S27" s="222">
        <f>Q27*$C$27</f>
        <v>64122.874843435289</v>
      </c>
      <c r="T27" s="222"/>
      <c r="U27" s="222">
        <f>S27*$C$27</f>
        <v>66367.175462955522</v>
      </c>
      <c r="V27" s="222"/>
      <c r="W27" s="222">
        <f>U27*$C$27</f>
        <v>68690.026604158964</v>
      </c>
      <c r="X27" s="222"/>
      <c r="Y27" s="222">
        <f>W27*$C$27</f>
        <v>71094.177535304523</v>
      </c>
      <c r="Z27" s="222"/>
      <c r="AA27" s="222">
        <f>Y27*$C$27</f>
        <v>73582.473749040175</v>
      </c>
      <c r="AB27" s="222"/>
      <c r="AC27" s="222">
        <f>AA27*$C$27</f>
        <v>76157.860330256575</v>
      </c>
      <c r="AD27" s="222"/>
      <c r="AE27" s="222">
        <f>AC27*$C$27</f>
        <v>78823.385441815553</v>
      </c>
      <c r="AF27" s="222"/>
      <c r="AG27" s="222">
        <f>AE27*$C$27</f>
        <v>81582.203932279095</v>
      </c>
    </row>
    <row r="28" spans="1:33" s="210" customFormat="1" ht="14.25">
      <c r="A28" s="210" t="s">
        <v>846</v>
      </c>
      <c r="C28" s="237"/>
      <c r="E28" s="222">
        <f>Application!AC898</f>
        <v>174000</v>
      </c>
      <c r="F28" s="222"/>
      <c r="G28" s="222">
        <f>$E$28</f>
        <v>174000</v>
      </c>
      <c r="H28" s="222"/>
      <c r="I28" s="222">
        <f>$E$28</f>
        <v>174000</v>
      </c>
      <c r="J28" s="222"/>
      <c r="K28" s="222">
        <f>$E$28</f>
        <v>174000</v>
      </c>
      <c r="L28" s="222"/>
      <c r="M28" s="222">
        <f>$E$28</f>
        <v>174000</v>
      </c>
      <c r="N28" s="222"/>
      <c r="O28" s="222">
        <f>$E$28</f>
        <v>174000</v>
      </c>
      <c r="P28" s="222"/>
      <c r="Q28" s="222">
        <f>$E$28</f>
        <v>174000</v>
      </c>
      <c r="R28" s="222"/>
      <c r="S28" s="222">
        <f>$E$28</f>
        <v>174000</v>
      </c>
      <c r="T28" s="222"/>
      <c r="U28" s="222">
        <f>$E$28</f>
        <v>174000</v>
      </c>
      <c r="V28" s="222"/>
      <c r="W28" s="222">
        <f>$E$28</f>
        <v>174000</v>
      </c>
      <c r="X28" s="222"/>
      <c r="Y28" s="222">
        <f>$E$28</f>
        <v>174000</v>
      </c>
      <c r="Z28" s="222"/>
      <c r="AA28" s="222">
        <f>$E$28</f>
        <v>174000</v>
      </c>
      <c r="AB28" s="222"/>
      <c r="AC28" s="222">
        <f>$E$28</f>
        <v>174000</v>
      </c>
      <c r="AD28" s="222"/>
      <c r="AE28" s="222">
        <f>$E$28</f>
        <v>174000</v>
      </c>
      <c r="AF28" s="222"/>
      <c r="AG28" s="222">
        <f>$E$28</f>
        <v>174000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30000</v>
      </c>
      <c r="F30" s="222"/>
      <c r="G30" s="222">
        <f>E30*$C$30</f>
        <v>30600</v>
      </c>
      <c r="H30" s="222"/>
      <c r="I30" s="222">
        <f>G30*$C$30</f>
        <v>31212</v>
      </c>
      <c r="J30" s="222"/>
      <c r="K30" s="222">
        <f>I30*$C$30</f>
        <v>31836.240000000002</v>
      </c>
      <c r="L30" s="222"/>
      <c r="M30" s="222">
        <f>K30*$C$30</f>
        <v>32472.964800000002</v>
      </c>
      <c r="N30" s="222"/>
      <c r="O30" s="222">
        <f>M30*$C$30</f>
        <v>33122.424096000002</v>
      </c>
      <c r="P30" s="222"/>
      <c r="Q30" s="222">
        <f>O30*$C$30</f>
        <v>33784.872577920003</v>
      </c>
      <c r="R30" s="222"/>
      <c r="S30" s="222">
        <f>Q30*$C$30</f>
        <v>34460.570029478404</v>
      </c>
      <c r="T30" s="222"/>
      <c r="U30" s="222">
        <f>S30*$C$30</f>
        <v>35149.781430067975</v>
      </c>
      <c r="V30" s="222"/>
      <c r="W30" s="222">
        <f>U30*$C$30</f>
        <v>35852.777058669337</v>
      </c>
      <c r="X30" s="222"/>
      <c r="Y30" s="222">
        <f>W30*$C$30</f>
        <v>36569.832599842724</v>
      </c>
      <c r="Z30" s="222"/>
      <c r="AA30" s="222">
        <f>Y30*$C$30</f>
        <v>37301.229251839577</v>
      </c>
      <c r="AB30" s="222"/>
      <c r="AC30" s="222">
        <f>AA30*$C$30</f>
        <v>38047.253836876371</v>
      </c>
      <c r="AD30" s="222"/>
      <c r="AE30" s="222">
        <f>AC30*$C$30</f>
        <v>38808.198913613902</v>
      </c>
      <c r="AF30" s="222"/>
      <c r="AG30" s="222">
        <f>AE30*$C$30</f>
        <v>39584.36289188618</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Bond Isuer Fees</v>
      </c>
      <c r="C32" s="316">
        <v>1</v>
      </c>
      <c r="E32" s="222">
        <f>Application!AC903</f>
        <v>19799</v>
      </c>
      <c r="F32" s="222"/>
      <c r="G32" s="222">
        <f>E32*$C$32</f>
        <v>19799</v>
      </c>
      <c r="H32" s="222"/>
      <c r="I32" s="222">
        <f>G32*$C$32</f>
        <v>19799</v>
      </c>
      <c r="J32" s="222"/>
      <c r="K32" s="222">
        <f>I32*$C$32</f>
        <v>19799</v>
      </c>
      <c r="L32" s="222"/>
      <c r="M32" s="222">
        <f>K32*$C$32</f>
        <v>19799</v>
      </c>
      <c r="N32" s="222"/>
      <c r="O32" s="222">
        <f>M32*$C$32</f>
        <v>19799</v>
      </c>
      <c r="P32" s="222"/>
      <c r="Q32" s="222">
        <f>O32*$C$32</f>
        <v>19799</v>
      </c>
      <c r="R32" s="222"/>
      <c r="S32" s="222">
        <f>Q32*$C$32</f>
        <v>19799</v>
      </c>
      <c r="T32" s="222"/>
      <c r="U32" s="222">
        <f>S32*$C$32</f>
        <v>19799</v>
      </c>
      <c r="V32" s="222"/>
      <c r="W32" s="222">
        <f>U32*$C$32</f>
        <v>19799</v>
      </c>
      <c r="X32" s="222"/>
      <c r="Y32" s="222">
        <f>W32*$C$32</f>
        <v>19799</v>
      </c>
      <c r="Z32" s="222"/>
      <c r="AA32" s="222">
        <f>Y32*$C$32</f>
        <v>19799</v>
      </c>
      <c r="AB32" s="222"/>
      <c r="AC32" s="222">
        <f>AA32*$C$32</f>
        <v>19799</v>
      </c>
      <c r="AD32" s="222"/>
      <c r="AE32" s="222">
        <f>AC32*$C$32</f>
        <v>19799</v>
      </c>
      <c r="AF32" s="222"/>
      <c r="AG32" s="222">
        <f>AE32*$C$32</f>
        <v>19799</v>
      </c>
    </row>
    <row r="33" spans="1:33" s="210" customFormat="1" ht="14.25">
      <c r="A33" s="210" t="str">
        <f>Application!C904</f>
        <v>Other (Specify):</v>
      </c>
      <c r="C33" s="316">
        <v>1</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2007239</v>
      </c>
      <c r="G35" s="223">
        <f>SUM(G22:G33)</f>
        <v>2070259.4</v>
      </c>
      <c r="I35" s="223">
        <f>SUM(I22:I33)</f>
        <v>2135476.5139999995</v>
      </c>
      <c r="K35" s="223">
        <f>SUM(K22:K33)</f>
        <v>2202967.0469899997</v>
      </c>
      <c r="M35" s="223">
        <f>SUM(M22:M33)</f>
        <v>2272810.3850346496</v>
      </c>
      <c r="O35" s="223">
        <f>SUM(O22:O33)</f>
        <v>2345088.689038862</v>
      </c>
      <c r="Q35" s="223">
        <f>SUM(Q22:Q33)</f>
        <v>2419886.9917937815</v>
      </c>
      <c r="S35" s="223">
        <f>SUM(S22:S33)</f>
        <v>2497293.2984178951</v>
      </c>
      <c r="U35" s="223">
        <f>SUM(U22:U33)</f>
        <v>2577398.6903120792</v>
      </c>
      <c r="W35" s="223">
        <f>SUM(W22:W33)</f>
        <v>2660297.4327515508</v>
      </c>
      <c r="Y35" s="223">
        <f>SUM(Y22:Y33)</f>
        <v>2746087.086241975</v>
      </c>
      <c r="AA35" s="223">
        <f>SUM(AA22:AA33)</f>
        <v>2834868.621771446</v>
      </c>
      <c r="AC35" s="223">
        <f>SUM(AC22:AC33)</f>
        <v>2926746.5400946685</v>
      </c>
      <c r="AE35" s="223">
        <f>SUM(AE22:AE33)</f>
        <v>3021828.995190429</v>
      </c>
      <c r="AG35" s="223">
        <f>SUM(AG22:AG33)</f>
        <v>3120227.9220383898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3156380.398</v>
      </c>
      <c r="G37" s="223">
        <f>G11-G35</f>
        <v>3222450.4829499996</v>
      </c>
      <c r="I37" s="223">
        <f>I11-I35</f>
        <v>3289551.1160237491</v>
      </c>
      <c r="K37" s="223">
        <f>K11-K35</f>
        <v>3357686.2737843432</v>
      </c>
      <c r="M37" s="223">
        <f>M11-M35</f>
        <v>3426859.2687590504</v>
      </c>
      <c r="O37" s="223">
        <f>O11-O35</f>
        <v>3497072.7060996802</v>
      </c>
      <c r="Q37" s="223">
        <f>Q11-Q35</f>
        <v>3568328.4382232241</v>
      </c>
      <c r="S37" s="223">
        <f>S11-S35</f>
        <v>3640627.5173495347</v>
      </c>
      <c r="U37" s="223">
        <f>U11-U35</f>
        <v>3713970.1458495362</v>
      </c>
      <c r="W37" s="223">
        <f>W11-W35</f>
        <v>3788355.6243141037</v>
      </c>
      <c r="Y37" s="223">
        <f>Y11-Y35</f>
        <v>3863782.2972503207</v>
      </c>
      <c r="AA37" s="223">
        <f>AA11-AA35</f>
        <v>3940247.4963081568</v>
      </c>
      <c r="AC37" s="223">
        <f>AC11-AC35</f>
        <v>4017747.4809369235</v>
      </c>
      <c r="AE37" s="223">
        <f>AE11-AE35</f>
        <v>4096277.376366952</v>
      </c>
      <c r="AG37" s="223">
        <f>AG11-AG35</f>
        <v>4175831.1088079247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Community Capital - Perm Loan</v>
      </c>
      <c r="B40" s="226"/>
      <c r="C40" s="220"/>
      <c r="E40" s="222">
        <f>Application!AF635</f>
        <v>2598164.2724672989</v>
      </c>
      <c r="F40" s="222"/>
      <c r="G40" s="222">
        <f>$E$40</f>
        <v>2598164.2724672989</v>
      </c>
      <c r="H40" s="222"/>
      <c r="I40" s="222">
        <f>$E$40</f>
        <v>2598164.2724672989</v>
      </c>
      <c r="J40" s="222"/>
      <c r="K40" s="222">
        <f>$E$40</f>
        <v>2598164.2724672989</v>
      </c>
      <c r="L40" s="222"/>
      <c r="M40" s="222">
        <f>$E$40</f>
        <v>2598164.2724672989</v>
      </c>
      <c r="N40" s="222"/>
      <c r="O40" s="222">
        <f>$E$40</f>
        <v>2598164.2724672989</v>
      </c>
      <c r="P40" s="222"/>
      <c r="Q40" s="222">
        <f>$E$40</f>
        <v>2598164.2724672989</v>
      </c>
      <c r="R40" s="222"/>
      <c r="S40" s="222">
        <f>$E$40</f>
        <v>2598164.2724672989</v>
      </c>
      <c r="T40" s="222"/>
      <c r="U40" s="222">
        <f>$E$40</f>
        <v>2598164.2724672989</v>
      </c>
      <c r="V40" s="222"/>
      <c r="W40" s="222">
        <f>$E$40</f>
        <v>2598164.2724672989</v>
      </c>
      <c r="X40" s="222"/>
      <c r="Y40" s="222">
        <f>$E$40</f>
        <v>2598164.2724672989</v>
      </c>
      <c r="Z40" s="222"/>
      <c r="AA40" s="222">
        <f>$E$40</f>
        <v>2598164.2724672989</v>
      </c>
      <c r="AB40" s="222"/>
      <c r="AC40" s="222">
        <f>$E$40</f>
        <v>2598164.2724672989</v>
      </c>
      <c r="AD40" s="222"/>
      <c r="AE40" s="222">
        <f>$E$40</f>
        <v>2598164.2724672989</v>
      </c>
      <c r="AF40" s="222"/>
      <c r="AG40" s="222">
        <f>$E$40</f>
        <v>2598164.2724672989</v>
      </c>
    </row>
    <row r="41" spans="1:33" s="210" customFormat="1" ht="14.25">
      <c r="A41" s="225" t="s">
        <v>2152</v>
      </c>
      <c r="B41" s="226"/>
      <c r="C41" s="220"/>
      <c r="E41" s="222">
        <f>Application!AF636</f>
        <v>146477.83499999999</v>
      </c>
      <c r="F41" s="222"/>
      <c r="G41" s="222">
        <f>$E$41</f>
        <v>146477.83499999999</v>
      </c>
      <c r="H41" s="222"/>
      <c r="I41" s="222">
        <f>$E$41</f>
        <v>146477.83499999999</v>
      </c>
      <c r="J41" s="222"/>
      <c r="K41" s="222">
        <f>$E$41</f>
        <v>146477.83499999999</v>
      </c>
      <c r="L41" s="222"/>
      <c r="M41" s="222">
        <f>$E$41</f>
        <v>146477.83499999999</v>
      </c>
      <c r="N41" s="222"/>
      <c r="O41" s="222">
        <f>$E$41</f>
        <v>146477.83499999999</v>
      </c>
      <c r="P41" s="222"/>
      <c r="Q41" s="222">
        <f>$E$41</f>
        <v>146477.83499999999</v>
      </c>
      <c r="R41" s="222"/>
      <c r="S41" s="222">
        <f>$E$41</f>
        <v>146477.83499999999</v>
      </c>
      <c r="T41" s="222"/>
      <c r="U41" s="222">
        <f>$E$41</f>
        <v>146477.83499999999</v>
      </c>
      <c r="V41" s="222"/>
      <c r="W41" s="222">
        <f>$E$41</f>
        <v>146477.83499999999</v>
      </c>
      <c r="X41" s="222"/>
      <c r="Y41" s="222">
        <f>$E$41</f>
        <v>146477.83499999999</v>
      </c>
      <c r="Z41" s="222"/>
      <c r="AA41" s="222">
        <f>$E$41</f>
        <v>146477.83499999999</v>
      </c>
      <c r="AB41" s="222"/>
      <c r="AC41" s="222">
        <f>$E$41</f>
        <v>146477.83499999999</v>
      </c>
      <c r="AD41" s="222"/>
      <c r="AE41" s="222">
        <f>$E$41</f>
        <v>146477.83499999999</v>
      </c>
      <c r="AF41" s="222"/>
      <c r="AG41" s="222">
        <f>$E$41</f>
        <v>146477.83499999999</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2744642.1074672989</v>
      </c>
      <c r="G43" s="223">
        <f>SUM(G40:G42)</f>
        <v>2744642.1074672989</v>
      </c>
      <c r="I43" s="223">
        <f>SUM(I40:I42)</f>
        <v>2744642.1074672989</v>
      </c>
      <c r="K43" s="223">
        <f>SUM(K40:K42)</f>
        <v>2744642.1074672989</v>
      </c>
      <c r="M43" s="223">
        <f>SUM(M40:M42)</f>
        <v>2744642.1074672989</v>
      </c>
      <c r="O43" s="223">
        <f>SUM(O40:O42)</f>
        <v>2744642.1074672989</v>
      </c>
      <c r="Q43" s="223">
        <f>SUM(Q40:Q42)</f>
        <v>2744642.1074672989</v>
      </c>
      <c r="S43" s="223">
        <f>SUM(S40:S42)</f>
        <v>2744642.1074672989</v>
      </c>
      <c r="U43" s="223">
        <f>SUM(U40:U42)</f>
        <v>2744642.1074672989</v>
      </c>
      <c r="W43" s="223">
        <f>SUM(W40:W42)</f>
        <v>2744642.1074672989</v>
      </c>
      <c r="Y43" s="223">
        <f>SUM(Y40:Y42)</f>
        <v>2744642.1074672989</v>
      </c>
      <c r="AA43" s="223">
        <f>SUM(AA40:AA42)</f>
        <v>2744642.1074672989</v>
      </c>
      <c r="AC43" s="223">
        <f>SUM(AC40:AC42)</f>
        <v>2744642.1074672989</v>
      </c>
      <c r="AE43" s="223">
        <f>SUM(AE40:AE42)</f>
        <v>2744642.1074672989</v>
      </c>
      <c r="AG43" s="223">
        <f>SUM(AG40:AG42)</f>
        <v>2744642.1074672989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411738.29053270118</v>
      </c>
      <c r="G45" s="223">
        <f>G37-G43</f>
        <v>477808.37548270077</v>
      </c>
      <c r="I45" s="223">
        <f>I37-I43</f>
        <v>544909.00855645025</v>
      </c>
      <c r="K45" s="223">
        <f>K37-K43</f>
        <v>613044.16631704429</v>
      </c>
      <c r="M45" s="223">
        <f>M37-M43</f>
        <v>682217.16129175154</v>
      </c>
      <c r="O45" s="223">
        <f>O37-O43</f>
        <v>752430.5986323813</v>
      </c>
      <c r="Q45" s="223">
        <f>Q37-Q43</f>
        <v>823686.33075592527</v>
      </c>
      <c r="S45" s="223">
        <f>S37-S43</f>
        <v>895985.40988223581</v>
      </c>
      <c r="U45" s="223">
        <f>U37-U43</f>
        <v>969328.03838223731</v>
      </c>
      <c r="W45" s="223">
        <f>W37-W43</f>
        <v>1043713.5168468049</v>
      </c>
      <c r="Y45" s="223">
        <f>Y37-Y43</f>
        <v>1119140.1897830218</v>
      </c>
      <c r="AA45" s="223">
        <f>AA37-AA43</f>
        <v>1195605.3888408579</v>
      </c>
      <c r="AC45" s="223">
        <f>AC37-AC43</f>
        <v>1273105.3734696247</v>
      </c>
      <c r="AE45" s="223">
        <f>AE37-AE43</f>
        <v>1351635.2688996531</v>
      </c>
      <c r="AG45" s="223">
        <f>AG37-AG43</f>
        <v>1431189.0013406258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7.5751395650417011E-2</v>
      </c>
      <c r="G47" s="227">
        <f>G45/(G4+G6+G8)</f>
        <v>8.5762863778122922E-2</v>
      </c>
      <c r="I47" s="227">
        <f>I45/(I4+I6+I8)</f>
        <v>9.5421368043126731E-2</v>
      </c>
      <c r="K47" s="227">
        <f>K45/(K4+K6+K8)</f>
        <v>0.10473444834717582</v>
      </c>
      <c r="M47" s="227">
        <f>M45/(M4+M6+M8)</f>
        <v>0.11370945030047214</v>
      </c>
      <c r="O47" s="227">
        <f>O45/(O4+O6+O8)</f>
        <v>0.12235352985892836</v>
      </c>
      <c r="Q47" s="227">
        <f>Q45/(Q4+Q6+Q8)</f>
        <v>0.13067365784732746</v>
      </c>
      <c r="S47" s="227">
        <f>S45/(S4+S6+S8)</f>
        <v>0.13867662437116329</v>
      </c>
      <c r="U47" s="227">
        <f>U45/(U4+U6+U8)</f>
        <v>0.14636904311986679</v>
      </c>
      <c r="W47" s="227">
        <f>W45/(W4+W6+W8)</f>
        <v>0.15375735556405351</v>
      </c>
      <c r="Y47" s="227">
        <f>Y45/(Y4+Y6+Y8)</f>
        <v>0.16084783504937317</v>
      </c>
      <c r="AA47" s="227">
        <f>AA45/(AA4+AA6+AA8)</f>
        <v>0.16764659078946725</v>
      </c>
      <c r="AC47" s="227">
        <f>AC45/(AC4+AC6+AC8)</f>
        <v>0.17415957176048974</v>
      </c>
      <c r="AE47" s="227">
        <f>AE45/(AE4+AE6+AE8)</f>
        <v>0.18039257049957944</v>
      </c>
      <c r="AG47" s="227">
        <f>AG45/(AG4+AG6+AG8)</f>
        <v>0.1863512268096168</v>
      </c>
    </row>
    <row r="48" spans="1:33" s="227" customFormat="1" ht="14.25">
      <c r="A48" s="227" t="s">
        <v>852</v>
      </c>
      <c r="C48" s="220"/>
      <c r="E48" s="227">
        <f>E45/E43</f>
        <v>0.15001529321891993</v>
      </c>
      <c r="G48" s="227">
        <f>G45/G43</f>
        <v>0.17408767947658313</v>
      </c>
      <c r="I48" s="227">
        <f>I45/I43</f>
        <v>0.1985355420562579</v>
      </c>
      <c r="K48" s="227">
        <f>K45/K43</f>
        <v>0.22336032980370954</v>
      </c>
      <c r="M48" s="227">
        <f>M45/M43</f>
        <v>0.24856324962575466</v>
      </c>
      <c r="O48" s="227">
        <f>O45/O43</f>
        <v>0.27414525069962919</v>
      </c>
      <c r="Q48" s="227">
        <f>Q45/Q43</f>
        <v>0.30010700794647743</v>
      </c>
      <c r="S48" s="227">
        <f>S45/S43</f>
        <v>0.32644890473863397</v>
      </c>
      <c r="U48" s="227">
        <f>U45/U43</f>
        <v>0.35317101480918178</v>
      </c>
      <c r="W48" s="227">
        <f>W45/W43</f>
        <v>0.3802730833310442</v>
      </c>
      <c r="Y48" s="227">
        <f>Y45/Y43</f>
        <v>0.40775450713162092</v>
      </c>
      <c r="AA48" s="227">
        <f>AA45/AA43</f>
        <v>0.43561431400764261</v>
      </c>
      <c r="AC48" s="227">
        <f>AC45/AC43</f>
        <v>0.46385114110357395</v>
      </c>
      <c r="AE48" s="227">
        <f>AE45/AE43</f>
        <v>0.49246321231547208</v>
      </c>
      <c r="AG48" s="227">
        <f>AG45/AG43</f>
        <v>0.52144831468074304</v>
      </c>
    </row>
    <row r="49" spans="1:34" s="228" customFormat="1" ht="14.25">
      <c r="A49" s="228" t="s">
        <v>850</v>
      </c>
      <c r="C49" s="229"/>
      <c r="E49" s="228">
        <f>E37/E43</f>
        <v>1.1500152932189198</v>
      </c>
      <c r="G49" s="228">
        <f>G37/G43</f>
        <v>1.1740876794765831</v>
      </c>
      <c r="I49" s="228">
        <f>I37/I43</f>
        <v>1.198535542056258</v>
      </c>
      <c r="K49" s="228">
        <f>K37/K43</f>
        <v>1.2233603298037095</v>
      </c>
      <c r="M49" s="228">
        <f>M37/M43</f>
        <v>1.2485632496257546</v>
      </c>
      <c r="O49" s="228">
        <f>O37/O43</f>
        <v>1.2741452506996291</v>
      </c>
      <c r="Q49" s="228">
        <f>Q37/Q43</f>
        <v>1.3001070079464774</v>
      </c>
      <c r="S49" s="228">
        <f>S37/S43</f>
        <v>1.3264489047386339</v>
      </c>
      <c r="U49" s="228">
        <f>U37/U43</f>
        <v>1.3531710148091818</v>
      </c>
      <c r="W49" s="228">
        <f>W37/W43</f>
        <v>1.3802730833310441</v>
      </c>
      <c r="Y49" s="228">
        <f>Y37/Y43</f>
        <v>1.4077545071316209</v>
      </c>
      <c r="AA49" s="228">
        <f>AA37/AA43</f>
        <v>1.4356143140076425</v>
      </c>
      <c r="AC49" s="228">
        <f>AC37/AC43</f>
        <v>1.4638511411035739</v>
      </c>
      <c r="AE49" s="228">
        <f>AE37/AE43</f>
        <v>1.492463212315472</v>
      </c>
      <c r="AG49" s="228">
        <f>AG37/AG43</f>
        <v>1.5214483146807429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0" t="s">
        <v>2740</v>
      </c>
      <c r="B52" s="2690"/>
      <c r="C52" s="269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25000</v>
      </c>
      <c r="G53" s="956">
        <f>E53*$C$53</f>
        <v>25750</v>
      </c>
      <c r="I53" s="956">
        <f>G53*$C$53</f>
        <v>26522.5</v>
      </c>
      <c r="K53" s="956">
        <f>I53*$C$53</f>
        <v>27318.174999999999</v>
      </c>
      <c r="M53" s="956">
        <f>K53*$C$53</f>
        <v>28137.720249999998</v>
      </c>
      <c r="O53" s="956">
        <f>M53*$C$53</f>
        <v>28981.851857499998</v>
      </c>
      <c r="Q53" s="956">
        <f>O53*$C$53</f>
        <v>29851.307413225</v>
      </c>
      <c r="S53" s="956">
        <f>Q53*$C$53</f>
        <v>30746.84663562175</v>
      </c>
      <c r="U53" s="956">
        <f>S53*$C$53</f>
        <v>31669.252034690402</v>
      </c>
      <c r="W53" s="956">
        <f>U53*$C$53</f>
        <v>32619.329595731117</v>
      </c>
      <c r="Y53" s="956">
        <f>W53*$C$53</f>
        <v>33597.909483603049</v>
      </c>
      <c r="AA53" s="956">
        <f>Y53*$C$53</f>
        <v>34605.846768111143</v>
      </c>
      <c r="AC53" s="956">
        <f>AA53*$C$53</f>
        <v>35644.02217115448</v>
      </c>
      <c r="AE53" s="956">
        <f>AC53*$C$53</f>
        <v>36713.342836289114</v>
      </c>
      <c r="AG53" s="956">
        <f>AE53*$C$53</f>
        <v>37814.743121377789</v>
      </c>
    </row>
    <row r="54" spans="1:34" s="3" customFormat="1">
      <c r="A54" s="3" t="s">
        <v>855</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30000</v>
      </c>
      <c r="F58" s="956"/>
      <c r="G58" s="956">
        <f>SUM(G53:G57)</f>
        <v>30900</v>
      </c>
      <c r="H58" s="956"/>
      <c r="I58" s="956">
        <f>SUM(I53:I57)</f>
        <v>31827</v>
      </c>
      <c r="J58" s="956"/>
      <c r="K58" s="956">
        <f>SUM(K53:K57)</f>
        <v>32781.81</v>
      </c>
      <c r="L58" s="956"/>
      <c r="M58" s="956">
        <f>SUM(M53:M57)</f>
        <v>33765.264299999995</v>
      </c>
      <c r="N58" s="956"/>
      <c r="O58" s="956">
        <f>SUM(O53:O57)</f>
        <v>34778.222228999999</v>
      </c>
      <c r="P58" s="956"/>
      <c r="Q58" s="956">
        <f>SUM(Q53:Q57)</f>
        <v>35821.568895869998</v>
      </c>
      <c r="R58" s="956"/>
      <c r="S58" s="956">
        <f>SUM(S53:S57)</f>
        <v>36896.215962746101</v>
      </c>
      <c r="T58" s="956"/>
      <c r="U58" s="956">
        <f>SUM(U53:U57)</f>
        <v>38003.102441628485</v>
      </c>
      <c r="V58" s="956"/>
      <c r="W58" s="956">
        <f>SUM(W53:W57)</f>
        <v>39143.195514877341</v>
      </c>
      <c r="X58" s="956"/>
      <c r="Y58" s="956">
        <f>SUM(Y53:Y57)</f>
        <v>40317.491380323656</v>
      </c>
      <c r="Z58" s="956"/>
      <c r="AA58" s="956">
        <f>SUM(AA53:AA57)</f>
        <v>41527.016121733373</v>
      </c>
      <c r="AB58" s="956"/>
      <c r="AC58" s="956">
        <f>SUM(AC53:AC57)</f>
        <v>42772.826605385373</v>
      </c>
      <c r="AD58" s="956"/>
      <c r="AE58" s="956">
        <f>SUM(AE53:AE57)</f>
        <v>44056.011403546938</v>
      </c>
      <c r="AF58" s="956"/>
      <c r="AG58" s="956">
        <f>SUM(AG53:AG57)</f>
        <v>45377.691745653348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381738.29053270118</v>
      </c>
      <c r="G60" s="958">
        <f>G45-G58</f>
        <v>446908.37548270077</v>
      </c>
      <c r="I60" s="958">
        <f>I45-I58</f>
        <v>513082.00855645025</v>
      </c>
      <c r="K60" s="958">
        <f>K45-K58</f>
        <v>580262.35631704424</v>
      </c>
      <c r="M60" s="958">
        <f>M45-M58</f>
        <v>648451.89699175151</v>
      </c>
      <c r="O60" s="958">
        <f>O45-O58</f>
        <v>717652.37640338135</v>
      </c>
      <c r="Q60" s="958">
        <f>Q45-Q58</f>
        <v>787864.76186005527</v>
      </c>
      <c r="S60" s="958">
        <f>S45-S58</f>
        <v>859089.19391948974</v>
      </c>
      <c r="U60" s="958">
        <f>U45-U58</f>
        <v>931324.93594060885</v>
      </c>
      <c r="W60" s="958">
        <f>W45-W58</f>
        <v>1004570.3213319276</v>
      </c>
      <c r="Y60" s="958">
        <f>Y45-Y58</f>
        <v>1078822.6984026982</v>
      </c>
      <c r="AA60" s="958">
        <f>AA45-AA58</f>
        <v>1154078.3727191244</v>
      </c>
      <c r="AC60" s="958">
        <f>AC45-AC58</f>
        <v>1230332.5468642393</v>
      </c>
      <c r="AE60" s="958">
        <f>AE45-AE58</f>
        <v>1307579.2574961062</v>
      </c>
      <c r="AG60" s="958">
        <f>AG45-AG58</f>
        <v>1385811.3095949725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381738.29053270118</v>
      </c>
      <c r="G62" s="958">
        <f>G60*$C$62</f>
        <v>446908.37548270077</v>
      </c>
      <c r="I62" s="958">
        <f>I60*$C$62</f>
        <v>513082.00855645025</v>
      </c>
      <c r="K62" s="958">
        <f>K60*$C$62</f>
        <v>580262.35631704424</v>
      </c>
      <c r="M62" s="958">
        <f>M60*$C$62</f>
        <v>648451.89699175151</v>
      </c>
      <c r="O62" s="958">
        <f>O60*$C$62</f>
        <v>717652.37640338135</v>
      </c>
      <c r="Q62" s="958">
        <f>Q60*$C$62</f>
        <v>787864.76186005527</v>
      </c>
      <c r="S62" s="958">
        <f>S60*$C$62</f>
        <v>859089.19391948974</v>
      </c>
      <c r="U62" s="958">
        <f>U60*$C$62</f>
        <v>931324.93594060885</v>
      </c>
      <c r="W62" s="958">
        <f>W60*$C$62</f>
        <v>1004570.3213319276</v>
      </c>
      <c r="Y62" s="958">
        <f>Y60*$C$62</f>
        <v>1078822.6984026982</v>
      </c>
      <c r="AA62" s="958">
        <f>AA60*$C$62</f>
        <v>1154078.3727191244</v>
      </c>
      <c r="AC62" s="958">
        <f>AC60*$C$62</f>
        <v>1230332.5468642393</v>
      </c>
      <c r="AE62" s="958">
        <f>AE60*$C$62</f>
        <v>1307579.2574961062</v>
      </c>
      <c r="AG62" s="958">
        <f>AG60*$C$62</f>
        <v>1385811.3095949725</v>
      </c>
    </row>
    <row r="63" spans="1:34" s="958" customFormat="1">
      <c r="A63" s="2690" t="s">
        <v>2740</v>
      </c>
      <c r="B63" s="2690"/>
      <c r="C63" s="2690"/>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Application!C636</f>
        <v>HCD AHSC-AHD</v>
      </c>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8" t="s">
        <v>1710</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7622500</v>
      </c>
      <c r="C5" s="266">
        <f>'Sources and Uses Budget'!$C4</f>
        <v>7622500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7622500</v>
      </c>
      <c r="C9" s="270">
        <f>SUM(C5:C8)</f>
        <v>7622500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2280187</v>
      </c>
      <c r="C11" s="266">
        <f>'Sources and Uses Budget'!$C10</f>
        <v>2280187</v>
      </c>
      <c r="D11" s="270">
        <f t="shared" si="0"/>
        <v>0</v>
      </c>
      <c r="E11" s="268"/>
      <c r="F11" s="267"/>
    </row>
    <row r="12" spans="1:6" s="352" customFormat="1">
      <c r="A12" s="365" t="s">
        <v>596</v>
      </c>
      <c r="B12" s="270">
        <f>SUM(B10:B11)</f>
        <v>2280187</v>
      </c>
      <c r="C12" s="270">
        <f>SUM(C10:C11)</f>
        <v>2280187</v>
      </c>
      <c r="D12" s="270">
        <f t="shared" si="0"/>
        <v>0</v>
      </c>
      <c r="E12" s="268"/>
      <c r="F12" s="267"/>
    </row>
    <row r="13" spans="1:6" s="352" customFormat="1">
      <c r="A13" s="365" t="s">
        <v>84</v>
      </c>
      <c r="B13" s="270">
        <f>SUM(B9+B12)</f>
        <v>9902687</v>
      </c>
      <c r="C13" s="270">
        <f>SUM(C9+C12)</f>
        <v>9902687</v>
      </c>
      <c r="D13" s="270">
        <f t="shared" si="0"/>
        <v>0</v>
      </c>
      <c r="E13" s="268"/>
      <c r="F13" s="267"/>
    </row>
    <row r="14" spans="1:6" s="352" customFormat="1">
      <c r="A14" s="366" t="s">
        <v>902</v>
      </c>
      <c r="B14" s="266">
        <f>'Sources and Uses Budget'!$C13</f>
        <v>571077</v>
      </c>
      <c r="C14" s="266">
        <f>'Sources and Uses Budget'!$C13</f>
        <v>571077</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7826858</v>
      </c>
      <c r="C30" s="266">
        <f>'Sources and Uses Budget'!$C29</f>
        <v>7826858</v>
      </c>
      <c r="D30" s="270">
        <f t="shared" si="0"/>
        <v>0</v>
      </c>
      <c r="E30" s="268"/>
      <c r="F30" s="267"/>
    </row>
    <row r="31" spans="1:6" s="352" customFormat="1">
      <c r="A31" s="145" t="s">
        <v>599</v>
      </c>
      <c r="B31" s="266">
        <f>'Sources and Uses Budget'!$C30</f>
        <v>62996337</v>
      </c>
      <c r="C31" s="266">
        <f>'Sources and Uses Budget'!$C30</f>
        <v>62996337</v>
      </c>
      <c r="D31" s="270">
        <f t="shared" si="0"/>
        <v>0</v>
      </c>
      <c r="E31" s="268"/>
      <c r="F31" s="267"/>
    </row>
    <row r="32" spans="1:6" s="352" customFormat="1">
      <c r="A32" s="145" t="s">
        <v>600</v>
      </c>
      <c r="B32" s="266">
        <f>'Sources and Uses Budget'!$C31</f>
        <v>4103251</v>
      </c>
      <c r="C32" s="266">
        <f>'Sources and Uses Budget'!$C31</f>
        <v>4103251</v>
      </c>
      <c r="D32" s="270">
        <f t="shared" si="0"/>
        <v>0</v>
      </c>
      <c r="E32" s="268"/>
      <c r="F32" s="267"/>
    </row>
    <row r="33" spans="1:6" s="352" customFormat="1">
      <c r="A33" s="145" t="s">
        <v>137</v>
      </c>
      <c r="B33" s="266">
        <f>'Sources and Uses Budget'!$C32</f>
        <v>1544133</v>
      </c>
      <c r="C33" s="266">
        <f>'Sources and Uses Budget'!$C32</f>
        <v>1544133</v>
      </c>
      <c r="D33" s="270">
        <f t="shared" si="0"/>
        <v>0</v>
      </c>
      <c r="E33" s="268"/>
      <c r="F33" s="267"/>
    </row>
    <row r="34" spans="1:6" s="352" customFormat="1">
      <c r="A34" s="145" t="s">
        <v>138</v>
      </c>
      <c r="B34" s="266">
        <f>'Sources and Uses Budget'!$C33</f>
        <v>4931231</v>
      </c>
      <c r="C34" s="266">
        <f>'Sources and Uses Budget'!$C33</f>
        <v>4931231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1258849</v>
      </c>
      <c r="C36" s="266">
        <f>'Sources and Uses Budget'!$C35</f>
        <v>1258849</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82660659</v>
      </c>
      <c r="C39" s="270">
        <f>SUM(C30:C38)</f>
        <v>82660659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951050</v>
      </c>
      <c r="C41" s="266">
        <f>'Sources and Uses Budget'!$C40</f>
        <v>951050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951050</v>
      </c>
      <c r="C43" s="270">
        <f>SUM(C41:C42)</f>
        <v>951050</v>
      </c>
      <c r="D43" s="270">
        <f t="shared" si="0"/>
        <v>0</v>
      </c>
      <c r="E43" s="268"/>
      <c r="F43" s="267"/>
    </row>
    <row r="44" spans="1:6" s="352" customFormat="1">
      <c r="A44" s="271" t="s">
        <v>148</v>
      </c>
      <c r="B44" s="266">
        <f>'Sources and Uses Budget'!$C43</f>
        <v>1153475</v>
      </c>
      <c r="C44" s="266">
        <f>'Sources and Uses Budget'!$C43</f>
        <v>1153475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13847637</v>
      </c>
      <c r="C46" s="266">
        <f>'Sources and Uses Budget'!$C45</f>
        <v>13847637</v>
      </c>
      <c r="D46" s="270">
        <f t="shared" si="0"/>
        <v>0</v>
      </c>
      <c r="E46" s="268"/>
      <c r="F46" s="267"/>
    </row>
    <row r="47" spans="1:6" s="352" customFormat="1">
      <c r="A47" s="145" t="s">
        <v>151</v>
      </c>
      <c r="B47" s="266">
        <f>'Sources and Uses Budget'!$C46</f>
        <v>1010418</v>
      </c>
      <c r="C47" s="266">
        <f>'Sources and Uses Budget'!$C46</f>
        <v>1010418</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163000</v>
      </c>
      <c r="C50" s="266">
        <f>'Sources and Uses Budget'!$C49</f>
        <v>163000</v>
      </c>
      <c r="D50" s="270">
        <f t="shared"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'Sources and Uses Budget'!$C51</f>
        <v>97594</v>
      </c>
      <c r="C52" s="266">
        <f>'Sources and Uses Budget'!$C51</f>
        <v>97594</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15143649</v>
      </c>
      <c r="C55" s="273">
        <f>SUM(C46:C54)</f>
        <v>15143649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98109</v>
      </c>
      <c r="C57" s="266">
        <f>'Sources and Uses Budget'!$C56</f>
        <v>98109</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98109</v>
      </c>
      <c r="C63" s="270">
        <f>SUM(C57:C62)</f>
        <v>98109</v>
      </c>
      <c r="D63" s="270">
        <f t="shared" si="0"/>
        <v>0</v>
      </c>
      <c r="E63" s="268"/>
      <c r="F63" s="267"/>
    </row>
    <row r="64" spans="1:6" s="352" customFormat="1">
      <c r="A64" s="274" t="s">
        <v>302</v>
      </c>
      <c r="B64" s="270">
        <f>SUM(B9+B12+B14+B15+B17+B26+B28+B39+B43+B44+B55+B63)</f>
        <v>110480706</v>
      </c>
      <c r="C64" s="270">
        <f>SUM(C9+C12+C14+C15+C17+C26+C28+C39+C43+C44+C55+C63)</f>
        <v>110480706</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475000</v>
      </c>
      <c r="C66" s="266">
        <f>'Sources and Uses Budget'!$C65</f>
        <v>475000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475000</v>
      </c>
      <c r="C71" s="270">
        <f>SUM(C66:C70)</f>
        <v>475000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1187970</v>
      </c>
      <c r="C76" s="266">
        <f>'Sources and Uses Budget'!$C75</f>
        <v>1187970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1187970</v>
      </c>
      <c r="C78" s="270">
        <f>SUM(C73:C77)</f>
        <v>1187970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4196164</v>
      </c>
      <c r="C80" s="266">
        <f>'Sources and Uses Budget'!$C79</f>
        <v>4196164</v>
      </c>
      <c r="D80" s="270">
        <f t="shared" si="1"/>
        <v>0</v>
      </c>
      <c r="E80" s="268"/>
      <c r="F80" s="267"/>
    </row>
    <row r="81" spans="1:6" s="352" customFormat="1">
      <c r="A81" s="510" t="s">
        <v>58</v>
      </c>
      <c r="B81" s="266">
        <f>'Sources and Uses Budget'!$C80</f>
        <v>439997</v>
      </c>
      <c r="C81" s="266">
        <f>'Sources and Uses Budget'!$C80</f>
        <v>439997</v>
      </c>
      <c r="D81" s="270">
        <f>C81-B81</f>
        <v>0</v>
      </c>
      <c r="E81" s="268"/>
      <c r="F81" s="267"/>
    </row>
    <row r="82" spans="1:6" s="352" customFormat="1">
      <c r="A82" s="271" t="s">
        <v>1209</v>
      </c>
      <c r="B82" s="270">
        <f>SUM(B80:B81)</f>
        <v>4636161</v>
      </c>
      <c r="C82" s="270">
        <f>SUM(C80:C81)</f>
        <v>4636161</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420833</v>
      </c>
      <c r="C84" s="266">
        <f>'Sources and Uses Budget'!$C83</f>
        <v>420833</v>
      </c>
      <c r="D84" s="270">
        <f t="shared" si="1"/>
        <v>0</v>
      </c>
      <c r="E84" s="268"/>
      <c r="F84" s="267"/>
    </row>
    <row r="85" spans="1:6" s="352" customFormat="1">
      <c r="A85" s="269" t="s">
        <v>767</v>
      </c>
      <c r="B85" s="266">
        <f>'Sources and Uses Budget'!$C84</f>
        <v>1345320</v>
      </c>
      <c r="C85" s="266">
        <f>'Sources and Uses Budget'!$C84</f>
        <v>1345320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7145258</v>
      </c>
      <c r="C87" s="266">
        <f>'Sources and Uses Budget'!$C86</f>
        <v>7145258</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579600</v>
      </c>
      <c r="C89" s="266">
        <f>'Sources and Uses Budget'!$C88</f>
        <v>579600</v>
      </c>
      <c r="D89" s="270">
        <f t="shared" si="1"/>
        <v>0</v>
      </c>
      <c r="E89" s="268"/>
      <c r="F89" s="267"/>
    </row>
    <row r="90" spans="1:6" s="352" customFormat="1">
      <c r="A90" s="269" t="s">
        <v>772</v>
      </c>
      <c r="B90" s="266">
        <f>'Sources and Uses Budget'!$C89</f>
        <v>155564</v>
      </c>
      <c r="C90" s="266">
        <f>'Sources and Uses Budget'!$C89</f>
        <v>155564</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1211</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9706575</v>
      </c>
      <c r="C97" s="270">
        <f>SUM(C84:C96)</f>
        <v>9706575</v>
      </c>
      <c r="D97" s="270">
        <f t="shared" si="1"/>
        <v>0</v>
      </c>
      <c r="E97" s="268"/>
      <c r="F97" s="267"/>
    </row>
    <row r="98" spans="1:6" s="352" customFormat="1">
      <c r="A98" s="271" t="s">
        <v>775</v>
      </c>
      <c r="B98" s="270">
        <f>SUM(B64+B71+B78+B82+B97)</f>
        <v>126486412</v>
      </c>
      <c r="C98" s="270">
        <f>SUM(C64+C71+C78+C82+C97)</f>
        <v>126486412</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16222420</v>
      </c>
      <c r="C100" s="266">
        <f>'Sources and Uses Budget'!$C99</f>
        <v>16222420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16222420</v>
      </c>
      <c r="C105" s="270">
        <f>SUM(C100:C104)</f>
        <v>16222420</v>
      </c>
      <c r="D105" s="270">
        <f t="shared" si="1"/>
        <v>0</v>
      </c>
      <c r="E105" s="268"/>
      <c r="F105" s="267"/>
    </row>
    <row r="106" spans="1:6" s="352" customFormat="1">
      <c r="A106" s="271" t="s">
        <v>780</v>
      </c>
      <c r="B106" s="273">
        <f>SUM(B98+B105)</f>
        <v>142708832</v>
      </c>
      <c r="C106" s="273">
        <f>SUM(C98+C105)</f>
        <v>142708832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2" t="s">
        <v>1843</v>
      </c>
      <c r="B1" s="1283"/>
      <c r="C1" s="1283"/>
      <c r="D1" s="1283"/>
      <c r="E1" s="1283"/>
      <c r="F1" s="1283"/>
      <c r="G1" s="1283"/>
      <c r="H1" s="1283"/>
      <c r="I1" s="1283"/>
      <c r="J1" s="1283"/>
    </row>
    <row r="2" spans="1:10" ht="15">
      <c r="A2" s="1286" t="s">
        <v>1268</v>
      </c>
      <c r="B2" s="1287"/>
      <c r="C2" s="1287"/>
      <c r="D2" s="1287"/>
      <c r="E2" s="1287"/>
      <c r="F2" s="1287"/>
      <c r="G2" s="1287"/>
      <c r="H2" s="1287"/>
      <c r="I2" s="1287"/>
      <c r="J2" s="1287"/>
    </row>
    <row r="3" spans="1:10" ht="12.75"/>
    <row r="4" spans="1:10" ht="12.75" customHeight="1">
      <c r="A4" s="1284" t="s">
        <v>2007</v>
      </c>
      <c r="B4" s="1284"/>
      <c r="C4" s="1284"/>
      <c r="D4" s="1284"/>
      <c r="E4" s="1284"/>
      <c r="F4" s="1284"/>
      <c r="G4" s="1284"/>
      <c r="H4" s="1284"/>
      <c r="I4" s="1284"/>
      <c r="J4" s="1284"/>
    </row>
    <row r="5" spans="1:10" ht="12.75">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8" t="s">
        <v>1848</v>
      </c>
      <c r="B10" s="1288"/>
      <c r="C10" s="1288"/>
      <c r="D10" s="1288"/>
      <c r="E10" s="1288"/>
      <c r="F10" s="1288"/>
      <c r="G10" s="1288"/>
      <c r="H10" s="1288"/>
      <c r="I10" s="1288"/>
      <c r="J10" s="1288"/>
    </row>
    <row r="11" spans="1:10" ht="12.75">
      <c r="A11" s="1288"/>
      <c r="B11" s="1288"/>
      <c r="C11" s="1288"/>
      <c r="D11" s="1288"/>
      <c r="E11" s="1288"/>
      <c r="F11" s="1288"/>
      <c r="G11" s="1288"/>
      <c r="H11" s="1288"/>
      <c r="I11" s="1288"/>
      <c r="J11" s="1288"/>
    </row>
    <row r="12" spans="1:10" ht="12.75">
      <c r="A12" s="1288"/>
      <c r="B12" s="1288"/>
      <c r="C12" s="1288"/>
      <c r="D12" s="1288"/>
      <c r="E12" s="1288"/>
      <c r="F12" s="1288"/>
      <c r="G12" s="1288"/>
      <c r="H12" s="1288"/>
      <c r="I12" s="1288"/>
      <c r="J12" s="1288"/>
    </row>
    <row r="13" spans="1:10" ht="12.75">
      <c r="A13" s="1288"/>
      <c r="B13" s="1288"/>
      <c r="C13" s="1288"/>
      <c r="D13" s="1288"/>
      <c r="E13" s="1288"/>
      <c r="F13" s="1288"/>
      <c r="G13" s="1288"/>
      <c r="H13" s="1288"/>
      <c r="I13" s="1288"/>
      <c r="J13" s="1288"/>
    </row>
    <row r="14" spans="1:10" ht="12.75">
      <c r="A14" s="1288"/>
      <c r="B14" s="1288"/>
      <c r="C14" s="1288"/>
      <c r="D14" s="1288"/>
      <c r="E14" s="1288"/>
      <c r="F14" s="1288"/>
      <c r="G14" s="1288"/>
      <c r="H14" s="1288"/>
      <c r="I14" s="1288"/>
      <c r="J14" s="1288"/>
    </row>
    <row r="15" spans="1:10" ht="12.75">
      <c r="A15" s="1288"/>
      <c r="B15" s="1288"/>
      <c r="C15" s="1288"/>
      <c r="D15" s="1288"/>
      <c r="E15" s="1288"/>
      <c r="F15" s="1288"/>
      <c r="G15" s="1288"/>
      <c r="H15" s="1288"/>
      <c r="I15" s="1288"/>
      <c r="J15" s="1288"/>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7" t="s">
        <v>1189</v>
      </c>
      <c r="B19" s="1287"/>
      <c r="C19" s="1287"/>
      <c r="D19" s="1287"/>
      <c r="E19" s="128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4" t="s">
        <v>1190</v>
      </c>
      <c r="B76" s="1284"/>
      <c r="C76" s="1284"/>
      <c r="D76" s="1284"/>
      <c r="E76" s="1284"/>
      <c r="F76" s="1284"/>
      <c r="G76" s="1284"/>
      <c r="H76" s="1284"/>
      <c r="I76" s="1284"/>
      <c r="J76" s="1284"/>
    </row>
    <row r="77" spans="1:10" ht="12.75">
      <c r="A77" s="1284"/>
      <c r="B77" s="1284"/>
      <c r="C77" s="1284"/>
      <c r="D77" s="1284"/>
      <c r="E77" s="1284"/>
      <c r="F77" s="1284"/>
      <c r="G77" s="1284"/>
      <c r="H77" s="1284"/>
      <c r="I77" s="1284"/>
      <c r="J77" s="1284"/>
    </row>
    <row r="78" spans="1:10" ht="12.75">
      <c r="A78" s="1284"/>
      <c r="B78" s="1284"/>
      <c r="C78" s="1284"/>
      <c r="D78" s="1284"/>
      <c r="E78" s="1284"/>
      <c r="F78" s="1284"/>
      <c r="G78" s="1284"/>
      <c r="H78" s="1284"/>
      <c r="I78" s="1284"/>
      <c r="J78" s="1284"/>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5" t="s">
        <v>1844</v>
      </c>
      <c r="B89" s="1285"/>
      <c r="C89" s="1285"/>
      <c r="D89" s="1285"/>
      <c r="E89" s="1285"/>
      <c r="F89" s="1285"/>
      <c r="G89" s="1285"/>
      <c r="H89" s="1285"/>
      <c r="I89" s="1285"/>
    </row>
    <row r="90" spans="1:9" ht="12.75">
      <c r="A90" s="1277" t="s">
        <v>2005</v>
      </c>
      <c r="B90" s="1277"/>
      <c r="C90" s="1277"/>
      <c r="D90" s="1277"/>
      <c r="E90" s="1277"/>
    </row>
    <row r="91" spans="1:9" ht="12.75">
      <c r="A91" s="1277" t="s">
        <v>2006</v>
      </c>
      <c r="B91" s="1277"/>
      <c r="C91" s="1277"/>
      <c r="D91" s="1277"/>
      <c r="E91" s="1277"/>
    </row>
    <row r="92" spans="1:9" ht="12.75">
      <c r="A92" s="1277" t="s">
        <v>1845</v>
      </c>
      <c r="B92" s="1277"/>
      <c r="C92" s="1277"/>
      <c r="D92" s="1277"/>
      <c r="E92" s="127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90" zoomScaleNormal="90" workbookViewId="0">
      <selection activeCell="F32" sqref="F3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40" t="s">
        <v>2607</v>
      </c>
      <c r="B2" s="1340"/>
      <c r="C2" s="1340"/>
      <c r="D2" s="1340"/>
      <c r="E2" s="1340"/>
      <c r="F2" s="1340"/>
      <c r="G2" s="1340"/>
      <c r="H2" s="1340"/>
      <c r="I2" s="1340"/>
    </row>
    <row r="3" spans="1:13">
      <c r="A3" s="1330" t="s">
        <v>2174</v>
      </c>
      <c r="B3" s="1330"/>
      <c r="C3" s="1330"/>
      <c r="D3" s="1330"/>
      <c r="E3" s="1330"/>
      <c r="F3" s="1330"/>
      <c r="G3" s="1330"/>
      <c r="H3" s="1330"/>
      <c r="I3" s="1330"/>
    </row>
    <row r="4" spans="1:13">
      <c r="A4" s="1330"/>
      <c r="B4" s="1330"/>
      <c r="C4" s="1287"/>
      <c r="D4" s="1287"/>
      <c r="E4" s="1287"/>
      <c r="F4" s="1287"/>
      <c r="G4" s="1287"/>
    </row>
    <row r="5" spans="1:13">
      <c r="A5" s="1330"/>
      <c r="B5" s="1330"/>
      <c r="C5" s="1287"/>
      <c r="D5" s="1287"/>
      <c r="E5" s="1287"/>
      <c r="F5" s="1287"/>
      <c r="G5" s="1287"/>
    </row>
    <row r="6" spans="1:13" ht="12.75" customHeight="1">
      <c r="A6" s="1333" t="s">
        <v>2173</v>
      </c>
      <c r="B6" s="1333"/>
      <c r="C6" s="1333"/>
      <c r="D6" s="1333"/>
      <c r="E6" s="1333"/>
      <c r="F6" s="1333"/>
      <c r="G6" s="1333"/>
      <c r="I6" s="490"/>
    </row>
    <row r="7" spans="1:13">
      <c r="A7" s="1333"/>
      <c r="B7" s="1333"/>
      <c r="C7" s="1333"/>
      <c r="D7" s="1333"/>
      <c r="E7" s="1333"/>
      <c r="F7" s="1333"/>
      <c r="G7" s="1333"/>
      <c r="I7" s="490"/>
    </row>
    <row r="8" spans="1:13">
      <c r="A8" s="481"/>
      <c r="B8" s="481"/>
      <c r="C8" s="482"/>
      <c r="D8" s="482"/>
      <c r="E8" s="482"/>
      <c r="F8" s="482"/>
    </row>
    <row r="9" spans="1:13">
      <c r="A9" s="1309" t="s">
        <v>1101</v>
      </c>
      <c r="B9" s="1309"/>
      <c r="C9" s="1309"/>
      <c r="D9" s="1309"/>
      <c r="E9" s="1309"/>
      <c r="F9" s="1309"/>
      <c r="G9" s="1309"/>
      <c r="H9" s="1023"/>
      <c r="I9" s="1024"/>
    </row>
    <row r="10" spans="1:13">
      <c r="A10" s="482"/>
      <c r="B10" s="482"/>
      <c r="E10" s="404"/>
    </row>
    <row r="11" spans="1:13" ht="13.7" customHeight="1">
      <c r="C11" s="482"/>
      <c r="D11" s="1332" t="s">
        <v>1100</v>
      </c>
      <c r="E11" s="1332"/>
      <c r="F11" s="1332"/>
    </row>
    <row r="12" spans="1:13">
      <c r="C12" s="482"/>
      <c r="D12" s="1332"/>
      <c r="E12" s="1332"/>
      <c r="F12" s="1332"/>
    </row>
    <row r="13" spans="1:13">
      <c r="A13" s="483"/>
      <c r="B13" s="483"/>
      <c r="C13" s="483"/>
      <c r="D13" s="1310" t="s">
        <v>1090</v>
      </c>
      <c r="E13" s="1310"/>
      <c r="F13" s="1310"/>
      <c r="M13" s="96"/>
    </row>
    <row r="14" spans="1:13">
      <c r="A14" s="483"/>
      <c r="B14" s="483"/>
      <c r="C14" s="483"/>
      <c r="D14" s="476"/>
      <c r="L14" s="312"/>
    </row>
    <row r="15" spans="1:13" ht="14.25">
      <c r="A15" s="484"/>
      <c r="B15" s="485" t="s">
        <v>2714</v>
      </c>
      <c r="C15" s="483"/>
      <c r="D15" s="1308" t="s">
        <v>1895</v>
      </c>
      <c r="E15" s="1308"/>
      <c r="F15" s="1308"/>
      <c r="I15" s="490"/>
    </row>
    <row r="16" spans="1:13">
      <c r="A16" s="483"/>
      <c r="B16" s="483"/>
      <c r="C16" s="483"/>
      <c r="D16" s="1308"/>
      <c r="E16" s="1308"/>
      <c r="F16" s="1308"/>
      <c r="I16" s="490"/>
    </row>
    <row r="17" spans="1:9">
      <c r="A17" s="483"/>
      <c r="B17" s="483"/>
      <c r="C17" s="483"/>
      <c r="D17" s="1308"/>
      <c r="E17" s="1308"/>
      <c r="F17" s="1308"/>
      <c r="I17" s="490"/>
    </row>
    <row r="18" spans="1:9">
      <c r="A18" s="483"/>
      <c r="B18" s="483"/>
      <c r="C18" s="483"/>
      <c r="D18" s="445"/>
      <c r="E18" s="312" t="s">
        <v>1893</v>
      </c>
      <c r="F18" s="445"/>
      <c r="I18" s="490"/>
    </row>
    <row r="19" spans="1:9">
      <c r="A19" s="483"/>
      <c r="B19" s="483"/>
      <c r="C19" s="483"/>
      <c r="I19" s="490"/>
    </row>
    <row r="20" spans="1:9" ht="14.25">
      <c r="A20" s="484"/>
      <c r="B20" s="485" t="s">
        <v>2714</v>
      </c>
      <c r="D20" s="1308" t="s">
        <v>1896</v>
      </c>
      <c r="E20" s="1308"/>
      <c r="F20" s="1308"/>
      <c r="I20" s="490"/>
    </row>
    <row r="21" spans="1:9" ht="14.25">
      <c r="A21" s="484"/>
      <c r="D21" s="1308"/>
      <c r="E21" s="1308"/>
      <c r="F21" s="1308"/>
      <c r="I21" s="490"/>
    </row>
    <row r="22" spans="1:9" ht="14.25">
      <c r="A22" s="484"/>
      <c r="D22" s="392"/>
      <c r="E22" s="96" t="s">
        <v>1892</v>
      </c>
      <c r="F22" s="392"/>
      <c r="I22" s="490"/>
    </row>
    <row r="23" spans="1:9" ht="14.25">
      <c r="A23" s="484"/>
      <c r="B23" s="484"/>
      <c r="D23" s="446"/>
      <c r="I23" s="490"/>
    </row>
    <row r="24" spans="1:9" ht="14.25">
      <c r="A24" s="484"/>
      <c r="B24" s="485" t="s">
        <v>2715</v>
      </c>
      <c r="D24" s="1308" t="s">
        <v>1091</v>
      </c>
      <c r="E24" s="1308"/>
      <c r="F24" s="1308"/>
      <c r="I24" s="490"/>
    </row>
    <row r="25" spans="1:9" ht="14.25">
      <c r="A25" s="484"/>
      <c r="B25" s="484"/>
      <c r="D25" s="1308"/>
      <c r="E25" s="1308"/>
      <c r="F25" s="1308"/>
      <c r="I25" s="490"/>
    </row>
    <row r="26" spans="1:9">
      <c r="I26" s="490"/>
    </row>
    <row r="27" spans="1:9" ht="14.25">
      <c r="A27" s="484"/>
      <c r="B27" s="485" t="s">
        <v>2714</v>
      </c>
      <c r="D27" s="1308" t="s">
        <v>2008</v>
      </c>
      <c r="E27" s="1308"/>
      <c r="F27" s="1308"/>
      <c r="I27" s="490"/>
    </row>
    <row r="28" spans="1:9">
      <c r="D28" s="1308"/>
      <c r="E28" s="1308"/>
      <c r="F28" s="1308"/>
      <c r="I28" s="490"/>
    </row>
    <row r="29" spans="1:9">
      <c r="D29" s="1308"/>
      <c r="E29" s="1308"/>
      <c r="F29" s="1308"/>
      <c r="I29" s="490"/>
    </row>
    <row r="30" spans="1:9">
      <c r="D30" s="1308"/>
      <c r="E30" s="1308"/>
      <c r="F30" s="1308"/>
      <c r="I30" s="490"/>
    </row>
    <row r="31" spans="1:9">
      <c r="D31" s="1308"/>
      <c r="E31" s="1308"/>
      <c r="F31" s="1308"/>
      <c r="I31" s="490"/>
    </row>
    <row r="32" spans="1:9">
      <c r="D32" s="447"/>
      <c r="I32" s="490"/>
    </row>
    <row r="33" spans="1:9">
      <c r="B33" s="485" t="s">
        <v>2714</v>
      </c>
      <c r="D33" s="1308" t="s">
        <v>2009</v>
      </c>
      <c r="E33" s="1308"/>
      <c r="F33" s="1308"/>
      <c r="I33" s="490"/>
    </row>
    <row r="34" spans="1:9">
      <c r="D34" s="1308"/>
      <c r="E34" s="1308"/>
      <c r="F34" s="1308"/>
      <c r="I34" s="490"/>
    </row>
    <row r="35" spans="1:9" ht="14.25">
      <c r="A35" s="484"/>
      <c r="B35" s="484"/>
      <c r="D35" s="447"/>
      <c r="I35" s="490"/>
    </row>
    <row r="36" spans="1:9" ht="14.45" customHeight="1">
      <c r="A36" s="484"/>
      <c r="B36" s="485" t="s">
        <v>2715</v>
      </c>
      <c r="D36" s="1308" t="s">
        <v>1214</v>
      </c>
      <c r="E36" s="1308"/>
      <c r="F36" s="1308"/>
      <c r="I36" s="490"/>
    </row>
    <row r="37" spans="1:9" ht="14.25">
      <c r="A37" s="484"/>
      <c r="B37" s="484"/>
      <c r="D37" s="1308"/>
      <c r="E37" s="1308"/>
      <c r="F37" s="1308"/>
      <c r="I37" s="490"/>
    </row>
    <row r="38" spans="1:9" ht="14.25">
      <c r="A38" s="484"/>
      <c r="B38" s="484"/>
      <c r="D38" s="1308"/>
      <c r="E38" s="1308"/>
      <c r="F38" s="1308"/>
      <c r="I38" s="490"/>
    </row>
    <row r="39" spans="1:9" ht="14.25">
      <c r="A39" s="484"/>
      <c r="B39" s="484"/>
      <c r="D39" s="1308"/>
      <c r="E39" s="1308"/>
      <c r="F39" s="1308"/>
      <c r="I39" s="490"/>
    </row>
    <row r="40" spans="1:9" ht="14.25">
      <c r="A40" s="484"/>
      <c r="B40" s="484"/>
      <c r="I40" s="490"/>
    </row>
    <row r="41" spans="1:9" ht="14.25">
      <c r="A41" s="484"/>
      <c r="B41" s="485" t="s">
        <v>2715</v>
      </c>
      <c r="D41" s="1308" t="s">
        <v>1092</v>
      </c>
      <c r="E41" s="1308"/>
      <c r="F41" s="1308"/>
      <c r="I41" s="490"/>
    </row>
    <row r="42" spans="1:9" ht="14.25">
      <c r="A42" s="484"/>
      <c r="B42" s="484"/>
      <c r="D42" s="1308"/>
      <c r="E42" s="1308"/>
      <c r="F42" s="1308"/>
      <c r="I42" s="490"/>
    </row>
    <row r="43" spans="1:9" ht="14.25">
      <c r="A43" s="484"/>
      <c r="B43" s="484"/>
      <c r="D43" s="1308"/>
      <c r="E43" s="1308"/>
      <c r="F43" s="1308"/>
      <c r="I43" s="490"/>
    </row>
    <row r="44" spans="1:9" ht="14.25">
      <c r="A44" s="484"/>
      <c r="B44" s="484"/>
      <c r="D44" s="1308"/>
      <c r="E44" s="1308"/>
      <c r="F44" s="1308"/>
      <c r="I44" s="490"/>
    </row>
    <row r="45" spans="1:9" ht="14.25">
      <c r="A45" s="484"/>
      <c r="B45" s="484"/>
      <c r="D45" s="1308"/>
      <c r="E45" s="1308"/>
      <c r="F45" s="1308"/>
      <c r="I45" s="490"/>
    </row>
    <row r="46" spans="1:9" ht="14.25">
      <c r="A46" s="484"/>
      <c r="B46" s="484"/>
      <c r="D46" s="445"/>
      <c r="E46" s="445"/>
      <c r="F46" s="445"/>
      <c r="I46" s="490"/>
    </row>
    <row r="47" spans="1:9" ht="14.25">
      <c r="A47" s="484"/>
      <c r="B47" s="485" t="s">
        <v>2715</v>
      </c>
      <c r="D47" s="1308" t="s">
        <v>1093</v>
      </c>
      <c r="E47" s="1308"/>
      <c r="F47" s="1308"/>
      <c r="I47" s="490"/>
    </row>
    <row r="48" spans="1:9" ht="14.25">
      <c r="A48" s="484"/>
      <c r="B48" s="484"/>
      <c r="D48" s="1308"/>
      <c r="E48" s="1308"/>
      <c r="F48" s="1308"/>
      <c r="I48" s="490"/>
    </row>
    <row r="49" spans="1:9" ht="14.25">
      <c r="A49" s="484"/>
      <c r="B49" s="484"/>
      <c r="D49" s="1308"/>
      <c r="E49" s="1308"/>
      <c r="F49" s="1308"/>
      <c r="I49" s="490"/>
    </row>
    <row r="50" spans="1:9" ht="23.25" customHeight="1">
      <c r="A50" s="484"/>
      <c r="B50" s="484"/>
      <c r="D50" s="1308"/>
      <c r="E50" s="1308"/>
      <c r="F50" s="1308"/>
      <c r="I50" s="490"/>
    </row>
    <row r="51" spans="1:9" ht="14.25">
      <c r="A51" s="484"/>
      <c r="B51" s="484"/>
      <c r="D51" s="446"/>
      <c r="I51" s="490"/>
    </row>
    <row r="52" spans="1:9" ht="14.45" customHeight="1">
      <c r="A52" s="484"/>
      <c r="B52" s="485" t="s">
        <v>2715</v>
      </c>
      <c r="D52" s="1308" t="s">
        <v>1094</v>
      </c>
      <c r="E52" s="1308"/>
      <c r="F52" s="1308"/>
      <c r="I52" s="490"/>
    </row>
    <row r="53" spans="1:9" ht="14.25">
      <c r="A53" s="484"/>
      <c r="B53" s="484"/>
      <c r="D53" s="1308"/>
      <c r="E53" s="1308"/>
      <c r="F53" s="1308"/>
      <c r="I53" s="490"/>
    </row>
    <row r="54" spans="1:9" ht="14.25">
      <c r="A54" s="484"/>
      <c r="B54" s="484"/>
      <c r="D54" s="1308"/>
      <c r="E54" s="1308"/>
      <c r="F54" s="1308"/>
      <c r="I54" s="490"/>
    </row>
    <row r="55" spans="1:9" ht="14.25">
      <c r="A55" s="484"/>
      <c r="B55" s="484"/>
      <c r="I55" s="490"/>
    </row>
    <row r="56" spans="1:9" ht="14.25">
      <c r="A56" s="484"/>
      <c r="B56" s="485" t="s">
        <v>2714</v>
      </c>
      <c r="D56" s="1335" t="s">
        <v>1095</v>
      </c>
      <c r="E56" s="1335"/>
      <c r="F56" s="1335"/>
      <c r="I56" s="490"/>
    </row>
    <row r="57" spans="1:9" ht="14.25">
      <c r="A57" s="484"/>
      <c r="B57" s="484"/>
      <c r="D57" s="1335"/>
      <c r="E57" s="1335"/>
      <c r="F57" s="1335"/>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2715</v>
      </c>
      <c r="D61" s="1308" t="s">
        <v>1096</v>
      </c>
      <c r="E61" s="1308"/>
      <c r="F61" s="1308"/>
      <c r="I61" s="490"/>
    </row>
    <row r="62" spans="1:9">
      <c r="D62" s="1308"/>
      <c r="E62" s="1308"/>
      <c r="F62" s="1308"/>
      <c r="I62" s="490"/>
    </row>
    <row r="63" spans="1:9">
      <c r="D63" s="1308"/>
      <c r="E63" s="1308"/>
      <c r="F63" s="1308"/>
      <c r="I63" s="490"/>
    </row>
    <row r="64" spans="1:9">
      <c r="I64" s="490"/>
    </row>
    <row r="65" spans="1:9" ht="14.25">
      <c r="A65" s="484"/>
      <c r="B65" s="485" t="s">
        <v>2715</v>
      </c>
      <c r="D65" s="1308" t="s">
        <v>1097</v>
      </c>
      <c r="E65" s="1308"/>
      <c r="F65" s="1308"/>
      <c r="I65" s="490"/>
    </row>
    <row r="66" spans="1:9">
      <c r="D66" s="1308"/>
      <c r="E66" s="1308"/>
      <c r="F66" s="1308"/>
      <c r="I66" s="490"/>
    </row>
    <row r="67" spans="1:9">
      <c r="I67" s="490"/>
    </row>
    <row r="68" spans="1:9" ht="14.25">
      <c r="A68" s="484"/>
      <c r="B68" s="485" t="s">
        <v>2714</v>
      </c>
      <c r="D68" s="1308" t="s">
        <v>1098</v>
      </c>
      <c r="E68" s="1308"/>
      <c r="F68" s="1308"/>
      <c r="I68" s="490"/>
    </row>
    <row r="69" spans="1:9">
      <c r="D69" s="1308"/>
      <c r="E69" s="1308"/>
      <c r="F69" s="1308"/>
      <c r="I69" s="490"/>
    </row>
    <row r="70" spans="1:9">
      <c r="D70" s="1308"/>
      <c r="E70" s="1308"/>
      <c r="F70" s="1308"/>
      <c r="I70" s="490"/>
    </row>
    <row r="71" spans="1:9">
      <c r="I71" s="490"/>
    </row>
    <row r="72" spans="1:9" ht="14.25">
      <c r="A72" s="484"/>
      <c r="B72" s="485" t="s">
        <v>2714</v>
      </c>
      <c r="D72" s="1308" t="s">
        <v>1099</v>
      </c>
      <c r="E72" s="1308"/>
      <c r="F72" s="1308"/>
      <c r="I72" s="490"/>
    </row>
    <row r="73" spans="1:9">
      <c r="D73" s="1308"/>
      <c r="E73" s="1308"/>
      <c r="F73" s="1308"/>
      <c r="I73" s="490"/>
    </row>
    <row r="74" spans="1:9" ht="14.25">
      <c r="A74" s="484"/>
      <c r="B74" s="484"/>
      <c r="D74" s="446"/>
      <c r="I74" s="490"/>
    </row>
    <row r="75" spans="1:9">
      <c r="A75" s="1309" t="s">
        <v>1044</v>
      </c>
      <c r="B75" s="1309"/>
      <c r="C75" s="1309"/>
      <c r="D75" s="1309"/>
      <c r="E75" s="1309"/>
      <c r="F75" s="1309"/>
      <c r="G75" s="1309"/>
      <c r="H75" s="1023"/>
      <c r="I75" s="1147"/>
    </row>
    <row r="76" spans="1:9">
      <c r="I76" s="490"/>
    </row>
    <row r="77" spans="1:9">
      <c r="C77" s="486"/>
      <c r="D77" s="1328" t="s">
        <v>1102</v>
      </c>
      <c r="E77" s="1328"/>
      <c r="F77" s="1328"/>
      <c r="I77" s="490"/>
    </row>
    <row r="78" spans="1:9">
      <c r="A78" s="446"/>
      <c r="B78" s="446"/>
      <c r="D78" s="1308" t="s">
        <v>1117</v>
      </c>
      <c r="E78" s="1308"/>
      <c r="F78" s="1308"/>
      <c r="I78" s="490"/>
    </row>
    <row r="79" spans="1:9">
      <c r="A79" s="446"/>
      <c r="B79" s="446"/>
      <c r="I79" s="490"/>
    </row>
    <row r="80" spans="1:9" ht="13.7" customHeight="1">
      <c r="A80" s="484"/>
      <c r="B80" s="485" t="s">
        <v>2714</v>
      </c>
      <c r="D80" s="1308" t="s">
        <v>1245</v>
      </c>
      <c r="E80" s="1308"/>
      <c r="F80" s="1308"/>
      <c r="I80" s="490"/>
    </row>
    <row r="81" spans="1:9" ht="14.25">
      <c r="A81" s="484"/>
      <c r="B81" s="484"/>
      <c r="D81" s="1308"/>
      <c r="E81" s="1308"/>
      <c r="F81" s="1308"/>
      <c r="I81" s="490"/>
    </row>
    <row r="82" spans="1:9" ht="14.25">
      <c r="A82" s="484"/>
      <c r="B82" s="484"/>
      <c r="D82" s="1308"/>
      <c r="E82" s="1308"/>
      <c r="F82" s="1308"/>
      <c r="I82" s="490"/>
    </row>
    <row r="83" spans="1:9" ht="14.25">
      <c r="A83" s="484"/>
      <c r="B83" s="484"/>
      <c r="D83" s="1308"/>
      <c r="E83" s="1308"/>
      <c r="F83" s="1308"/>
      <c r="I83" s="490"/>
    </row>
    <row r="84" spans="1:9" ht="14.25">
      <c r="A84" s="484"/>
      <c r="B84" s="484"/>
      <c r="D84" s="1308"/>
      <c r="E84" s="1308"/>
      <c r="F84" s="1308"/>
      <c r="I84" s="490"/>
    </row>
    <row r="85" spans="1:9" ht="14.25">
      <c r="A85" s="484"/>
      <c r="B85" s="484"/>
      <c r="D85" s="1308"/>
      <c r="E85" s="1308"/>
      <c r="F85" s="1308"/>
      <c r="I85" s="490"/>
    </row>
    <row r="86" spans="1:9" ht="14.25">
      <c r="A86" s="484"/>
      <c r="B86" s="484"/>
      <c r="D86" s="1308"/>
      <c r="E86" s="1308"/>
      <c r="F86" s="1308"/>
      <c r="I86" s="490"/>
    </row>
    <row r="87" spans="1:9" ht="14.25">
      <c r="A87" s="484"/>
      <c r="B87" s="484"/>
      <c r="D87" s="1308"/>
      <c r="E87" s="1308"/>
      <c r="F87" s="1308"/>
      <c r="I87" s="490"/>
    </row>
    <row r="88" spans="1:9" ht="14.25">
      <c r="A88" s="484"/>
      <c r="B88" s="484"/>
      <c r="D88" s="385"/>
      <c r="E88" s="385"/>
      <c r="F88" s="385"/>
      <c r="I88" s="490"/>
    </row>
    <row r="89" spans="1:9" ht="15" customHeight="1">
      <c r="A89" s="484"/>
      <c r="B89" s="485" t="s">
        <v>2714</v>
      </c>
      <c r="D89" s="1308" t="s">
        <v>1731</v>
      </c>
      <c r="E89" s="1308"/>
      <c r="F89" s="1308"/>
      <c r="I89" s="490"/>
    </row>
    <row r="90" spans="1:9" ht="14.25">
      <c r="A90" s="484"/>
      <c r="B90" s="484"/>
      <c r="D90" s="1308"/>
      <c r="E90" s="1308"/>
      <c r="F90" s="1308"/>
      <c r="I90" s="490"/>
    </row>
    <row r="91" spans="1:9" ht="14.25">
      <c r="A91" s="484"/>
      <c r="B91" s="484"/>
      <c r="D91" s="445"/>
      <c r="E91" s="445"/>
      <c r="F91" s="445"/>
      <c r="I91" s="490"/>
    </row>
    <row r="92" spans="1:9" ht="14.25">
      <c r="A92" s="484"/>
      <c r="B92" s="485" t="s">
        <v>2714</v>
      </c>
      <c r="D92" s="1308" t="s">
        <v>1734</v>
      </c>
      <c r="E92" s="1308"/>
      <c r="F92" s="1308"/>
      <c r="I92" s="490"/>
    </row>
    <row r="93" spans="1:9" ht="14.25">
      <c r="A93" s="484"/>
      <c r="B93" s="484"/>
      <c r="D93" s="1308"/>
      <c r="E93" s="1308"/>
      <c r="F93" s="1308"/>
      <c r="I93" s="490"/>
    </row>
    <row r="94" spans="1:9" ht="14.25">
      <c r="A94" s="484"/>
      <c r="B94" s="484"/>
      <c r="D94" s="1308"/>
      <c r="E94" s="1308"/>
      <c r="F94" s="1308"/>
      <c r="I94" s="490"/>
    </row>
    <row r="95" spans="1:9" ht="14.25">
      <c r="A95" s="484"/>
      <c r="B95" s="484"/>
      <c r="D95" s="445"/>
      <c r="E95" s="445"/>
      <c r="F95" s="445"/>
      <c r="I95" s="490"/>
    </row>
    <row r="96" spans="1:9" ht="14.25">
      <c r="A96" s="484"/>
      <c r="B96" s="485" t="s">
        <v>2714</v>
      </c>
      <c r="D96" s="1308" t="s">
        <v>1733</v>
      </c>
      <c r="E96" s="1308"/>
      <c r="F96" s="1308"/>
      <c r="I96" s="490"/>
    </row>
    <row r="97" spans="1:9" s="982" customFormat="1" ht="14.25">
      <c r="A97" s="980"/>
      <c r="B97" s="980"/>
      <c r="C97" s="981"/>
      <c r="D97" s="1308"/>
      <c r="E97" s="1308"/>
      <c r="F97" s="1308"/>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2715</v>
      </c>
      <c r="D100" s="1308" t="s">
        <v>1732</v>
      </c>
      <c r="E100" s="1308"/>
      <c r="F100" s="1308"/>
      <c r="I100" s="490"/>
    </row>
    <row r="101" spans="1:9" ht="14.25">
      <c r="A101" s="484"/>
      <c r="B101" s="484"/>
      <c r="D101" s="1308"/>
      <c r="E101" s="1308"/>
      <c r="F101" s="1308"/>
      <c r="I101" s="490"/>
    </row>
    <row r="102" spans="1:9" ht="14.25">
      <c r="A102" s="484"/>
      <c r="B102" s="484"/>
      <c r="D102" s="445"/>
      <c r="E102" s="445"/>
      <c r="F102" s="445"/>
      <c r="I102" s="490"/>
    </row>
    <row r="103" spans="1:9" ht="14.45" customHeight="1">
      <c r="A103" s="484"/>
      <c r="B103" s="485" t="s">
        <v>2715</v>
      </c>
      <c r="D103" s="1308" t="s">
        <v>1194</v>
      </c>
      <c r="E103" s="1308"/>
      <c r="F103" s="1308"/>
      <c r="I103" s="490"/>
    </row>
    <row r="104" spans="1:9" ht="14.25">
      <c r="A104" s="484"/>
      <c r="B104" s="484"/>
      <c r="D104" s="1308"/>
      <c r="E104" s="1308"/>
      <c r="F104" s="1308"/>
      <c r="I104" s="490"/>
    </row>
    <row r="105" spans="1:9" ht="14.25">
      <c r="A105" s="484"/>
      <c r="B105" s="484"/>
      <c r="D105" s="1308"/>
      <c r="E105" s="1308"/>
      <c r="F105" s="1308"/>
      <c r="I105" s="490"/>
    </row>
    <row r="106" spans="1:9" ht="14.25">
      <c r="A106" s="484"/>
      <c r="B106" s="484"/>
      <c r="D106" s="1308"/>
      <c r="E106" s="1308"/>
      <c r="F106" s="1308"/>
      <c r="I106" s="490"/>
    </row>
    <row r="107" spans="1:9" ht="14.25">
      <c r="A107" s="484"/>
      <c r="B107" s="484"/>
      <c r="D107" s="1308"/>
      <c r="E107" s="1308"/>
      <c r="F107" s="1308"/>
      <c r="I107" s="490"/>
    </row>
    <row r="108" spans="1:9" ht="14.25">
      <c r="A108" s="484"/>
      <c r="B108" s="484"/>
      <c r="D108" s="1308"/>
      <c r="E108" s="1308"/>
      <c r="F108" s="1308"/>
      <c r="I108" s="490"/>
    </row>
    <row r="109" spans="1:9" ht="14.25">
      <c r="A109" s="484"/>
      <c r="B109" s="484"/>
      <c r="D109" s="1308"/>
      <c r="E109" s="1308"/>
      <c r="F109" s="1308"/>
      <c r="I109" s="490"/>
    </row>
    <row r="110" spans="1:9" ht="14.25">
      <c r="A110" s="484"/>
      <c r="B110" s="484"/>
      <c r="D110" s="1308"/>
      <c r="E110" s="1308"/>
      <c r="F110" s="1308"/>
      <c r="I110" s="490"/>
    </row>
    <row r="111" spans="1:9" ht="14.25">
      <c r="A111" s="484"/>
      <c r="B111" s="484"/>
      <c r="D111" s="1308"/>
      <c r="E111" s="1308"/>
      <c r="F111" s="1308"/>
      <c r="I111" s="490"/>
    </row>
    <row r="112" spans="1:9" ht="14.25">
      <c r="A112" s="484"/>
      <c r="B112" s="484"/>
      <c r="D112" s="1308"/>
      <c r="E112" s="1308"/>
      <c r="F112" s="1308"/>
      <c r="I112" s="490"/>
    </row>
    <row r="113" spans="1:9" ht="14.25">
      <c r="A113" s="484"/>
      <c r="B113" s="484"/>
      <c r="D113" s="1308"/>
      <c r="E113" s="1308"/>
      <c r="F113" s="1308"/>
      <c r="I113" s="490"/>
    </row>
    <row r="114" spans="1:9" ht="14.25">
      <c r="A114" s="484"/>
      <c r="B114" s="484"/>
      <c r="D114" s="1308"/>
      <c r="E114" s="1308"/>
      <c r="F114" s="1308"/>
      <c r="I114" s="490"/>
    </row>
    <row r="115" spans="1:9" ht="14.25">
      <c r="A115" s="484"/>
      <c r="B115" s="484"/>
      <c r="D115" s="1308"/>
      <c r="E115" s="1308"/>
      <c r="F115" s="1308"/>
      <c r="I115" s="490"/>
    </row>
    <row r="116" spans="1:9" ht="14.25">
      <c r="A116" s="484"/>
      <c r="B116" s="484"/>
      <c r="D116" s="1308"/>
      <c r="E116" s="1308"/>
      <c r="F116" s="1308"/>
      <c r="I116" s="490"/>
    </row>
    <row r="117" spans="1:9" ht="14.25">
      <c r="A117" s="484"/>
      <c r="B117" s="484"/>
      <c r="D117" s="1308"/>
      <c r="E117" s="1308"/>
      <c r="F117" s="1308"/>
      <c r="I117" s="490"/>
    </row>
    <row r="118" spans="1:9" ht="14.25">
      <c r="A118" s="484"/>
      <c r="B118" s="484"/>
      <c r="D118" s="524"/>
      <c r="E118" s="524"/>
      <c r="F118" s="524"/>
      <c r="I118" s="490"/>
    </row>
    <row r="119" spans="1:9" ht="14.25" customHeight="1">
      <c r="A119" s="484"/>
      <c r="B119" s="485" t="s">
        <v>2715</v>
      </c>
      <c r="D119" s="1334" t="s">
        <v>1103</v>
      </c>
      <c r="E119" s="1334"/>
      <c r="F119" s="1334"/>
      <c r="I119" s="490"/>
    </row>
    <row r="120" spans="1:9" ht="14.25">
      <c r="A120" s="484"/>
      <c r="B120" s="484"/>
      <c r="D120" s="1334"/>
      <c r="E120" s="1334"/>
      <c r="F120" s="1334"/>
      <c r="I120" s="490"/>
    </row>
    <row r="121" spans="1:9" ht="14.25">
      <c r="A121" s="484"/>
      <c r="B121" s="484"/>
      <c r="D121" s="1334"/>
      <c r="E121" s="1334"/>
      <c r="F121" s="1334"/>
      <c r="I121" s="490"/>
    </row>
    <row r="122" spans="1:9" ht="14.25">
      <c r="A122" s="484"/>
      <c r="B122" s="484"/>
      <c r="D122" s="1334"/>
      <c r="E122" s="1334"/>
      <c r="F122" s="1334"/>
      <c r="I122" s="490"/>
    </row>
    <row r="123" spans="1:9" ht="14.25">
      <c r="A123" s="484"/>
      <c r="B123" s="484"/>
      <c r="D123" s="1334"/>
      <c r="E123" s="1334"/>
      <c r="F123" s="1334"/>
      <c r="I123" s="490"/>
    </row>
    <row r="124" spans="1:9" ht="14.25">
      <c r="A124" s="484"/>
      <c r="B124" s="484"/>
      <c r="D124" s="1334"/>
      <c r="E124" s="1334"/>
      <c r="F124" s="1334"/>
      <c r="I124" s="490"/>
    </row>
    <row r="125" spans="1:9" ht="14.25">
      <c r="A125" s="484"/>
      <c r="B125" s="484"/>
      <c r="D125" s="1334"/>
      <c r="E125" s="1334"/>
      <c r="F125" s="1334"/>
      <c r="I125" s="490"/>
    </row>
    <row r="126" spans="1:9" ht="14.25">
      <c r="A126" s="484"/>
      <c r="B126" s="484"/>
      <c r="D126" s="1334"/>
      <c r="E126" s="1334"/>
      <c r="F126" s="1334"/>
      <c r="I126" s="490"/>
    </row>
    <row r="127" spans="1:9">
      <c r="C127" s="402"/>
      <c r="D127" s="525"/>
      <c r="E127" s="525"/>
      <c r="F127" s="525"/>
      <c r="I127" s="490"/>
    </row>
    <row r="128" spans="1:9" ht="14.25">
      <c r="A128" s="484"/>
      <c r="B128" s="485" t="s">
        <v>2714</v>
      </c>
      <c r="C128" s="402"/>
      <c r="D128" s="1334" t="s">
        <v>2010</v>
      </c>
      <c r="E128" s="1334"/>
      <c r="F128" s="1334"/>
      <c r="I128" s="490"/>
    </row>
    <row r="129" spans="1:9" ht="14.25">
      <c r="A129" s="484"/>
      <c r="B129" s="484"/>
      <c r="C129" s="402"/>
      <c r="D129" s="1334"/>
      <c r="E129" s="1334"/>
      <c r="F129" s="1334"/>
      <c r="I129" s="490"/>
    </row>
    <row r="130" spans="1:9">
      <c r="I130" s="490"/>
    </row>
    <row r="131" spans="1:9" ht="14.25">
      <c r="A131" s="484"/>
      <c r="B131" s="485" t="s">
        <v>2714</v>
      </c>
      <c r="D131" s="1308" t="s">
        <v>1104</v>
      </c>
      <c r="E131" s="1308"/>
      <c r="F131" s="1308"/>
      <c r="I131" s="490"/>
    </row>
    <row r="132" spans="1:9">
      <c r="D132" s="1308"/>
      <c r="E132" s="1308"/>
      <c r="F132" s="1308"/>
      <c r="I132" s="490"/>
    </row>
    <row r="133" spans="1:9">
      <c r="D133" s="1308"/>
      <c r="E133" s="1308"/>
      <c r="F133" s="1308"/>
      <c r="I133" s="490"/>
    </row>
    <row r="134" spans="1:9">
      <c r="D134" s="1308"/>
      <c r="E134" s="1308"/>
      <c r="F134" s="1308"/>
      <c r="I134" s="490"/>
    </row>
    <row r="135" spans="1:9">
      <c r="D135" s="1308"/>
      <c r="E135" s="1308"/>
      <c r="F135" s="1308"/>
      <c r="I135" s="490"/>
    </row>
    <row r="136" spans="1:9">
      <c r="I136" s="490"/>
    </row>
    <row r="137" spans="1:9" ht="14.25">
      <c r="A137" s="484"/>
      <c r="B137" s="485" t="s">
        <v>2715</v>
      </c>
      <c r="D137" s="1308" t="s">
        <v>1105</v>
      </c>
      <c r="E137" s="1308"/>
      <c r="F137" s="1308"/>
      <c r="I137" s="490"/>
    </row>
    <row r="138" spans="1:9" s="417" customFormat="1" ht="13.7" customHeight="1">
      <c r="A138" s="488"/>
      <c r="B138" s="488"/>
      <c r="C138" s="488"/>
      <c r="D138" s="1308"/>
      <c r="E138" s="1308"/>
      <c r="F138" s="1308"/>
      <c r="I138" s="1149"/>
    </row>
    <row r="139" spans="1:9" ht="13.7" customHeight="1">
      <c r="D139" s="1308"/>
      <c r="E139" s="1308"/>
      <c r="F139" s="1308"/>
      <c r="I139" s="490"/>
    </row>
    <row r="140" spans="1:9" ht="13.7" customHeight="1">
      <c r="D140" s="1308"/>
      <c r="E140" s="1308"/>
      <c r="F140" s="1308"/>
      <c r="I140" s="490"/>
    </row>
    <row r="141" spans="1:9" ht="13.7" customHeight="1">
      <c r="D141" s="1308"/>
      <c r="E141" s="1308"/>
      <c r="F141" s="1308"/>
      <c r="I141" s="490"/>
    </row>
    <row r="142" spans="1:9" ht="13.7" customHeight="1">
      <c r="A142" s="489"/>
      <c r="B142" s="489"/>
      <c r="D142" s="1308"/>
      <c r="E142" s="1308"/>
      <c r="F142" s="1308"/>
      <c r="I142" s="490"/>
    </row>
    <row r="143" spans="1:9" ht="13.7" customHeight="1">
      <c r="D143" s="1308"/>
      <c r="E143" s="1308"/>
      <c r="F143" s="1308"/>
      <c r="I143" s="490"/>
    </row>
    <row r="144" spans="1:9" ht="13.7" customHeight="1">
      <c r="D144" s="1308"/>
      <c r="E144" s="1308"/>
      <c r="F144" s="1308"/>
      <c r="I144" s="490"/>
    </row>
    <row r="145" spans="2:9" ht="13.7" customHeight="1">
      <c r="D145" s="1308"/>
      <c r="E145" s="1308"/>
      <c r="F145" s="1308"/>
      <c r="I145" s="490"/>
    </row>
    <row r="146" spans="2:9" ht="13.7" customHeight="1">
      <c r="D146" s="1308"/>
      <c r="E146" s="1308"/>
      <c r="F146" s="1308"/>
      <c r="I146" s="490"/>
    </row>
    <row r="147" spans="2:9" ht="13.7" customHeight="1">
      <c r="D147" s="1308"/>
      <c r="E147" s="1308"/>
      <c r="F147" s="1308"/>
      <c r="I147" s="490"/>
    </row>
    <row r="148" spans="2:9" ht="13.7" customHeight="1">
      <c r="D148" s="1308"/>
      <c r="E148" s="1308"/>
      <c r="F148" s="1308"/>
      <c r="I148" s="490"/>
    </row>
    <row r="149" spans="2:9" ht="13.7" customHeight="1">
      <c r="D149" s="1308"/>
      <c r="E149" s="1308"/>
      <c r="F149" s="1308"/>
      <c r="I149" s="490"/>
    </row>
    <row r="150" spans="2:9" ht="13.7" customHeight="1">
      <c r="D150" s="476"/>
      <c r="E150" s="446"/>
      <c r="F150" s="446"/>
      <c r="I150" s="490"/>
    </row>
    <row r="151" spans="2:9" ht="13.7" customHeight="1">
      <c r="B151" s="485" t="s">
        <v>2714</v>
      </c>
      <c r="D151" s="1308" t="s">
        <v>1177</v>
      </c>
      <c r="E151" s="1308"/>
      <c r="F151" s="1308"/>
      <c r="I151" s="490"/>
    </row>
    <row r="152" spans="2:9" ht="13.7" customHeight="1">
      <c r="D152" s="1308"/>
      <c r="E152" s="1308"/>
      <c r="F152" s="1308"/>
      <c r="I152" s="490"/>
    </row>
    <row r="153" spans="2:9" ht="13.7" customHeight="1">
      <c r="D153" s="1308"/>
      <c r="E153" s="1308"/>
      <c r="F153" s="1308"/>
      <c r="I153" s="490"/>
    </row>
    <row r="154" spans="2:9" ht="13.7" customHeight="1">
      <c r="D154" s="1308"/>
      <c r="E154" s="1308"/>
      <c r="F154" s="1308"/>
      <c r="I154" s="490"/>
    </row>
    <row r="155" spans="2:9" ht="13.7" customHeight="1">
      <c r="D155" s="1308"/>
      <c r="E155" s="1308"/>
      <c r="F155" s="1308"/>
      <c r="I155" s="490"/>
    </row>
    <row r="156" spans="2:9" ht="13.7" customHeight="1">
      <c r="D156" s="1308"/>
      <c r="E156" s="1308"/>
      <c r="F156" s="1308"/>
      <c r="I156" s="490"/>
    </row>
    <row r="157" spans="2:9" ht="13.7" customHeight="1">
      <c r="D157" s="1308"/>
      <c r="E157" s="1308"/>
      <c r="F157" s="1308"/>
      <c r="I157" s="490"/>
    </row>
    <row r="158" spans="2:9" ht="13.7" customHeight="1">
      <c r="D158" s="1308"/>
      <c r="E158" s="1308"/>
      <c r="F158" s="1308"/>
      <c r="I158" s="490"/>
    </row>
    <row r="159" spans="2:9" ht="13.7" customHeight="1">
      <c r="D159" s="1308"/>
      <c r="E159" s="1308"/>
      <c r="F159" s="1308"/>
      <c r="I159" s="490"/>
    </row>
    <row r="160" spans="2:9" ht="13.7" customHeight="1">
      <c r="D160" s="1308"/>
      <c r="E160" s="1308"/>
      <c r="F160" s="1308"/>
      <c r="I160" s="490"/>
    </row>
    <row r="161" spans="1:9" ht="13.7" customHeight="1">
      <c r="D161" s="1308"/>
      <c r="E161" s="1308"/>
      <c r="F161" s="1308"/>
      <c r="I161" s="490"/>
    </row>
    <row r="162" spans="1:9" ht="13.7" customHeight="1">
      <c r="D162" s="1308"/>
      <c r="E162" s="1308"/>
      <c r="F162" s="1308"/>
      <c r="I162" s="490"/>
    </row>
    <row r="163" spans="1:9" ht="13.7" customHeight="1">
      <c r="D163" s="1308"/>
      <c r="E163" s="1308"/>
      <c r="F163" s="1308"/>
      <c r="I163" s="490"/>
    </row>
    <row r="164" spans="1:9" ht="13.7" customHeight="1">
      <c r="D164" s="1308"/>
      <c r="E164" s="1308"/>
      <c r="F164" s="1308"/>
      <c r="I164" s="490"/>
    </row>
    <row r="165" spans="1:9" ht="13.7" customHeight="1">
      <c r="D165" s="1308"/>
      <c r="E165" s="1308"/>
      <c r="F165" s="1308"/>
      <c r="I165" s="490"/>
    </row>
    <row r="166" spans="1:9" ht="13.7" customHeight="1">
      <c r="D166" s="1308"/>
      <c r="E166" s="1308"/>
      <c r="F166" s="1308"/>
      <c r="I166" s="490"/>
    </row>
    <row r="167" spans="1:9" ht="13.7" customHeight="1">
      <c r="D167" s="1308"/>
      <c r="E167" s="1308"/>
      <c r="F167" s="1308"/>
      <c r="I167" s="490"/>
    </row>
    <row r="168" spans="1:9" ht="13.7" customHeight="1">
      <c r="D168" s="1308"/>
      <c r="E168" s="1308"/>
      <c r="F168" s="1308"/>
      <c r="I168" s="490"/>
    </row>
    <row r="169" spans="1:9" ht="13.7" customHeight="1">
      <c r="D169" s="1331" t="s">
        <v>2032</v>
      </c>
      <c r="E169" s="1331"/>
      <c r="F169" s="1331"/>
      <c r="G169" s="507"/>
      <c r="I169" s="490"/>
    </row>
    <row r="170" spans="1:9" ht="13.7" customHeight="1">
      <c r="D170" s="1318"/>
      <c r="E170" s="1318"/>
      <c r="F170" s="1318"/>
      <c r="G170" s="1318"/>
      <c r="I170" s="490"/>
    </row>
    <row r="171" spans="1:9" ht="14.45" customHeight="1">
      <c r="A171" s="489"/>
      <c r="B171" s="485" t="s">
        <v>2715</v>
      </c>
      <c r="C171" s="476"/>
      <c r="D171" s="1280" t="s">
        <v>2168</v>
      </c>
      <c r="E171" s="1280"/>
      <c r="F171" s="1280"/>
      <c r="G171" s="476"/>
      <c r="I171" s="490"/>
    </row>
    <row r="172" spans="1:9" ht="14.45" customHeight="1">
      <c r="A172" s="489"/>
      <c r="B172" s="489"/>
      <c r="C172" s="476"/>
      <c r="D172" s="1280"/>
      <c r="E172" s="1280"/>
      <c r="F172" s="1280"/>
      <c r="G172" s="476"/>
      <c r="I172" s="490"/>
    </row>
    <row r="173" spans="1:9" ht="14.45" customHeight="1">
      <c r="A173" s="489"/>
      <c r="B173" s="489"/>
      <c r="C173" s="476"/>
      <c r="D173" s="1280"/>
      <c r="E173" s="1280"/>
      <c r="F173" s="1280"/>
      <c r="G173" s="476"/>
      <c r="I173" s="490"/>
    </row>
    <row r="174" spans="1:9" ht="14.45" customHeight="1">
      <c r="A174" s="489"/>
      <c r="B174" s="489"/>
      <c r="C174" s="476"/>
      <c r="D174" s="1280"/>
      <c r="E174" s="1280"/>
      <c r="F174" s="1280"/>
      <c r="G174" s="476"/>
      <c r="I174" s="490"/>
    </row>
    <row r="175" spans="1:9" ht="13.7" customHeight="1">
      <c r="A175" s="489"/>
      <c r="B175" s="489"/>
      <c r="C175" s="476"/>
      <c r="D175" s="1280"/>
      <c r="E175" s="1280"/>
      <c r="F175" s="1280"/>
      <c r="G175" s="476"/>
      <c r="I175" s="490"/>
    </row>
    <row r="176" spans="1:9" ht="13.7" customHeight="1">
      <c r="A176" s="489"/>
      <c r="B176" s="489"/>
      <c r="C176" s="476"/>
      <c r="D176" s="476"/>
      <c r="E176" s="476"/>
      <c r="F176" s="476"/>
      <c r="G176" s="476"/>
      <c r="I176" s="490"/>
    </row>
    <row r="177" spans="1:9" ht="13.7" customHeight="1">
      <c r="A177" s="489"/>
      <c r="B177" s="485" t="s">
        <v>2715</v>
      </c>
      <c r="C177" s="476"/>
      <c r="D177" s="1280" t="s">
        <v>1106</v>
      </c>
      <c r="E177" s="1280"/>
      <c r="F177" s="1280"/>
      <c r="G177" s="476"/>
      <c r="I177" s="490"/>
    </row>
    <row r="178" spans="1:9" ht="13.7" customHeight="1">
      <c r="A178" s="489"/>
      <c r="B178" s="489"/>
      <c r="C178" s="476"/>
      <c r="D178" s="1280"/>
      <c r="E178" s="1280"/>
      <c r="F178" s="1280"/>
      <c r="G178" s="476"/>
      <c r="I178" s="490"/>
    </row>
    <row r="179" spans="1:9" ht="13.7" customHeight="1">
      <c r="A179" s="489"/>
      <c r="B179" s="489"/>
      <c r="C179" s="476"/>
      <c r="D179" s="1280"/>
      <c r="E179" s="1280"/>
      <c r="F179" s="1280"/>
      <c r="G179" s="476"/>
      <c r="I179" s="490"/>
    </row>
    <row r="180" spans="1:9" ht="13.7" customHeight="1">
      <c r="A180" s="489"/>
      <c r="B180" s="489"/>
      <c r="C180" s="476"/>
      <c r="D180" s="1280"/>
      <c r="E180" s="1280"/>
      <c r="F180" s="1280"/>
      <c r="G180" s="476"/>
      <c r="I180" s="490"/>
    </row>
    <row r="181" spans="1:9" ht="13.7" customHeight="1">
      <c r="D181" s="446"/>
      <c r="E181" s="446"/>
      <c r="F181" s="446"/>
      <c r="I181" s="490"/>
    </row>
    <row r="182" spans="1:9" ht="13.7" hidden="1" customHeight="1">
      <c r="B182" s="485" t="s">
        <v>307</v>
      </c>
      <c r="D182" s="1324" t="s">
        <v>2011</v>
      </c>
      <c r="E182" s="1324"/>
      <c r="F182" s="1324"/>
      <c r="I182" s="490"/>
    </row>
    <row r="183" spans="1:9" ht="13.7" hidden="1" customHeight="1">
      <c r="D183" s="1324"/>
      <c r="E183" s="1324"/>
      <c r="F183" s="1324"/>
      <c r="I183" s="490"/>
    </row>
    <row r="184" spans="1:9" ht="13.7" hidden="1" customHeight="1">
      <c r="D184" s="1324"/>
      <c r="E184" s="1324"/>
      <c r="F184" s="1324"/>
      <c r="I184" s="490"/>
    </row>
    <row r="185" spans="1:9" ht="13.7" customHeight="1">
      <c r="A185" s="490"/>
      <c r="B185" s="490"/>
      <c r="E185" s="446"/>
      <c r="F185" s="446"/>
      <c r="I185" s="490"/>
    </row>
    <row r="186" spans="1:9">
      <c r="A186" s="1309" t="s">
        <v>2012</v>
      </c>
      <c r="B186" s="1309"/>
      <c r="C186" s="1309"/>
      <c r="D186" s="1309"/>
      <c r="E186" s="1309"/>
      <c r="F186" s="1309"/>
      <c r="G186" s="1309"/>
      <c r="H186" s="1023"/>
      <c r="I186" s="1147"/>
    </row>
    <row r="187" spans="1:9" ht="12" customHeight="1">
      <c r="D187" s="446"/>
      <c r="E187" s="446"/>
      <c r="F187" s="446"/>
      <c r="I187" s="490"/>
    </row>
    <row r="188" spans="1:9">
      <c r="B188" s="1314" t="s">
        <v>446</v>
      </c>
      <c r="C188" s="1314"/>
      <c r="D188" s="1314"/>
      <c r="E188" s="1314"/>
      <c r="F188" s="1314"/>
      <c r="I188" s="490"/>
    </row>
    <row r="189" spans="1:9">
      <c r="B189" s="392" t="s">
        <v>1849</v>
      </c>
      <c r="C189" s="392"/>
      <c r="D189" s="392"/>
      <c r="E189" s="392"/>
      <c r="F189" s="392"/>
      <c r="I189" s="490"/>
    </row>
    <row r="190" spans="1:9" ht="12" customHeight="1">
      <c r="A190" s="482"/>
      <c r="B190" s="482"/>
      <c r="C190" s="482"/>
      <c r="I190" s="490"/>
    </row>
    <row r="191" spans="1:9">
      <c r="A191" s="1309" t="s">
        <v>1045</v>
      </c>
      <c r="B191" s="1309"/>
      <c r="C191" s="1309"/>
      <c r="D191" s="1309"/>
      <c r="E191" s="1309"/>
      <c r="F191" s="1309"/>
      <c r="G191" s="1309"/>
      <c r="H191" s="1023"/>
      <c r="I191" s="1147"/>
    </row>
    <row r="192" spans="1:9" ht="12" customHeight="1">
      <c r="A192" s="404"/>
      <c r="B192" s="404"/>
      <c r="E192" s="404"/>
      <c r="I192" s="490"/>
    </row>
    <row r="193" spans="1:9" ht="13.7" customHeight="1">
      <c r="A193" s="404"/>
      <c r="B193" s="404"/>
      <c r="D193" s="1328" t="s">
        <v>1735</v>
      </c>
      <c r="E193" s="1328"/>
      <c r="F193" s="1328"/>
      <c r="I193" s="490"/>
    </row>
    <row r="194" spans="1:9">
      <c r="A194" s="404"/>
      <c r="B194" s="404"/>
      <c r="D194" s="1328"/>
      <c r="E194" s="1328"/>
      <c r="F194" s="1328"/>
      <c r="I194" s="490"/>
    </row>
    <row r="195" spans="1:9">
      <c r="A195" s="404"/>
      <c r="B195" s="404"/>
      <c r="D195" s="1314" t="s">
        <v>1195</v>
      </c>
      <c r="E195" s="1314"/>
      <c r="F195" s="1314"/>
      <c r="I195" s="490"/>
    </row>
    <row r="196" spans="1:9">
      <c r="A196" s="404"/>
      <c r="B196" s="404"/>
      <c r="D196" s="392"/>
      <c r="E196" s="392"/>
      <c r="F196" s="392"/>
      <c r="I196" s="490"/>
    </row>
    <row r="197" spans="1:9">
      <c r="A197" s="404"/>
      <c r="B197" s="485" t="s">
        <v>2714</v>
      </c>
      <c r="D197" s="1298" t="s">
        <v>1736</v>
      </c>
      <c r="E197" s="1298"/>
      <c r="F197" s="1298"/>
      <c r="I197" s="490"/>
    </row>
    <row r="198" spans="1:9">
      <c r="A198" s="404"/>
      <c r="B198" s="404"/>
      <c r="D198" s="1289" t="s">
        <v>1875</v>
      </c>
      <c r="E198" s="1289"/>
      <c r="F198" s="1289"/>
      <c r="I198" s="490"/>
    </row>
    <row r="199" spans="1:9">
      <c r="A199" s="404"/>
      <c r="B199" s="404"/>
      <c r="D199" s="96" t="s">
        <v>1737</v>
      </c>
      <c r="E199" s="1336" t="s">
        <v>1898</v>
      </c>
      <c r="F199" s="1336"/>
      <c r="I199" s="490"/>
    </row>
    <row r="200" spans="1:9">
      <c r="A200" s="404"/>
      <c r="B200" s="404"/>
      <c r="D200" s="3"/>
      <c r="E200" s="3"/>
      <c r="F200" s="3"/>
      <c r="I200" s="490"/>
    </row>
    <row r="201" spans="1:9">
      <c r="A201" s="404"/>
      <c r="B201" s="485" t="s">
        <v>2715</v>
      </c>
      <c r="D201" s="1289" t="s">
        <v>1738</v>
      </c>
      <c r="E201" s="1289"/>
      <c r="F201" s="1289"/>
      <c r="I201" s="490"/>
    </row>
    <row r="202" spans="1:9">
      <c r="A202" s="404"/>
      <c r="B202" s="404"/>
      <c r="D202" s="1298" t="s">
        <v>1875</v>
      </c>
      <c r="E202" s="1298"/>
      <c r="F202" s="1298"/>
      <c r="I202" s="490"/>
    </row>
    <row r="203" spans="1:9">
      <c r="A203" s="404"/>
      <c r="B203" s="404"/>
      <c r="D203" s="57" t="s">
        <v>1739</v>
      </c>
      <c r="E203" s="1336" t="s">
        <v>1899</v>
      </c>
      <c r="F203" s="1336"/>
      <c r="I203" s="490"/>
    </row>
    <row r="204" spans="1:9">
      <c r="A204" s="404"/>
      <c r="B204" s="404"/>
      <c r="D204" s="3"/>
      <c r="E204" s="3"/>
      <c r="F204" s="3"/>
      <c r="I204" s="490"/>
    </row>
    <row r="205" spans="1:9">
      <c r="A205" s="404"/>
      <c r="B205" s="485" t="s">
        <v>2715</v>
      </c>
      <c r="D205" s="1289" t="s">
        <v>1740</v>
      </c>
      <c r="E205" s="1289"/>
      <c r="F205" s="1289"/>
      <c r="I205" s="490"/>
    </row>
    <row r="206" spans="1:9">
      <c r="A206" s="404"/>
      <c r="B206" s="404"/>
      <c r="D206" s="1298" t="s">
        <v>1875</v>
      </c>
      <c r="E206" s="1298"/>
      <c r="F206" s="1298"/>
      <c r="I206" s="490"/>
    </row>
    <row r="207" spans="1:9">
      <c r="A207" s="404"/>
      <c r="B207" s="404"/>
      <c r="D207" s="57" t="s">
        <v>1737</v>
      </c>
      <c r="E207" s="1336" t="s">
        <v>1900</v>
      </c>
      <c r="F207" s="1336"/>
      <c r="I207" s="490"/>
    </row>
    <row r="208" spans="1:9">
      <c r="A208" s="404"/>
      <c r="B208" s="404"/>
      <c r="D208" s="392"/>
      <c r="E208" s="392"/>
      <c r="F208" s="392"/>
      <c r="I208" s="490"/>
    </row>
    <row r="209" spans="1:9" ht="14.25" customHeight="1">
      <c r="A209" s="484"/>
      <c r="B209" s="485" t="s">
        <v>2715</v>
      </c>
      <c r="D209" s="386" t="s">
        <v>1868</v>
      </c>
      <c r="E209" s="385"/>
      <c r="F209" s="385"/>
      <c r="I209" s="490"/>
    </row>
    <row r="210" spans="1:9" ht="14.25">
      <c r="A210" s="484"/>
      <c r="B210" s="484"/>
      <c r="D210" s="1298" t="s">
        <v>1875</v>
      </c>
      <c r="E210" s="1298"/>
      <c r="F210" s="1298"/>
      <c r="I210" s="490"/>
    </row>
    <row r="211" spans="1:9">
      <c r="D211" s="385"/>
      <c r="E211" s="1336" t="s">
        <v>1901</v>
      </c>
      <c r="F211" s="1336"/>
      <c r="I211" s="490"/>
    </row>
    <row r="212" spans="1:9">
      <c r="D212" s="447"/>
      <c r="I212" s="490"/>
    </row>
    <row r="213" spans="1:9">
      <c r="B213" s="485" t="s">
        <v>2715</v>
      </c>
      <c r="D213" s="1289" t="s">
        <v>1741</v>
      </c>
      <c r="E213" s="1289"/>
      <c r="F213" s="1289"/>
      <c r="I213" s="490"/>
    </row>
    <row r="214" spans="1:9">
      <c r="D214" s="1298" t="s">
        <v>1875</v>
      </c>
      <c r="E214" s="1298"/>
      <c r="F214" s="1298"/>
      <c r="I214" s="490"/>
    </row>
    <row r="215" spans="1:9">
      <c r="D215" s="57" t="s">
        <v>1737</v>
      </c>
      <c r="E215" s="1336" t="s">
        <v>1902</v>
      </c>
      <c r="F215" s="1336"/>
      <c r="I215" s="490"/>
    </row>
    <row r="216" spans="1:9">
      <c r="D216" s="451"/>
      <c r="E216" s="451"/>
      <c r="F216" s="451"/>
      <c r="I216" s="490"/>
    </row>
    <row r="217" spans="1:9" ht="14.25">
      <c r="A217" s="484"/>
      <c r="B217" s="485" t="s">
        <v>2715</v>
      </c>
      <c r="D217" s="1308" t="s">
        <v>1216</v>
      </c>
      <c r="E217" s="1308"/>
      <c r="F217" s="1308"/>
      <c r="I217" s="490"/>
    </row>
    <row r="218" spans="1:9" ht="14.45" customHeight="1">
      <c r="A218" s="484"/>
      <c r="B218" s="402"/>
      <c r="D218" s="1308"/>
      <c r="E218" s="1308"/>
      <c r="F218" s="1308"/>
      <c r="I218" s="490"/>
    </row>
    <row r="219" spans="1:9" ht="14.25">
      <c r="A219" s="484"/>
      <c r="D219" s="1308"/>
      <c r="E219" s="1308"/>
      <c r="F219" s="1308"/>
      <c r="I219" s="490"/>
    </row>
    <row r="220" spans="1:9" ht="14.25">
      <c r="A220" s="484"/>
      <c r="D220" s="1308"/>
      <c r="E220" s="1308"/>
      <c r="F220" s="1308"/>
      <c r="I220" s="490"/>
    </row>
    <row r="221" spans="1:9">
      <c r="D221" s="451"/>
      <c r="E221" s="451"/>
      <c r="F221" s="451"/>
      <c r="I221" s="490"/>
    </row>
    <row r="222" spans="1:9">
      <c r="A222" s="1309" t="s">
        <v>1046</v>
      </c>
      <c r="B222" s="1309"/>
      <c r="C222" s="1309"/>
      <c r="D222" s="1309"/>
      <c r="E222" s="1309"/>
      <c r="F222" s="1309"/>
      <c r="G222" s="1309"/>
      <c r="H222" s="1023"/>
      <c r="I222" s="1147"/>
    </row>
    <row r="223" spans="1:9" ht="12" customHeight="1">
      <c r="D223" s="446"/>
      <c r="E223" s="446"/>
      <c r="F223" s="446"/>
      <c r="I223" s="490"/>
    </row>
    <row r="224" spans="1:9">
      <c r="C224" s="486"/>
      <c r="D224" s="1311" t="s">
        <v>208</v>
      </c>
      <c r="E224" s="1311"/>
      <c r="F224" s="1311"/>
      <c r="I224" s="490"/>
    </row>
    <row r="225" spans="1:9">
      <c r="A225" s="482"/>
      <c r="B225" s="482"/>
      <c r="C225" s="482"/>
      <c r="D225" s="1310" t="s">
        <v>1120</v>
      </c>
      <c r="E225" s="1310"/>
      <c r="F225" s="1310"/>
      <c r="I225" s="490"/>
    </row>
    <row r="226" spans="1:9" ht="12" customHeight="1">
      <c r="A226" s="490"/>
      <c r="B226" s="490"/>
      <c r="C226" s="490"/>
      <c r="I226" s="490"/>
    </row>
    <row r="227" spans="1:9" ht="13.7" customHeight="1">
      <c r="A227" s="490"/>
      <c r="C227" s="490"/>
      <c r="D227" s="1311" t="s">
        <v>546</v>
      </c>
      <c r="E227" s="1311"/>
      <c r="F227" s="1311"/>
      <c r="I227" s="490"/>
    </row>
    <row r="228" spans="1:9" ht="14.25">
      <c r="A228" s="484"/>
      <c r="B228" s="485" t="s">
        <v>2714</v>
      </c>
      <c r="D228" s="1308" t="s">
        <v>1742</v>
      </c>
      <c r="E228" s="1308"/>
      <c r="F228" s="1308"/>
      <c r="I228" s="490"/>
    </row>
    <row r="229" spans="1:9" ht="14.25" customHeight="1">
      <c r="A229" s="484"/>
      <c r="B229" s="484"/>
      <c r="D229" s="1308"/>
      <c r="E229" s="1308"/>
      <c r="F229" s="1308"/>
      <c r="I229" s="490"/>
    </row>
    <row r="230" spans="1:9" ht="14.25" customHeight="1">
      <c r="A230" s="484"/>
      <c r="B230" s="484"/>
      <c r="D230" s="1308"/>
      <c r="E230" s="1308"/>
      <c r="F230" s="1308"/>
      <c r="I230" s="490"/>
    </row>
    <row r="231" spans="1:9" ht="14.25">
      <c r="A231" s="484"/>
      <c r="B231" s="484"/>
      <c r="D231" s="1308"/>
      <c r="E231" s="1308"/>
      <c r="F231" s="1308"/>
      <c r="I231" s="490"/>
    </row>
    <row r="232" spans="1:9" ht="14.25">
      <c r="A232" s="484"/>
      <c r="B232" s="484"/>
      <c r="D232" s="445"/>
      <c r="E232" s="445"/>
      <c r="F232" s="445"/>
      <c r="I232" s="490"/>
    </row>
    <row r="233" spans="1:9" ht="14.25">
      <c r="A233" s="484"/>
      <c r="B233" s="485" t="s">
        <v>2714</v>
      </c>
      <c r="D233" s="1308" t="s">
        <v>1743</v>
      </c>
      <c r="E233" s="1308"/>
      <c r="F233" s="1308"/>
      <c r="I233" s="490"/>
    </row>
    <row r="234" spans="1:9" ht="14.25">
      <c r="A234" s="484"/>
      <c r="B234" s="484"/>
      <c r="D234" s="1308"/>
      <c r="E234" s="1308"/>
      <c r="F234" s="1308"/>
      <c r="I234" s="490"/>
    </row>
    <row r="235" spans="1:9" ht="14.25">
      <c r="A235" s="484"/>
      <c r="B235" s="484"/>
      <c r="D235" s="1308"/>
      <c r="E235" s="1308"/>
      <c r="F235" s="1308"/>
      <c r="I235" s="490"/>
    </row>
    <row r="236" spans="1:9" ht="14.25">
      <c r="A236" s="484"/>
      <c r="B236" s="484"/>
      <c r="D236" s="1308"/>
      <c r="E236" s="1308"/>
      <c r="F236" s="1308"/>
      <c r="I236" s="490"/>
    </row>
    <row r="237" spans="1:9" ht="14.25" customHeight="1">
      <c r="A237" s="484"/>
      <c r="B237" s="484"/>
      <c r="D237" s="1308"/>
      <c r="E237" s="1308"/>
      <c r="F237" s="1308"/>
      <c r="I237" s="490"/>
    </row>
    <row r="238" spans="1:9" ht="14.25" customHeight="1">
      <c r="A238" s="484"/>
      <c r="B238" s="484"/>
      <c r="D238" s="445"/>
      <c r="E238" s="445"/>
      <c r="F238" s="445"/>
      <c r="I238" s="490"/>
    </row>
    <row r="239" spans="1:9" ht="14.25">
      <c r="A239" s="484"/>
      <c r="B239" s="484"/>
      <c r="D239" s="1308" t="s">
        <v>1118</v>
      </c>
      <c r="E239" s="1308"/>
      <c r="F239" s="1308"/>
      <c r="I239" s="490"/>
    </row>
    <row r="240" spans="1:9" ht="14.25">
      <c r="A240" s="484"/>
      <c r="B240" s="484"/>
      <c r="D240" s="1308"/>
      <c r="E240" s="1308"/>
      <c r="F240" s="1308"/>
      <c r="I240" s="490"/>
    </row>
    <row r="241" spans="1:9" ht="14.25">
      <c r="A241" s="484"/>
      <c r="B241" s="484"/>
      <c r="D241" s="1308"/>
      <c r="E241" s="1308"/>
      <c r="F241" s="1308"/>
      <c r="I241" s="490"/>
    </row>
    <row r="242" spans="1:9" ht="14.25">
      <c r="A242" s="484"/>
      <c r="B242" s="484"/>
      <c r="D242" s="1308"/>
      <c r="E242" s="1308"/>
      <c r="F242" s="1308"/>
      <c r="I242" s="490"/>
    </row>
    <row r="243" spans="1:9" ht="14.25">
      <c r="A243" s="484"/>
      <c r="B243" s="484"/>
      <c r="D243" s="1308"/>
      <c r="E243" s="1308"/>
      <c r="F243" s="1308"/>
      <c r="I243" s="490"/>
    </row>
    <row r="244" spans="1:9" ht="14.25">
      <c r="A244" s="484"/>
      <c r="B244" s="484"/>
      <c r="D244" s="446"/>
      <c r="E244" s="446"/>
      <c r="F244" s="446"/>
      <c r="I244" s="490"/>
    </row>
    <row r="245" spans="1:9" ht="14.25">
      <c r="A245" s="484"/>
      <c r="B245" s="485" t="s">
        <v>2714</v>
      </c>
      <c r="D245" s="1308" t="s">
        <v>2013</v>
      </c>
      <c r="E245" s="1308"/>
      <c r="F245" s="1308"/>
      <c r="I245" s="490"/>
    </row>
    <row r="246" spans="1:9" ht="14.25">
      <c r="A246" s="484"/>
      <c r="B246" s="484"/>
      <c r="D246" s="1308"/>
      <c r="E246" s="1308"/>
      <c r="F246" s="1308"/>
      <c r="I246" s="490"/>
    </row>
    <row r="247" spans="1:9" ht="14.25">
      <c r="A247" s="484"/>
      <c r="B247" s="484"/>
      <c r="D247" s="1308"/>
      <c r="E247" s="1308"/>
      <c r="F247" s="1308"/>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2715</v>
      </c>
      <c r="D250" s="1308" t="s">
        <v>2014</v>
      </c>
      <c r="E250" s="1308"/>
      <c r="F250" s="1308"/>
      <c r="I250" s="490"/>
    </row>
    <row r="251" spans="1:9" ht="14.25">
      <c r="A251" s="484"/>
      <c r="B251" s="484"/>
      <c r="D251" s="1308"/>
      <c r="E251" s="1308"/>
      <c r="F251" s="1308"/>
      <c r="I251" s="490"/>
    </row>
    <row r="252" spans="1:9" ht="14.25">
      <c r="A252" s="484"/>
      <c r="B252" s="484"/>
      <c r="D252" s="1308"/>
      <c r="E252" s="1308"/>
      <c r="F252" s="1308"/>
      <c r="I252" s="490"/>
    </row>
    <row r="253" spans="1:9" ht="14.25">
      <c r="A253" s="484"/>
      <c r="B253" s="484"/>
      <c r="D253" s="1308"/>
      <c r="E253" s="1308"/>
      <c r="F253" s="1308"/>
      <c r="I253" s="490"/>
    </row>
    <row r="254" spans="1:9" ht="14.25">
      <c r="A254" s="484"/>
      <c r="B254" s="484"/>
      <c r="D254" s="1308"/>
      <c r="E254" s="1308"/>
      <c r="F254" s="1308"/>
      <c r="I254" s="490"/>
    </row>
    <row r="255" spans="1:9" ht="14.25">
      <c r="A255" s="484"/>
      <c r="B255" s="484"/>
      <c r="D255" s="445"/>
      <c r="E255" s="445"/>
      <c r="F255" s="445"/>
      <c r="I255" s="490"/>
    </row>
    <row r="256" spans="1:9" ht="14.25">
      <c r="A256" s="484"/>
      <c r="B256" s="485" t="s">
        <v>2714</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2714</v>
      </c>
      <c r="D259" s="1308" t="s">
        <v>1119</v>
      </c>
      <c r="E259" s="1308"/>
      <c r="F259" s="1308"/>
      <c r="I259" s="490"/>
    </row>
    <row r="260" spans="1:9" ht="14.25">
      <c r="A260" s="484"/>
      <c r="B260" s="484"/>
      <c r="D260" s="1308"/>
      <c r="E260" s="1308"/>
      <c r="F260" s="1308"/>
      <c r="I260" s="490"/>
    </row>
    <row r="261" spans="1:9">
      <c r="D261" s="491"/>
      <c r="I261" s="490"/>
    </row>
    <row r="262" spans="1:9">
      <c r="A262" s="1309" t="s">
        <v>1047</v>
      </c>
      <c r="B262" s="1309"/>
      <c r="C262" s="1309"/>
      <c r="D262" s="1309"/>
      <c r="E262" s="1309"/>
      <c r="F262" s="1309"/>
      <c r="G262" s="1309"/>
      <c r="H262" s="1023"/>
      <c r="I262" s="1147"/>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269</v>
      </c>
      <c r="E266" s="1311"/>
      <c r="F266" s="1311"/>
      <c r="I266" s="490"/>
    </row>
    <row r="267" spans="1:9" ht="14.45" customHeight="1">
      <c r="A267" s="484"/>
      <c r="B267" s="485" t="s">
        <v>2714</v>
      </c>
      <c r="D267" s="1308" t="s">
        <v>1196</v>
      </c>
      <c r="E267" s="1308"/>
      <c r="F267" s="1308"/>
      <c r="I267" s="490"/>
    </row>
    <row r="268" spans="1:9">
      <c r="D268" s="1308"/>
      <c r="E268" s="1308"/>
      <c r="F268" s="1308"/>
      <c r="I268" s="490"/>
    </row>
    <row r="269" spans="1:9">
      <c r="E269" s="1031" t="s">
        <v>1871</v>
      </c>
      <c r="I269" s="490"/>
    </row>
    <row r="270" spans="1:9">
      <c r="D270" s="446"/>
      <c r="E270" s="446"/>
      <c r="F270" s="446"/>
      <c r="I270" s="490"/>
    </row>
    <row r="271" spans="1:9" ht="14.45" customHeight="1">
      <c r="A271" s="484"/>
      <c r="B271" s="485" t="s">
        <v>2715</v>
      </c>
      <c r="D271" s="1308" t="s">
        <v>2016</v>
      </c>
      <c r="E271" s="1308"/>
      <c r="F271" s="1308"/>
      <c r="I271" s="490"/>
    </row>
    <row r="272" spans="1:9">
      <c r="D272" s="1308"/>
      <c r="E272" s="1308"/>
      <c r="F272" s="1308"/>
      <c r="I272" s="490"/>
    </row>
    <row r="273" spans="1:9">
      <c r="D273" s="1308"/>
      <c r="E273" s="1308"/>
      <c r="F273" s="1308"/>
      <c r="I273" s="490"/>
    </row>
    <row r="274" spans="1:9">
      <c r="D274" s="1308"/>
      <c r="E274" s="1308"/>
      <c r="F274" s="1308"/>
      <c r="I274" s="490"/>
    </row>
    <row r="275" spans="1:9">
      <c r="D275" s="1308"/>
      <c r="E275" s="1308"/>
      <c r="F275" s="1308"/>
      <c r="I275" s="490"/>
    </row>
    <row r="276" spans="1:9">
      <c r="D276" s="1308"/>
      <c r="E276" s="1308"/>
      <c r="F276" s="1308"/>
      <c r="I276" s="490"/>
    </row>
    <row r="277" spans="1:9">
      <c r="D277" s="446"/>
      <c r="E277" s="446"/>
      <c r="F277" s="446"/>
      <c r="I277" s="490"/>
    </row>
    <row r="278" spans="1:9" ht="14.25">
      <c r="A278" s="484"/>
      <c r="B278" s="485" t="s">
        <v>2715</v>
      </c>
      <c r="D278" s="1308" t="s">
        <v>1122</v>
      </c>
      <c r="E278" s="1308"/>
      <c r="F278" s="1308"/>
      <c r="I278" s="490"/>
    </row>
    <row r="279" spans="1:9">
      <c r="D279" s="1308"/>
      <c r="E279" s="1308"/>
      <c r="F279" s="1308"/>
      <c r="I279" s="490"/>
    </row>
    <row r="280" spans="1:9">
      <c r="D280" s="1308"/>
      <c r="E280" s="1308"/>
      <c r="F280" s="1308"/>
      <c r="I280" s="490"/>
    </row>
    <row r="281" spans="1:9">
      <c r="D281" s="492"/>
      <c r="E281" s="446"/>
      <c r="F281" s="446"/>
      <c r="I281" s="490"/>
    </row>
    <row r="282" spans="1:9">
      <c r="A282" s="1309" t="s">
        <v>1048</v>
      </c>
      <c r="B282" s="1309"/>
      <c r="C282" s="1309"/>
      <c r="D282" s="1309"/>
      <c r="E282" s="1309"/>
      <c r="F282" s="1309"/>
      <c r="G282" s="1309"/>
      <c r="H282" s="1023"/>
      <c r="I282" s="1147"/>
    </row>
    <row r="283" spans="1:9">
      <c r="D283" s="492"/>
      <c r="E283" s="446"/>
      <c r="F283" s="446"/>
      <c r="I283" s="490"/>
    </row>
    <row r="284" spans="1:9">
      <c r="C284" s="482"/>
      <c r="D284" s="1328" t="s">
        <v>1123</v>
      </c>
      <c r="E284" s="1328"/>
      <c r="F284" s="1328"/>
      <c r="I284" s="490"/>
    </row>
    <row r="285" spans="1:9">
      <c r="C285" s="482"/>
      <c r="D285" s="1328"/>
      <c r="E285" s="1328"/>
      <c r="F285" s="1328"/>
      <c r="I285" s="490"/>
    </row>
    <row r="286" spans="1:9">
      <c r="A286" s="483"/>
      <c r="B286" s="483"/>
      <c r="C286" s="483"/>
      <c r="D286" s="404"/>
      <c r="I286" s="490"/>
    </row>
    <row r="287" spans="1:9">
      <c r="C287" s="483"/>
      <c r="D287" s="1311" t="s">
        <v>209</v>
      </c>
      <c r="E287" s="1311"/>
      <c r="F287" s="1311"/>
      <c r="I287" s="490"/>
    </row>
    <row r="288" spans="1:9" ht="15.75" customHeight="1">
      <c r="A288" s="484"/>
      <c r="B288" s="484"/>
      <c r="D288" s="1337" t="s">
        <v>1124</v>
      </c>
      <c r="E288" s="1337"/>
      <c r="F288" s="1337"/>
      <c r="I288" s="490"/>
    </row>
    <row r="289" spans="1:9">
      <c r="E289" s="446"/>
      <c r="F289" s="446"/>
      <c r="I289" s="490"/>
    </row>
    <row r="290" spans="1:9" ht="14.25">
      <c r="A290" s="484"/>
      <c r="B290" s="485" t="s">
        <v>2715</v>
      </c>
      <c r="D290" s="1308" t="s">
        <v>1125</v>
      </c>
      <c r="E290" s="1308"/>
      <c r="F290" s="1308"/>
      <c r="I290" s="490"/>
    </row>
    <row r="291" spans="1:9" ht="14.25">
      <c r="A291" s="484"/>
      <c r="B291" s="484"/>
      <c r="D291" s="1308"/>
      <c r="E291" s="1308"/>
      <c r="F291" s="1308"/>
      <c r="I291" s="490"/>
    </row>
    <row r="292" spans="1:9">
      <c r="D292" s="446"/>
      <c r="E292" s="446"/>
      <c r="F292" s="446"/>
      <c r="I292" s="490"/>
    </row>
    <row r="293" spans="1:9" ht="14.25">
      <c r="A293" s="484"/>
      <c r="B293" s="485" t="s">
        <v>2715</v>
      </c>
      <c r="D293" s="1308" t="s">
        <v>1126</v>
      </c>
      <c r="E293" s="1308"/>
      <c r="F293" s="1308"/>
      <c r="I293" s="490"/>
    </row>
    <row r="294" spans="1:9" ht="14.25">
      <c r="A294" s="484"/>
      <c r="B294" s="484"/>
      <c r="D294" s="1308"/>
      <c r="E294" s="1308"/>
      <c r="F294" s="1308"/>
      <c r="I294" s="490"/>
    </row>
    <row r="295" spans="1:9" ht="14.25">
      <c r="A295" s="484"/>
      <c r="B295" s="484"/>
      <c r="D295" s="1308"/>
      <c r="E295" s="1308"/>
      <c r="F295" s="1308"/>
      <c r="I295" s="490"/>
    </row>
    <row r="296" spans="1:9">
      <c r="D296" s="446"/>
      <c r="E296" s="446"/>
      <c r="F296" s="446"/>
      <c r="I296" s="490"/>
    </row>
    <row r="297" spans="1:9" ht="14.25">
      <c r="A297" s="484"/>
      <c r="B297" s="485" t="s">
        <v>2715</v>
      </c>
      <c r="D297" s="1308" t="s">
        <v>1127</v>
      </c>
      <c r="E297" s="1308"/>
      <c r="F297" s="1308"/>
      <c r="I297" s="490"/>
    </row>
    <row r="298" spans="1:9" ht="14.25">
      <c r="A298" s="484"/>
      <c r="B298" s="484"/>
      <c r="D298" s="1308"/>
      <c r="E298" s="1308"/>
      <c r="F298" s="1308"/>
      <c r="I298" s="490"/>
    </row>
    <row r="299" spans="1:9">
      <c r="A299" s="490"/>
      <c r="B299" s="490"/>
      <c r="E299" s="446"/>
      <c r="F299" s="446"/>
      <c r="I299" s="490"/>
    </row>
    <row r="300" spans="1:9">
      <c r="A300" s="1309" t="s">
        <v>1049</v>
      </c>
      <c r="B300" s="1309"/>
      <c r="C300" s="1309"/>
      <c r="D300" s="1309"/>
      <c r="E300" s="1309"/>
      <c r="F300" s="1309"/>
      <c r="G300" s="1309"/>
      <c r="H300" s="1023"/>
      <c r="I300" s="1147"/>
    </row>
    <row r="301" spans="1:9">
      <c r="A301" s="490"/>
      <c r="B301" s="490"/>
      <c r="D301" s="446"/>
      <c r="E301" s="446"/>
      <c r="F301" s="446"/>
      <c r="I301" s="490"/>
    </row>
    <row r="302" spans="1:9">
      <c r="C302" s="490"/>
      <c r="D302" s="1311" t="s">
        <v>682</v>
      </c>
      <c r="E302" s="1311"/>
      <c r="F302" s="1311"/>
      <c r="I302" s="490"/>
    </row>
    <row r="303" spans="1:9">
      <c r="C303" s="490"/>
      <c r="D303" s="1310" t="s">
        <v>1128</v>
      </c>
      <c r="E303" s="1310"/>
      <c r="F303" s="1310"/>
      <c r="I303" s="490"/>
    </row>
    <row r="304" spans="1:9">
      <c r="C304" s="490"/>
      <c r="D304" s="493"/>
      <c r="I304" s="490"/>
    </row>
    <row r="305" spans="1:9">
      <c r="B305" s="485" t="s">
        <v>2715</v>
      </c>
      <c r="D305" s="1310" t="s">
        <v>1129</v>
      </c>
      <c r="E305" s="1310"/>
      <c r="F305" s="1310"/>
      <c r="I305" s="490"/>
    </row>
    <row r="306" spans="1:9" ht="14.25">
      <c r="A306" s="484"/>
      <c r="B306" s="484"/>
      <c r="D306" s="494"/>
      <c r="E306" s="495"/>
      <c r="F306" s="495"/>
      <c r="I306" s="490"/>
    </row>
    <row r="307" spans="1:9" ht="13.7" customHeight="1">
      <c r="B307" s="485" t="s">
        <v>2715</v>
      </c>
      <c r="D307" s="1321" t="s">
        <v>1219</v>
      </c>
      <c r="E307" s="1321"/>
      <c r="F307" s="1321"/>
      <c r="I307" s="490"/>
    </row>
    <row r="308" spans="1:9" ht="14.25">
      <c r="A308" s="484"/>
      <c r="B308" s="484"/>
      <c r="D308" s="1321"/>
      <c r="E308" s="1321"/>
      <c r="F308" s="1321"/>
      <c r="I308" s="490"/>
    </row>
    <row r="309" spans="1:9" ht="14.25">
      <c r="A309" s="484"/>
      <c r="B309" s="484"/>
      <c r="D309" s="1321"/>
      <c r="E309" s="1321"/>
      <c r="F309" s="1321"/>
      <c r="I309" s="490"/>
    </row>
    <row r="310" spans="1:9" ht="14.25">
      <c r="A310" s="484"/>
      <c r="B310" s="484"/>
      <c r="D310" s="1321"/>
      <c r="E310" s="1321"/>
      <c r="F310" s="1321"/>
      <c r="I310" s="490"/>
    </row>
    <row r="311" spans="1:9" ht="14.25">
      <c r="A311" s="484"/>
      <c r="B311" s="484"/>
      <c r="D311" s="1321"/>
      <c r="E311" s="1321"/>
      <c r="F311" s="1321"/>
      <c r="I311" s="490"/>
    </row>
    <row r="312" spans="1:9" ht="14.25">
      <c r="A312" s="484"/>
      <c r="B312" s="484"/>
      <c r="D312" s="494"/>
      <c r="E312" s="495"/>
      <c r="F312" s="495"/>
      <c r="I312" s="490"/>
    </row>
    <row r="313" spans="1:9" ht="13.7" customHeight="1">
      <c r="B313" s="485" t="s">
        <v>2715</v>
      </c>
      <c r="D313" s="1321" t="s">
        <v>1130</v>
      </c>
      <c r="E313" s="1321"/>
      <c r="F313" s="1321"/>
      <c r="I313" s="490"/>
    </row>
    <row r="314" spans="1:9">
      <c r="D314" s="1321"/>
      <c r="E314" s="1321"/>
      <c r="F314" s="1321"/>
      <c r="I314" s="490"/>
    </row>
    <row r="315" spans="1:9" ht="14.25">
      <c r="A315" s="484"/>
      <c r="B315" s="484"/>
      <c r="D315" s="494"/>
      <c r="E315" s="495"/>
      <c r="F315" s="495"/>
      <c r="I315" s="490"/>
    </row>
    <row r="316" spans="1:9">
      <c r="B316" s="485" t="s">
        <v>2715</v>
      </c>
      <c r="D316" s="1310" t="s">
        <v>1131</v>
      </c>
      <c r="E316" s="1310"/>
      <c r="F316" s="1310"/>
      <c r="I316" s="490"/>
    </row>
    <row r="317" spans="1:9">
      <c r="E317" s="446"/>
      <c r="F317" s="446"/>
      <c r="I317" s="490"/>
    </row>
    <row r="318" spans="1:9" ht="14.25">
      <c r="A318" s="484"/>
      <c r="B318" s="485" t="s">
        <v>2715</v>
      </c>
      <c r="D318" s="1308" t="s">
        <v>2199</v>
      </c>
      <c r="E318" s="1308"/>
      <c r="F318" s="1308"/>
      <c r="I318" s="490"/>
    </row>
    <row r="319" spans="1:9" ht="14.25">
      <c r="A319" s="484"/>
      <c r="B319" s="484"/>
      <c r="D319" s="1308"/>
      <c r="E319" s="1308"/>
      <c r="F319" s="1308"/>
      <c r="I319" s="490"/>
    </row>
    <row r="320" spans="1:9" ht="14.25">
      <c r="A320" s="484"/>
      <c r="B320" s="484"/>
      <c r="D320" s="1308"/>
      <c r="E320" s="1308"/>
      <c r="F320" s="1308"/>
      <c r="I320" s="490"/>
    </row>
    <row r="321" spans="1:9" ht="14.25">
      <c r="A321" s="484"/>
      <c r="B321" s="484"/>
      <c r="D321" s="1308"/>
      <c r="E321" s="1308"/>
      <c r="F321" s="1308"/>
      <c r="I321" s="490"/>
    </row>
    <row r="322" spans="1:9" ht="14.25">
      <c r="A322" s="484"/>
      <c r="B322" s="484"/>
      <c r="D322" s="1308"/>
      <c r="E322" s="1308"/>
      <c r="F322" s="1308"/>
      <c r="I322" s="490"/>
    </row>
    <row r="323" spans="1:9" ht="14.25">
      <c r="A323" s="484"/>
      <c r="B323" s="484"/>
      <c r="D323" s="1308"/>
      <c r="E323" s="1308"/>
      <c r="F323" s="1308"/>
      <c r="I323" s="490"/>
    </row>
    <row r="324" spans="1:9" ht="14.25">
      <c r="A324" s="484"/>
      <c r="B324" s="484"/>
      <c r="D324" s="1308"/>
      <c r="E324" s="1308"/>
      <c r="F324" s="1308"/>
      <c r="I324" s="490"/>
    </row>
    <row r="325" spans="1:9" ht="14.25">
      <c r="A325" s="484"/>
      <c r="B325" s="484"/>
      <c r="D325" s="1308"/>
      <c r="E325" s="1308"/>
      <c r="F325" s="1308"/>
      <c r="I325" s="490"/>
    </row>
    <row r="326" spans="1:9" ht="14.25">
      <c r="A326" s="484"/>
      <c r="B326" s="484"/>
      <c r="D326" s="1308"/>
      <c r="E326" s="1308"/>
      <c r="F326" s="1308"/>
      <c r="I326" s="490"/>
    </row>
    <row r="327" spans="1:9" ht="14.25">
      <c r="A327" s="484"/>
      <c r="B327" s="484"/>
      <c r="D327" s="1308"/>
      <c r="E327" s="1308"/>
      <c r="F327" s="1308"/>
      <c r="I327" s="490"/>
    </row>
    <row r="328" spans="1:9" ht="14.25">
      <c r="A328" s="484"/>
      <c r="B328" s="484"/>
      <c r="D328" s="1308"/>
      <c r="E328" s="1308"/>
      <c r="F328" s="1308"/>
      <c r="I328" s="490"/>
    </row>
    <row r="329" spans="1:9" ht="14.25">
      <c r="A329" s="484"/>
      <c r="B329" s="484"/>
      <c r="D329" s="1308"/>
      <c r="E329" s="1308"/>
      <c r="F329" s="1308"/>
      <c r="I329" s="490"/>
    </row>
    <row r="330" spans="1:9" ht="14.25">
      <c r="A330" s="484"/>
      <c r="B330" s="484"/>
      <c r="D330" s="1308"/>
      <c r="E330" s="1308"/>
      <c r="F330" s="1308"/>
      <c r="I330" s="490"/>
    </row>
    <row r="331" spans="1:9" ht="14.25">
      <c r="A331" s="484"/>
      <c r="B331" s="484"/>
      <c r="D331" s="1308"/>
      <c r="E331" s="1308"/>
      <c r="F331" s="1308"/>
      <c r="I331" s="490"/>
    </row>
    <row r="332" spans="1:9" ht="14.25">
      <c r="A332" s="484"/>
      <c r="B332" s="484"/>
      <c r="D332" s="1308"/>
      <c r="E332" s="1308"/>
      <c r="F332" s="1308"/>
      <c r="I332" s="490"/>
    </row>
    <row r="333" spans="1:9">
      <c r="D333" s="446"/>
      <c r="E333" s="446"/>
      <c r="F333" s="446"/>
      <c r="I333" s="490"/>
    </row>
    <row r="334" spans="1:9" ht="14.25">
      <c r="A334" s="484"/>
      <c r="B334" s="485" t="s">
        <v>2715</v>
      </c>
      <c r="D334" s="1308" t="s">
        <v>1132</v>
      </c>
      <c r="E334" s="1308"/>
      <c r="F334" s="1308"/>
      <c r="I334" s="490"/>
    </row>
    <row r="335" spans="1:9">
      <c r="D335" s="1308"/>
      <c r="E335" s="1308"/>
      <c r="F335" s="1308"/>
      <c r="I335" s="490"/>
    </row>
    <row r="336" spans="1:9">
      <c r="D336" s="1308"/>
      <c r="E336" s="1308"/>
      <c r="F336" s="1308"/>
      <c r="I336" s="490"/>
    </row>
    <row r="337" spans="1:9">
      <c r="D337" s="1308"/>
      <c r="E337" s="1308"/>
      <c r="F337" s="1308"/>
      <c r="I337" s="490"/>
    </row>
    <row r="338" spans="1:9">
      <c r="D338" s="1308"/>
      <c r="E338" s="1308"/>
      <c r="F338" s="1308"/>
      <c r="I338" s="490"/>
    </row>
    <row r="339" spans="1:9">
      <c r="D339" s="1308"/>
      <c r="E339" s="1308"/>
      <c r="F339" s="1308"/>
      <c r="I339" s="490"/>
    </row>
    <row r="340" spans="1:9">
      <c r="D340" s="1308"/>
      <c r="E340" s="1308"/>
      <c r="F340" s="1308"/>
      <c r="I340" s="490"/>
    </row>
    <row r="341" spans="1:9">
      <c r="D341" s="1308"/>
      <c r="E341" s="1308"/>
      <c r="F341" s="1308"/>
      <c r="I341" s="490"/>
    </row>
    <row r="342" spans="1:9">
      <c r="D342" s="1308"/>
      <c r="E342" s="1308"/>
      <c r="F342" s="1308"/>
      <c r="I342" s="490"/>
    </row>
    <row r="343" spans="1:9">
      <c r="D343" s="446"/>
      <c r="E343" s="446"/>
      <c r="F343" s="446"/>
      <c r="I343" s="490"/>
    </row>
    <row r="344" spans="1:9" ht="14.25" customHeight="1">
      <c r="A344" s="484"/>
      <c r="B344" s="485" t="s">
        <v>2715</v>
      </c>
      <c r="D344" s="1308" t="s">
        <v>1876</v>
      </c>
      <c r="E344" s="1308"/>
      <c r="F344" s="1308"/>
      <c r="I344" s="490"/>
    </row>
    <row r="345" spans="1:9">
      <c r="D345" s="1308"/>
      <c r="E345" s="1308"/>
      <c r="F345" s="1308"/>
      <c r="I345" s="490"/>
    </row>
    <row r="346" spans="1:9">
      <c r="D346" s="1308"/>
      <c r="E346" s="1308"/>
      <c r="F346" s="1308"/>
      <c r="I346" s="490"/>
    </row>
    <row r="347" spans="1:9">
      <c r="D347" s="1308"/>
      <c r="E347" s="1308"/>
      <c r="F347" s="1308"/>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9" t="s">
        <v>979</v>
      </c>
      <c r="E351" s="1319"/>
      <c r="F351" s="1319"/>
      <c r="G351" s="1022"/>
      <c r="H351" s="1022"/>
      <c r="I351" s="1150"/>
    </row>
    <row r="352" spans="1:9" ht="13.5" thickTop="1">
      <c r="D352" s="1329" t="s">
        <v>2200</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2715</v>
      </c>
      <c r="C355" s="487"/>
      <c r="D355" s="1310" t="s">
        <v>1874</v>
      </c>
      <c r="E355" s="1310"/>
      <c r="F355" s="1310"/>
      <c r="I355" s="490"/>
    </row>
    <row r="356" spans="1:9" ht="12.75" customHeight="1">
      <c r="D356" s="1032"/>
      <c r="E356" s="96" t="s">
        <v>1873</v>
      </c>
      <c r="F356" s="1032"/>
      <c r="I356" s="490"/>
    </row>
    <row r="357" spans="1:9">
      <c r="D357" s="1308" t="s">
        <v>1239</v>
      </c>
      <c r="E357" s="1308"/>
      <c r="F357" s="1308"/>
      <c r="I357" s="490"/>
    </row>
    <row r="358" spans="1:9">
      <c r="D358" s="1308"/>
      <c r="E358" s="1308"/>
      <c r="F358" s="1308"/>
      <c r="I358" s="490"/>
    </row>
    <row r="359" spans="1:9">
      <c r="D359" s="1308"/>
      <c r="E359" s="1308"/>
      <c r="F359" s="1308"/>
      <c r="I359" s="490"/>
    </row>
    <row r="360" spans="1:9" ht="14.25">
      <c r="A360" s="484"/>
      <c r="B360" s="485" t="s">
        <v>2715</v>
      </c>
      <c r="C360" s="476"/>
      <c r="D360" s="1318" t="s">
        <v>2017</v>
      </c>
      <c r="E360" s="1318"/>
      <c r="F360" s="1318"/>
      <c r="I360" s="480"/>
    </row>
    <row r="361" spans="1:9">
      <c r="A361" s="476"/>
      <c r="B361" s="476"/>
      <c r="C361" s="476"/>
      <c r="D361" s="447"/>
      <c r="E361" s="447"/>
      <c r="F361" s="446"/>
      <c r="I361" s="490"/>
    </row>
    <row r="362" spans="1:9">
      <c r="A362" s="476"/>
      <c r="B362" s="485" t="s">
        <v>2715</v>
      </c>
      <c r="C362" s="476"/>
      <c r="D362" s="1280" t="s">
        <v>2018</v>
      </c>
      <c r="E362" s="1280"/>
      <c r="F362" s="1280"/>
      <c r="I362" s="490"/>
    </row>
    <row r="363" spans="1:9">
      <c r="A363" s="476"/>
      <c r="B363" s="476"/>
      <c r="C363" s="476"/>
      <c r="D363" s="1280"/>
      <c r="E363" s="1280"/>
      <c r="F363" s="1280"/>
      <c r="I363" s="490"/>
    </row>
    <row r="364" spans="1:9">
      <c r="A364" s="476"/>
      <c r="B364" s="476"/>
      <c r="C364" s="476"/>
      <c r="D364" s="1280"/>
      <c r="E364" s="1280"/>
      <c r="F364" s="1280"/>
      <c r="I364" s="490"/>
    </row>
    <row r="365" spans="1:9">
      <c r="A365" s="476"/>
      <c r="B365" s="476"/>
      <c r="C365" s="476"/>
      <c r="D365" s="1280"/>
      <c r="E365" s="1280"/>
      <c r="F365" s="1280"/>
      <c r="I365" s="490"/>
    </row>
    <row r="366" spans="1:9">
      <c r="A366" s="476"/>
      <c r="B366" s="476"/>
      <c r="C366" s="476"/>
      <c r="D366" s="1280"/>
      <c r="E366" s="1280"/>
      <c r="F366" s="1280"/>
      <c r="I366" s="490"/>
    </row>
    <row r="367" spans="1:9">
      <c r="A367" s="476"/>
      <c r="B367" s="476"/>
      <c r="C367" s="476"/>
      <c r="D367" s="1280"/>
      <c r="E367" s="1280"/>
      <c r="F367" s="1280"/>
      <c r="I367" s="490"/>
    </row>
    <row r="368" spans="1:9">
      <c r="A368" s="476"/>
      <c r="B368" s="476"/>
      <c r="C368" s="476"/>
      <c r="D368" s="1280"/>
      <c r="E368" s="1280"/>
      <c r="F368" s="1280"/>
      <c r="I368" s="490"/>
    </row>
    <row r="369" spans="1:9">
      <c r="A369" s="476"/>
      <c r="B369" s="476"/>
      <c r="C369" s="476"/>
      <c r="D369" s="1280"/>
      <c r="E369" s="1280"/>
      <c r="F369" s="1280"/>
      <c r="I369" s="490"/>
    </row>
    <row r="370" spans="1:9">
      <c r="A370" s="476"/>
      <c r="B370" s="476"/>
      <c r="C370" s="476"/>
      <c r="D370" s="1280"/>
      <c r="E370" s="1280"/>
      <c r="F370" s="1280"/>
      <c r="I370" s="490"/>
    </row>
    <row r="371" spans="1:9">
      <c r="A371" s="476"/>
      <c r="B371" s="476"/>
      <c r="C371" s="476"/>
      <c r="D371" s="1280"/>
      <c r="E371" s="1280"/>
      <c r="F371" s="1280"/>
      <c r="I371" s="490"/>
    </row>
    <row r="372" spans="1:9">
      <c r="A372" s="476"/>
      <c r="B372" s="476"/>
      <c r="C372" s="476"/>
      <c r="D372" s="1280"/>
      <c r="E372" s="1280"/>
      <c r="F372" s="1280"/>
      <c r="I372" s="490"/>
    </row>
    <row r="373" spans="1:9">
      <c r="A373" s="476"/>
      <c r="B373" s="476"/>
      <c r="C373" s="476"/>
      <c r="D373" s="1280"/>
      <c r="E373" s="1280"/>
      <c r="F373" s="1280"/>
      <c r="I373" s="490"/>
    </row>
    <row r="374" spans="1:9">
      <c r="A374" s="476"/>
      <c r="B374" s="476"/>
      <c r="C374" s="476"/>
      <c r="D374" s="451"/>
      <c r="E374" s="451"/>
      <c r="F374" s="451"/>
      <c r="I374" s="490"/>
    </row>
    <row r="375" spans="1:9" ht="12.4" customHeight="1">
      <c r="A375" s="476"/>
      <c r="B375" s="485" t="s">
        <v>2715</v>
      </c>
      <c r="C375" s="476"/>
      <c r="D375" s="1288" t="s">
        <v>1221</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2715</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2715</v>
      </c>
      <c r="C387" s="476"/>
      <c r="D387" s="1280" t="s">
        <v>1133</v>
      </c>
      <c r="E387" s="1280"/>
      <c r="F387" s="1280"/>
      <c r="I387" s="490"/>
    </row>
    <row r="388" spans="1:9">
      <c r="A388" s="476"/>
      <c r="B388" s="476"/>
      <c r="C388" s="476"/>
      <c r="D388" s="1280"/>
      <c r="E388" s="1280"/>
      <c r="F388" s="1280"/>
      <c r="I388" s="490"/>
    </row>
    <row r="389" spans="1:9">
      <c r="A389" s="476"/>
      <c r="B389" s="476"/>
      <c r="C389" s="476"/>
      <c r="D389" s="1280"/>
      <c r="E389" s="1280"/>
      <c r="F389" s="1280"/>
      <c r="I389" s="490"/>
    </row>
    <row r="390" spans="1:9">
      <c r="A390" s="476"/>
      <c r="B390" s="476"/>
      <c r="C390" s="476"/>
      <c r="D390" s="1280"/>
      <c r="E390" s="1280"/>
      <c r="F390" s="1280"/>
      <c r="I390" s="490"/>
    </row>
    <row r="391" spans="1:9">
      <c r="A391" s="476"/>
      <c r="B391" s="476"/>
      <c r="C391" s="476"/>
      <c r="D391" s="447"/>
      <c r="E391" s="447"/>
      <c r="F391" s="446"/>
      <c r="I391" s="490"/>
    </row>
    <row r="392" spans="1:9">
      <c r="A392" s="476"/>
      <c r="B392" s="476"/>
      <c r="C392" s="476"/>
      <c r="D392" s="1280" t="s">
        <v>1134</v>
      </c>
      <c r="E392" s="1280"/>
      <c r="F392" s="1280"/>
      <c r="I392" s="490"/>
    </row>
    <row r="393" spans="1:9">
      <c r="A393" s="476"/>
      <c r="B393" s="476"/>
      <c r="C393" s="476"/>
      <c r="D393" s="1280"/>
      <c r="E393" s="1280"/>
      <c r="F393" s="1280"/>
      <c r="I393" s="490"/>
    </row>
    <row r="394" spans="1:9">
      <c r="A394" s="476"/>
      <c r="B394" s="476"/>
      <c r="C394" s="476"/>
      <c r="D394" s="1280"/>
      <c r="E394" s="1280"/>
      <c r="F394" s="1280"/>
      <c r="I394" s="490"/>
    </row>
    <row r="395" spans="1:9">
      <c r="A395" s="476"/>
      <c r="B395" s="476"/>
      <c r="C395" s="476"/>
      <c r="D395" s="1280"/>
      <c r="E395" s="1280"/>
      <c r="F395" s="1280"/>
      <c r="I395" s="490"/>
    </row>
    <row r="396" spans="1:9" ht="18" customHeight="1">
      <c r="A396" s="476"/>
      <c r="B396" s="476"/>
      <c r="C396" s="476"/>
      <c r="D396" s="1280"/>
      <c r="E396" s="1280"/>
      <c r="F396" s="1280"/>
      <c r="I396" s="490"/>
    </row>
    <row r="397" spans="1:9">
      <c r="A397" s="476"/>
      <c r="B397" s="476"/>
      <c r="C397" s="476"/>
      <c r="D397" s="1280"/>
      <c r="E397" s="1280"/>
      <c r="F397" s="1280"/>
      <c r="I397" s="490"/>
    </row>
    <row r="398" spans="1:9">
      <c r="A398" s="476"/>
      <c r="B398" s="476"/>
      <c r="C398" s="476"/>
      <c r="D398" s="1280"/>
      <c r="E398" s="1280"/>
      <c r="F398" s="1280"/>
      <c r="I398" s="490"/>
    </row>
    <row r="399" spans="1:9">
      <c r="A399" s="476"/>
      <c r="B399" s="476"/>
      <c r="C399" s="476"/>
      <c r="D399" s="1280"/>
      <c r="E399" s="1280"/>
      <c r="F399" s="1280"/>
      <c r="I399" s="490"/>
    </row>
    <row r="400" spans="1:9" ht="8.25" customHeight="1">
      <c r="A400" s="476"/>
      <c r="B400" s="476"/>
      <c r="C400" s="476"/>
      <c r="D400" s="1280"/>
      <c r="E400" s="1280"/>
      <c r="F400" s="1280"/>
      <c r="I400" s="490"/>
    </row>
    <row r="401" spans="1:9" ht="13.7" customHeight="1">
      <c r="A401" s="476"/>
      <c r="B401" s="476"/>
      <c r="C401" s="476"/>
      <c r="D401" s="1280" t="s">
        <v>1135</v>
      </c>
      <c r="E401" s="1280"/>
      <c r="F401" s="1280"/>
      <c r="I401" s="490"/>
    </row>
    <row r="402" spans="1:9">
      <c r="A402" s="476"/>
      <c r="B402" s="476"/>
      <c r="C402" s="476"/>
      <c r="D402" s="1280"/>
      <c r="E402" s="1280"/>
      <c r="F402" s="1280"/>
      <c r="I402" s="490"/>
    </row>
    <row r="403" spans="1:9">
      <c r="A403" s="476"/>
      <c r="B403" s="476"/>
      <c r="C403" s="476"/>
      <c r="D403" s="1280"/>
      <c r="E403" s="1280"/>
      <c r="F403" s="1280"/>
      <c r="I403" s="490"/>
    </row>
    <row r="404" spans="1:9">
      <c r="A404" s="476"/>
      <c r="B404" s="476"/>
      <c r="C404" s="476"/>
      <c r="D404" s="1280"/>
      <c r="E404" s="1280"/>
      <c r="F404" s="1280"/>
      <c r="I404" s="490"/>
    </row>
    <row r="405" spans="1:9">
      <c r="A405" s="476"/>
      <c r="B405" s="476"/>
      <c r="C405" s="476"/>
      <c r="D405" s="1280"/>
      <c r="E405" s="1280"/>
      <c r="F405" s="1280"/>
      <c r="I405" s="490"/>
    </row>
    <row r="406" spans="1:9">
      <c r="A406" s="476"/>
      <c r="B406" s="476"/>
      <c r="C406" s="476"/>
      <c r="D406" s="1280"/>
      <c r="E406" s="1280"/>
      <c r="F406" s="1280"/>
      <c r="I406" s="490"/>
    </row>
    <row r="407" spans="1:9">
      <c r="A407" s="476"/>
      <c r="B407" s="476"/>
      <c r="C407" s="476"/>
      <c r="D407" s="1280"/>
      <c r="E407" s="1280"/>
      <c r="F407" s="1280"/>
      <c r="I407" s="490"/>
    </row>
    <row r="408" spans="1:9">
      <c r="A408" s="476"/>
      <c r="B408" s="476"/>
      <c r="C408" s="476"/>
      <c r="D408" s="1280"/>
      <c r="E408" s="1280"/>
      <c r="F408" s="1280"/>
      <c r="I408" s="490"/>
    </row>
    <row r="409" spans="1:9">
      <c r="A409" s="476"/>
      <c r="B409" s="476"/>
      <c r="C409" s="476"/>
      <c r="D409" s="1280"/>
      <c r="E409" s="1280"/>
      <c r="F409" s="1280"/>
      <c r="I409" s="490"/>
    </row>
    <row r="410" spans="1:9">
      <c r="A410" s="476"/>
      <c r="B410" s="476"/>
      <c r="C410" s="476"/>
      <c r="D410" s="1280"/>
      <c r="E410" s="1280"/>
      <c r="F410" s="1280"/>
      <c r="I410" s="490"/>
    </row>
    <row r="411" spans="1:9">
      <c r="A411" s="476"/>
      <c r="B411" s="476"/>
      <c r="C411" s="476"/>
      <c r="D411" s="1280"/>
      <c r="E411" s="1280"/>
      <c r="F411" s="1280"/>
      <c r="I411" s="490"/>
    </row>
    <row r="412" spans="1:9">
      <c r="A412" s="476"/>
      <c r="B412" s="476"/>
      <c r="C412" s="476"/>
      <c r="D412" s="1280"/>
      <c r="E412" s="1280"/>
      <c r="F412" s="1280"/>
      <c r="I412" s="490"/>
    </row>
    <row r="413" spans="1:9">
      <c r="A413" s="476"/>
      <c r="B413" s="476"/>
      <c r="C413" s="496"/>
      <c r="D413" s="1280"/>
      <c r="E413" s="1280"/>
      <c r="F413" s="1280"/>
      <c r="I413" s="490"/>
    </row>
    <row r="414" spans="1:9">
      <c r="A414" s="476"/>
      <c r="B414" s="476"/>
      <c r="C414" s="496"/>
      <c r="D414" s="1280"/>
      <c r="E414" s="1280"/>
      <c r="F414" s="1280"/>
      <c r="I414" s="490"/>
    </row>
    <row r="415" spans="1:9">
      <c r="A415" s="476"/>
      <c r="B415" s="476"/>
      <c r="C415" s="476"/>
      <c r="D415" s="1280"/>
      <c r="E415" s="1280"/>
      <c r="F415" s="1280"/>
      <c r="I415" s="490"/>
    </row>
    <row r="416" spans="1:9">
      <c r="A416" s="476"/>
      <c r="B416" s="476"/>
      <c r="C416" s="496"/>
      <c r="D416" s="1280"/>
      <c r="E416" s="1280"/>
      <c r="F416" s="1280"/>
      <c r="I416" s="490"/>
    </row>
    <row r="417" spans="1:9">
      <c r="A417" s="476"/>
      <c r="B417" s="476"/>
      <c r="C417" s="496"/>
      <c r="D417" s="1280"/>
      <c r="E417" s="1280"/>
      <c r="F417" s="1280"/>
      <c r="I417" s="490"/>
    </row>
    <row r="418" spans="1:9">
      <c r="A418" s="476"/>
      <c r="B418" s="476"/>
      <c r="C418" s="496"/>
      <c r="D418" s="1280"/>
      <c r="E418" s="1280"/>
      <c r="F418" s="1280"/>
      <c r="I418" s="490"/>
    </row>
    <row r="419" spans="1:9">
      <c r="A419" s="476"/>
      <c r="B419" s="476"/>
      <c r="C419" s="476"/>
      <c r="D419" s="447"/>
      <c r="E419" s="447"/>
      <c r="F419" s="446"/>
      <c r="I419" s="490"/>
    </row>
    <row r="420" spans="1:9">
      <c r="A420" s="476"/>
      <c r="B420" s="485" t="s">
        <v>2715</v>
      </c>
      <c r="C420" s="476"/>
      <c r="D420" s="1280" t="s">
        <v>1136</v>
      </c>
      <c r="E420" s="1280"/>
      <c r="F420" s="1280"/>
      <c r="I420" s="490"/>
    </row>
    <row r="421" spans="1:9">
      <c r="A421" s="476"/>
      <c r="B421" s="476"/>
      <c r="C421" s="476"/>
      <c r="D421" s="1280"/>
      <c r="E421" s="1280"/>
      <c r="F421" s="1280"/>
      <c r="I421" s="490"/>
    </row>
    <row r="422" spans="1:9">
      <c r="A422" s="476"/>
      <c r="B422" s="476"/>
      <c r="C422" s="476"/>
      <c r="D422" s="451"/>
      <c r="E422" s="451"/>
      <c r="F422" s="451"/>
      <c r="I422" s="490"/>
    </row>
    <row r="423" spans="1:9" ht="14.45" customHeight="1">
      <c r="A423" s="484"/>
      <c r="B423" s="485" t="s">
        <v>2715</v>
      </c>
      <c r="D423" s="1280" t="s">
        <v>1856</v>
      </c>
      <c r="E423" s="1280"/>
      <c r="F423" s="1280"/>
      <c r="I423" s="490"/>
    </row>
    <row r="424" spans="1:9" ht="14.45" customHeight="1">
      <c r="A424" s="484"/>
      <c r="D424" s="1280"/>
      <c r="E424" s="1280"/>
      <c r="F424" s="1280"/>
      <c r="I424" s="490"/>
    </row>
    <row r="425" spans="1:9" ht="14.45" customHeight="1">
      <c r="A425" s="484"/>
      <c r="D425" s="1280"/>
      <c r="E425" s="1280"/>
      <c r="F425" s="1280"/>
      <c r="I425" s="490"/>
    </row>
    <row r="426" spans="1:9" ht="14.45" customHeight="1">
      <c r="A426" s="484"/>
      <c r="D426" s="1280"/>
      <c r="E426" s="1280"/>
      <c r="F426" s="1280"/>
      <c r="I426" s="490"/>
    </row>
    <row r="427" spans="1:9" ht="14.45" customHeight="1">
      <c r="A427" s="484"/>
      <c r="D427" s="1280"/>
      <c r="E427" s="1280"/>
      <c r="F427" s="1280"/>
      <c r="I427" s="490"/>
    </row>
    <row r="428" spans="1:9" ht="14.45" customHeight="1">
      <c r="A428" s="484"/>
      <c r="D428" s="385"/>
      <c r="E428" s="385"/>
      <c r="F428" s="385"/>
      <c r="I428" s="490"/>
    </row>
    <row r="429" spans="1:9" ht="13.7" customHeight="1">
      <c r="A429" s="484"/>
      <c r="B429" s="485" t="s">
        <v>2715</v>
      </c>
      <c r="C429" s="476"/>
      <c r="D429" s="1280" t="s">
        <v>1240</v>
      </c>
      <c r="E429" s="1280"/>
      <c r="F429" s="1280"/>
      <c r="I429" s="490"/>
    </row>
    <row r="430" spans="1:9" ht="14.25">
      <c r="A430" s="497"/>
      <c r="B430" s="497"/>
      <c r="C430" s="476"/>
      <c r="D430" s="1280"/>
      <c r="E430" s="1280"/>
      <c r="F430" s="1280"/>
      <c r="I430" s="490"/>
    </row>
    <row r="431" spans="1:9" ht="14.25">
      <c r="A431" s="497"/>
      <c r="B431" s="497"/>
      <c r="C431" s="476"/>
      <c r="D431" s="1280"/>
      <c r="E431" s="1280"/>
      <c r="F431" s="1280"/>
      <c r="I431" s="490"/>
    </row>
    <row r="432" spans="1:9" ht="14.25">
      <c r="A432" s="497"/>
      <c r="B432" s="497"/>
      <c r="C432" s="476"/>
      <c r="D432" s="1280"/>
      <c r="E432" s="1280"/>
      <c r="F432" s="1280"/>
      <c r="I432" s="490"/>
    </row>
    <row r="433" spans="1:9" ht="15.75" customHeight="1">
      <c r="A433" s="497"/>
      <c r="B433" s="497"/>
      <c r="C433" s="476"/>
      <c r="D433" s="1339" t="s">
        <v>2614</v>
      </c>
      <c r="E433" s="1280"/>
      <c r="F433" s="1280"/>
      <c r="I433" s="490"/>
    </row>
    <row r="434" spans="1:9">
      <c r="D434" s="446"/>
      <c r="E434" s="446"/>
      <c r="F434" s="446"/>
      <c r="I434" s="490"/>
    </row>
    <row r="435" spans="1:9" ht="14.25">
      <c r="A435" s="484"/>
      <c r="B435" s="485" t="s">
        <v>2715</v>
      </c>
      <c r="C435" s="487"/>
      <c r="D435" s="1308" t="s">
        <v>2019</v>
      </c>
      <c r="E435" s="1308"/>
      <c r="F435" s="1308"/>
      <c r="I435" s="490"/>
    </row>
    <row r="436" spans="1:9" ht="14.25">
      <c r="A436" s="484"/>
      <c r="B436" s="484"/>
      <c r="D436" s="1308"/>
      <c r="E436" s="1308"/>
      <c r="F436" s="1308"/>
      <c r="I436" s="490"/>
    </row>
    <row r="437" spans="1:9">
      <c r="D437" s="1308"/>
      <c r="E437" s="1308"/>
      <c r="F437" s="1308"/>
      <c r="I437" s="490"/>
    </row>
    <row r="438" spans="1:9">
      <c r="D438" s="1308"/>
      <c r="E438" s="1308"/>
      <c r="F438" s="1308"/>
      <c r="I438" s="490"/>
    </row>
    <row r="439" spans="1:9">
      <c r="D439" s="1308"/>
      <c r="E439" s="1308"/>
      <c r="F439" s="1308"/>
      <c r="I439" s="490"/>
    </row>
    <row r="440" spans="1:9">
      <c r="D440" s="1308"/>
      <c r="E440" s="1308"/>
      <c r="F440" s="1308"/>
      <c r="I440" s="490"/>
    </row>
    <row r="441" spans="1:9">
      <c r="D441" s="1308"/>
      <c r="E441" s="1308"/>
      <c r="F441" s="1308"/>
      <c r="I441" s="490"/>
    </row>
    <row r="442" spans="1:9">
      <c r="D442" s="1308"/>
      <c r="E442" s="1308"/>
      <c r="F442" s="1308"/>
      <c r="I442" s="490"/>
    </row>
    <row r="443" spans="1:9">
      <c r="D443" s="1308"/>
      <c r="E443" s="1308"/>
      <c r="F443" s="1308"/>
      <c r="I443" s="490"/>
    </row>
    <row r="444" spans="1:9">
      <c r="D444" s="1308"/>
      <c r="E444" s="1308"/>
      <c r="F444" s="1308"/>
      <c r="I444" s="490"/>
    </row>
    <row r="445" spans="1:9">
      <c r="D445" s="1308"/>
      <c r="E445" s="1308"/>
      <c r="F445" s="1308"/>
      <c r="I445" s="490"/>
    </row>
    <row r="446" spans="1:9">
      <c r="D446" s="1308"/>
      <c r="E446" s="1308"/>
      <c r="F446" s="1308"/>
      <c r="I446" s="490"/>
    </row>
    <row r="447" spans="1:9">
      <c r="D447" s="1308"/>
      <c r="E447" s="1308"/>
      <c r="F447" s="1308"/>
      <c r="I447" s="490"/>
    </row>
    <row r="448" spans="1:9">
      <c r="A448" s="402"/>
      <c r="B448" s="402"/>
      <c r="C448" s="402"/>
      <c r="D448" s="1308"/>
      <c r="E448" s="1308"/>
      <c r="F448" s="1308"/>
      <c r="I448" s="490"/>
    </row>
    <row r="449" spans="1:9">
      <c r="A449" s="402"/>
      <c r="B449" s="402"/>
      <c r="C449" s="402"/>
      <c r="D449" s="1308"/>
      <c r="E449" s="1308"/>
      <c r="F449" s="1308"/>
      <c r="I449" s="490"/>
    </row>
    <row r="450" spans="1:9">
      <c r="A450" s="402"/>
      <c r="B450" s="402"/>
      <c r="C450" s="402"/>
      <c r="D450" s="1308"/>
      <c r="E450" s="1308"/>
      <c r="F450" s="1308"/>
      <c r="I450" s="490"/>
    </row>
    <row r="451" spans="1:9">
      <c r="A451" s="402"/>
      <c r="B451" s="402"/>
      <c r="C451" s="402"/>
      <c r="D451" s="1308"/>
      <c r="E451" s="1308"/>
      <c r="F451" s="1308"/>
      <c r="I451" s="490"/>
    </row>
    <row r="452" spans="1:9">
      <c r="A452" s="402"/>
      <c r="B452" s="402"/>
      <c r="C452" s="402"/>
      <c r="D452" s="1308"/>
      <c r="E452" s="1308"/>
      <c r="F452" s="1308"/>
      <c r="I452" s="490"/>
    </row>
    <row r="453" spans="1:9">
      <c r="A453" s="402"/>
      <c r="B453" s="402"/>
      <c r="C453" s="402"/>
      <c r="D453" s="1308"/>
      <c r="E453" s="1308"/>
      <c r="F453" s="1308"/>
      <c r="I453" s="490"/>
    </row>
    <row r="454" spans="1:9">
      <c r="A454" s="402"/>
      <c r="B454" s="402"/>
      <c r="C454" s="402"/>
      <c r="D454" s="1308"/>
      <c r="E454" s="1308"/>
      <c r="F454" s="1308"/>
      <c r="I454" s="490"/>
    </row>
    <row r="455" spans="1:9">
      <c r="A455" s="402"/>
      <c r="B455" s="402"/>
      <c r="C455" s="402"/>
      <c r="D455" s="1308"/>
      <c r="E455" s="1308"/>
      <c r="F455" s="1308"/>
      <c r="I455" s="490"/>
    </row>
    <row r="456" spans="1:9">
      <c r="A456" s="402"/>
      <c r="B456" s="402"/>
      <c r="C456" s="402"/>
      <c r="D456" s="1308"/>
      <c r="E456" s="1308"/>
      <c r="F456" s="1308"/>
      <c r="I456" s="490"/>
    </row>
    <row r="457" spans="1:9">
      <c r="A457" s="402"/>
      <c r="B457" s="402"/>
      <c r="C457" s="402"/>
      <c r="D457" s="1308"/>
      <c r="E457" s="1308"/>
      <c r="F457" s="1308"/>
      <c r="I457" s="490"/>
    </row>
    <row r="458" spans="1:9">
      <c r="A458" s="402"/>
      <c r="B458" s="402"/>
      <c r="C458" s="402"/>
      <c r="D458" s="1308"/>
      <c r="E458" s="1308"/>
      <c r="F458" s="1308"/>
      <c r="I458" s="490"/>
    </row>
    <row r="459" spans="1:9">
      <c r="A459" s="402"/>
      <c r="B459" s="402"/>
      <c r="C459" s="402"/>
      <c r="D459" s="1308"/>
      <c r="E459" s="1308"/>
      <c r="F459" s="1308"/>
      <c r="I459" s="490"/>
    </row>
    <row r="460" spans="1:9">
      <c r="A460" s="402"/>
      <c r="B460" s="402"/>
      <c r="C460" s="402"/>
      <c r="D460" s="1308"/>
      <c r="E460" s="1308"/>
      <c r="F460" s="1308"/>
      <c r="I460" s="490"/>
    </row>
    <row r="461" spans="1:9">
      <c r="A461" s="402"/>
      <c r="B461" s="402"/>
      <c r="C461" s="402"/>
      <c r="D461" s="1308"/>
      <c r="E461" s="1308"/>
      <c r="F461" s="1308"/>
      <c r="I461" s="490"/>
    </row>
    <row r="462" spans="1:9">
      <c r="A462" s="402"/>
      <c r="B462" s="402"/>
      <c r="C462" s="402"/>
      <c r="D462" s="1308"/>
      <c r="E462" s="1308"/>
      <c r="F462" s="1308"/>
      <c r="I462" s="490"/>
    </row>
    <row r="463" spans="1:9">
      <c r="A463" s="402"/>
      <c r="B463" s="402"/>
      <c r="C463" s="402"/>
      <c r="D463" s="1308"/>
      <c r="E463" s="1308"/>
      <c r="F463" s="1308"/>
      <c r="I463" s="490"/>
    </row>
    <row r="464" spans="1:9">
      <c r="D464" s="1308"/>
      <c r="E464" s="1308"/>
      <c r="F464" s="1308"/>
      <c r="I464" s="490"/>
    </row>
    <row r="465" spans="1:9" ht="40.700000000000003" customHeight="1">
      <c r="D465" s="1308"/>
      <c r="E465" s="1308"/>
      <c r="F465" s="1308"/>
      <c r="I465" s="490"/>
    </row>
    <row r="466" spans="1:9">
      <c r="D466" s="446"/>
      <c r="E466" s="446"/>
      <c r="F466" s="446"/>
      <c r="I466" s="490"/>
    </row>
    <row r="467" spans="1:9" ht="14.25">
      <c r="A467" s="484"/>
      <c r="B467" s="485" t="s">
        <v>2715</v>
      </c>
      <c r="C467" s="487"/>
      <c r="D467" s="1308" t="s">
        <v>1137</v>
      </c>
      <c r="E467" s="1308"/>
      <c r="F467" s="1308"/>
      <c r="I467" s="490"/>
    </row>
    <row r="468" spans="1:9">
      <c r="D468" s="1308"/>
      <c r="E468" s="1308"/>
      <c r="F468" s="1308"/>
      <c r="I468" s="490"/>
    </row>
    <row r="469" spans="1:9">
      <c r="D469" s="1308"/>
      <c r="E469" s="1308"/>
      <c r="F469" s="1308"/>
      <c r="I469" s="490"/>
    </row>
    <row r="470" spans="1:9">
      <c r="D470" s="445"/>
      <c r="E470" s="445"/>
      <c r="F470" s="445"/>
      <c r="I470" s="490"/>
    </row>
    <row r="471" spans="1:9" ht="14.25">
      <c r="B471" s="485" t="s">
        <v>2715</v>
      </c>
      <c r="C471" s="484"/>
      <c r="D471" s="1308" t="s">
        <v>1197</v>
      </c>
      <c r="E471" s="1308"/>
      <c r="F471" s="1308"/>
      <c r="I471" s="490"/>
    </row>
    <row r="472" spans="1:9">
      <c r="D472" s="1308"/>
      <c r="E472" s="1308"/>
      <c r="F472" s="1308"/>
      <c r="I472" s="490"/>
    </row>
    <row r="473" spans="1:9">
      <c r="D473" s="446"/>
      <c r="E473" s="446"/>
      <c r="F473" s="446"/>
      <c r="I473" s="490"/>
    </row>
    <row r="474" spans="1:9" ht="14.25">
      <c r="B474" s="485" t="s">
        <v>2715</v>
      </c>
      <c r="C474" s="484"/>
      <c r="D474" s="1308" t="s">
        <v>1138</v>
      </c>
      <c r="E474" s="1308"/>
      <c r="F474" s="1308"/>
      <c r="I474" s="490"/>
    </row>
    <row r="475" spans="1:9">
      <c r="D475" s="1308"/>
      <c r="E475" s="1308"/>
      <c r="F475" s="1308"/>
      <c r="I475" s="490"/>
    </row>
    <row r="476" spans="1:9">
      <c r="D476" s="1308"/>
      <c r="E476" s="1308"/>
      <c r="F476" s="1308"/>
      <c r="I476" s="490"/>
    </row>
    <row r="477" spans="1:9">
      <c r="D477" s="1308"/>
      <c r="E477" s="1308"/>
      <c r="F477" s="1308"/>
      <c r="I477" s="490"/>
    </row>
    <row r="478" spans="1:9">
      <c r="B478" s="485" t="s">
        <v>2715</v>
      </c>
      <c r="D478" s="1308"/>
      <c r="E478" s="1308"/>
      <c r="F478" s="1308"/>
      <c r="I478" s="490"/>
    </row>
    <row r="479" spans="1:9">
      <c r="A479" s="402"/>
      <c r="B479" s="402"/>
      <c r="C479" s="402"/>
      <c r="D479" s="1308"/>
      <c r="E479" s="1308"/>
      <c r="F479" s="1308"/>
      <c r="I479" s="490"/>
    </row>
    <row r="480" spans="1:9">
      <c r="A480" s="402"/>
      <c r="C480" s="402"/>
      <c r="D480" s="1308"/>
      <c r="E480" s="1308"/>
      <c r="F480" s="1308"/>
      <c r="I480" s="490"/>
    </row>
    <row r="481" spans="1:9">
      <c r="A481" s="402"/>
      <c r="B481" s="485" t="s">
        <v>2715</v>
      </c>
      <c r="C481" s="402"/>
      <c r="D481" s="1308"/>
      <c r="E481" s="1308"/>
      <c r="F481" s="1308"/>
      <c r="I481" s="490"/>
    </row>
    <row r="482" spans="1:9">
      <c r="A482" s="402"/>
      <c r="B482" s="402"/>
      <c r="C482" s="402"/>
      <c r="D482" s="1308"/>
      <c r="E482" s="1308"/>
      <c r="F482" s="1308"/>
      <c r="I482" s="490"/>
    </row>
    <row r="483" spans="1:9">
      <c r="A483" s="402"/>
      <c r="C483" s="402"/>
      <c r="D483" s="1308"/>
      <c r="E483" s="1308"/>
      <c r="F483" s="1308"/>
      <c r="I483" s="490"/>
    </row>
    <row r="484" spans="1:9">
      <c r="A484" s="402"/>
      <c r="C484" s="402"/>
      <c r="D484" s="1308"/>
      <c r="E484" s="1308"/>
      <c r="F484" s="1308"/>
      <c r="I484" s="490"/>
    </row>
    <row r="485" spans="1:9">
      <c r="A485" s="402"/>
      <c r="C485" s="402"/>
      <c r="D485" s="1308"/>
      <c r="E485" s="1308"/>
      <c r="F485" s="1308"/>
      <c r="I485" s="490"/>
    </row>
    <row r="486" spans="1:9">
      <c r="A486" s="402"/>
      <c r="B486" s="485" t="s">
        <v>2715</v>
      </c>
      <c r="C486" s="402"/>
      <c r="D486" s="1308"/>
      <c r="E486" s="1308"/>
      <c r="F486" s="1308"/>
      <c r="I486" s="490"/>
    </row>
    <row r="487" spans="1:9">
      <c r="A487" s="402"/>
      <c r="C487" s="402"/>
      <c r="D487" s="1308"/>
      <c r="E487" s="1308"/>
      <c r="F487" s="1308"/>
      <c r="I487" s="490"/>
    </row>
    <row r="488" spans="1:9">
      <c r="A488" s="402"/>
      <c r="B488" s="485" t="s">
        <v>2715</v>
      </c>
      <c r="C488" s="402"/>
      <c r="D488" s="1308" t="s">
        <v>1139</v>
      </c>
      <c r="E488" s="1308"/>
      <c r="F488" s="1308"/>
      <c r="I488" s="490"/>
    </row>
    <row r="489" spans="1:9">
      <c r="A489" s="402"/>
      <c r="B489" s="402"/>
      <c r="C489" s="402"/>
      <c r="D489" s="1308"/>
      <c r="E489" s="1308"/>
      <c r="F489" s="1308"/>
      <c r="I489" s="490"/>
    </row>
    <row r="490" spans="1:9">
      <c r="A490" s="402"/>
      <c r="B490" s="402"/>
      <c r="C490" s="402"/>
      <c r="D490" s="1308"/>
      <c r="E490" s="1308"/>
      <c r="F490" s="1308"/>
      <c r="I490" s="490"/>
    </row>
    <row r="491" spans="1:9">
      <c r="A491" s="402"/>
      <c r="B491" s="402"/>
      <c r="C491" s="402"/>
      <c r="D491" s="1308"/>
      <c r="E491" s="1308"/>
      <c r="F491" s="1308"/>
      <c r="I491" s="490"/>
    </row>
    <row r="492" spans="1:9">
      <c r="D492" s="1308"/>
      <c r="E492" s="1308"/>
      <c r="F492" s="1308"/>
      <c r="I492" s="490"/>
    </row>
    <row r="493" spans="1:9">
      <c r="D493" s="446"/>
      <c r="E493" s="446"/>
      <c r="F493" s="446"/>
      <c r="I493" s="490"/>
    </row>
    <row r="494" spans="1:9">
      <c r="B494" s="485" t="s">
        <v>2715</v>
      </c>
      <c r="D494" s="1310" t="s">
        <v>1140</v>
      </c>
      <c r="E494" s="1310"/>
      <c r="F494" s="1310"/>
      <c r="I494" s="490"/>
    </row>
    <row r="495" spans="1:9">
      <c r="A495" s="446"/>
      <c r="B495" s="446"/>
      <c r="I495" s="490"/>
    </row>
    <row r="496" spans="1:9">
      <c r="A496" s="1309" t="s">
        <v>1050</v>
      </c>
      <c r="B496" s="1309"/>
      <c r="C496" s="1309"/>
      <c r="D496" s="1309"/>
      <c r="E496" s="1309"/>
      <c r="F496" s="1309"/>
      <c r="G496" s="1309"/>
      <c r="H496" s="1023"/>
      <c r="I496" s="1147"/>
    </row>
    <row r="497" spans="1:9">
      <c r="A497" s="446"/>
      <c r="B497" s="446"/>
      <c r="I497" s="490"/>
    </row>
    <row r="498" spans="1:9">
      <c r="D498" s="1338" t="s">
        <v>883</v>
      </c>
      <c r="E498" s="1338"/>
      <c r="F498" s="1338"/>
      <c r="I498" s="490"/>
    </row>
    <row r="499" spans="1:9" ht="14.25">
      <c r="A499" s="484"/>
      <c r="B499" s="484"/>
      <c r="D499" s="1318" t="s">
        <v>1141</v>
      </c>
      <c r="E499" s="1318"/>
      <c r="F499" s="1318"/>
      <c r="I499" s="490"/>
    </row>
    <row r="500" spans="1:9" ht="14.25">
      <c r="A500" s="484"/>
      <c r="B500" s="484"/>
      <c r="D500" s="447"/>
      <c r="I500" s="490"/>
    </row>
    <row r="501" spans="1:9" ht="14.25">
      <c r="A501" s="484"/>
      <c r="B501" s="485" t="s">
        <v>2715</v>
      </c>
      <c r="D501" s="1280" t="s">
        <v>1142</v>
      </c>
      <c r="E501" s="1280"/>
      <c r="F501" s="1280"/>
      <c r="I501" s="490"/>
    </row>
    <row r="502" spans="1:9" ht="14.25">
      <c r="A502" s="484"/>
      <c r="B502" s="484"/>
      <c r="D502" s="1280"/>
      <c r="E502" s="1280"/>
      <c r="F502" s="1280"/>
      <c r="I502" s="490"/>
    </row>
    <row r="503" spans="1:9" ht="14.25">
      <c r="A503" s="484"/>
      <c r="B503" s="484"/>
      <c r="D503" s="446"/>
      <c r="I503" s="490"/>
    </row>
    <row r="504" spans="1:9" ht="12.75" customHeight="1">
      <c r="B504" s="485" t="s">
        <v>2715</v>
      </c>
      <c r="D504" s="1324" t="s">
        <v>1273</v>
      </c>
      <c r="E504" s="1324"/>
      <c r="F504" s="1324"/>
      <c r="I504" s="490"/>
    </row>
    <row r="505" spans="1:9" ht="14.25">
      <c r="A505" s="484"/>
      <c r="D505" s="1324"/>
      <c r="E505" s="1324"/>
      <c r="F505" s="1324"/>
      <c r="I505" s="490"/>
    </row>
    <row r="506" spans="1:9" ht="14.25">
      <c r="A506" s="484"/>
      <c r="B506" s="484"/>
      <c r="D506" s="1324"/>
      <c r="E506" s="1324"/>
      <c r="F506" s="1324"/>
      <c r="I506" s="490"/>
    </row>
    <row r="507" spans="1:9" ht="14.25">
      <c r="A507" s="484"/>
      <c r="B507" s="484"/>
      <c r="D507" s="1324"/>
      <c r="E507" s="1324"/>
      <c r="F507" s="1324"/>
      <c r="I507" s="490"/>
    </row>
    <row r="508" spans="1:9" ht="14.25">
      <c r="A508" s="484"/>
      <c r="D508" s="520"/>
      <c r="E508" s="520"/>
      <c r="F508" s="520"/>
      <c r="I508" s="490"/>
    </row>
    <row r="509" spans="1:9" ht="14.25">
      <c r="A509" s="484"/>
      <c r="B509" s="485" t="s">
        <v>2715</v>
      </c>
      <c r="D509" s="1310" t="s">
        <v>1143</v>
      </c>
      <c r="E509" s="1310"/>
      <c r="F509" s="1310"/>
      <c r="I509" s="490"/>
    </row>
    <row r="510" spans="1:9" ht="14.25">
      <c r="A510" s="484"/>
      <c r="B510" s="484"/>
      <c r="D510" s="446"/>
      <c r="I510" s="490"/>
    </row>
    <row r="511" spans="1:9" ht="14.25">
      <c r="A511" s="484"/>
      <c r="B511" s="485" t="s">
        <v>2715</v>
      </c>
      <c r="D511" s="1308" t="s">
        <v>1144</v>
      </c>
      <c r="E511" s="1308"/>
      <c r="F511" s="1308"/>
      <c r="I511" s="490"/>
    </row>
    <row r="512" spans="1:9" ht="14.25">
      <c r="A512" s="484"/>
      <c r="D512" s="1308"/>
      <c r="E512" s="1308"/>
      <c r="F512" s="1308"/>
      <c r="I512" s="490"/>
    </row>
    <row r="513" spans="1:9">
      <c r="A513" s="490"/>
      <c r="B513" s="490"/>
      <c r="D513" s="447"/>
      <c r="I513" s="490"/>
    </row>
    <row r="514" spans="1:9">
      <c r="A514" s="490"/>
      <c r="B514" s="485" t="s">
        <v>2715</v>
      </c>
      <c r="D514" s="1310" t="s">
        <v>1145</v>
      </c>
      <c r="E514" s="1310"/>
      <c r="F514" s="1310"/>
      <c r="I514" s="490"/>
    </row>
    <row r="515" spans="1:9">
      <c r="D515" s="446"/>
      <c r="E515" s="446"/>
      <c r="F515" s="446"/>
      <c r="I515" s="490"/>
    </row>
    <row r="516" spans="1:9">
      <c r="B516" s="485" t="s">
        <v>2715</v>
      </c>
      <c r="D516" s="1308" t="s">
        <v>2223</v>
      </c>
      <c r="E516" s="1308"/>
      <c r="F516" s="1308"/>
      <c r="I516" s="490"/>
    </row>
    <row r="517" spans="1:9">
      <c r="D517" s="1308"/>
      <c r="E517" s="1308"/>
      <c r="F517" s="1308"/>
      <c r="I517" s="490"/>
    </row>
    <row r="518" spans="1:9">
      <c r="D518" s="1308"/>
      <c r="E518" s="1308"/>
      <c r="F518" s="1308"/>
      <c r="I518" s="490"/>
    </row>
    <row r="519" spans="1:9">
      <c r="D519" s="446"/>
      <c r="E519" s="446"/>
      <c r="F519" s="446"/>
      <c r="I519" s="490"/>
    </row>
    <row r="520" spans="1:9" ht="14.25">
      <c r="A520" s="484"/>
      <c r="B520" s="484"/>
      <c r="D520" s="446"/>
      <c r="I520" s="490"/>
    </row>
    <row r="521" spans="1:9">
      <c r="A521" s="1309" t="s">
        <v>1051</v>
      </c>
      <c r="B521" s="1309"/>
      <c r="C521" s="1309"/>
      <c r="D521" s="1309"/>
      <c r="E521" s="1309"/>
      <c r="F521" s="1309"/>
      <c r="G521" s="1309"/>
      <c r="H521" s="1023"/>
      <c r="I521" s="1147"/>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2714</v>
      </c>
      <c r="C527" s="483"/>
      <c r="D527" s="1280" t="s">
        <v>2020</v>
      </c>
      <c r="E527" s="1280"/>
      <c r="F527" s="1280"/>
      <c r="I527" s="490"/>
    </row>
    <row r="528" spans="1:9">
      <c r="A528" s="483"/>
      <c r="B528" s="483"/>
      <c r="C528" s="483"/>
      <c r="D528" s="1280"/>
      <c r="E528" s="1280"/>
      <c r="F528" s="1280"/>
      <c r="I528" s="490"/>
    </row>
    <row r="529" spans="1:9">
      <c r="A529" s="483"/>
      <c r="B529" s="483"/>
      <c r="C529" s="483"/>
      <c r="D529" s="451"/>
      <c r="E529" s="451"/>
      <c r="F529" s="451"/>
      <c r="I529" s="480"/>
    </row>
    <row r="530" spans="1:9" ht="12.75" customHeight="1">
      <c r="A530" s="483"/>
      <c r="B530" s="485" t="s">
        <v>2714</v>
      </c>
      <c r="D530" s="386" t="s">
        <v>1877</v>
      </c>
      <c r="E530" s="385"/>
      <c r="F530" s="385"/>
      <c r="I530" s="490"/>
    </row>
    <row r="531" spans="1:9">
      <c r="A531" s="483"/>
      <c r="B531" s="483"/>
      <c r="C531" s="483"/>
      <c r="D531" s="385"/>
      <c r="E531" s="96" t="s">
        <v>1878</v>
      </c>
      <c r="I531" s="490"/>
    </row>
    <row r="532" spans="1:9">
      <c r="A532" s="483"/>
      <c r="B532" s="483"/>
      <c r="D532" s="1288" t="s">
        <v>2021</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15" customHeight="1">
      <c r="A536" s="483"/>
      <c r="B536" s="485" t="s">
        <v>2714</v>
      </c>
      <c r="C536" s="483"/>
      <c r="D536" s="1308" t="s">
        <v>2638</v>
      </c>
      <c r="E536" s="1308"/>
      <c r="F536" s="1308"/>
      <c r="I536" s="490"/>
    </row>
    <row r="537" spans="1:9" ht="13.15" customHeight="1">
      <c r="A537" s="483"/>
      <c r="B537" s="483"/>
      <c r="C537" s="483"/>
      <c r="D537" s="1308"/>
      <c r="E537" s="1308"/>
      <c r="F537" s="1308"/>
      <c r="I537" s="490"/>
    </row>
    <row r="538" spans="1:9">
      <c r="A538" s="483"/>
      <c r="B538" s="483"/>
      <c r="C538" s="483"/>
      <c r="D538" s="1308"/>
      <c r="E538" s="1308"/>
      <c r="F538" s="1308"/>
      <c r="I538" s="490"/>
    </row>
    <row r="539" spans="1:9" ht="12" customHeight="1">
      <c r="A539" s="446"/>
      <c r="B539" s="446"/>
      <c r="C539" s="487"/>
      <c r="D539" s="446"/>
      <c r="F539" s="448"/>
      <c r="I539" s="490"/>
    </row>
    <row r="540" spans="1:9">
      <c r="A540" s="1309" t="s">
        <v>1052</v>
      </c>
      <c r="B540" s="1309"/>
      <c r="C540" s="1309"/>
      <c r="D540" s="1309"/>
      <c r="E540" s="1309"/>
      <c r="F540" s="1309"/>
      <c r="G540" s="1309"/>
      <c r="H540" s="1023"/>
      <c r="I540" s="1147"/>
    </row>
    <row r="541" spans="1:9">
      <c r="A541" s="446"/>
      <c r="B541" s="446"/>
      <c r="C541" s="487"/>
      <c r="F541" s="448"/>
      <c r="I541" s="490"/>
    </row>
    <row r="542" spans="1:9">
      <c r="B542" s="1314" t="s">
        <v>446</v>
      </c>
      <c r="C542" s="1314"/>
      <c r="D542" s="1314"/>
      <c r="E542" s="1314"/>
      <c r="F542" s="1314"/>
      <c r="I542" s="490"/>
    </row>
    <row r="543" spans="1:9">
      <c r="A543" s="446"/>
      <c r="B543" s="446"/>
      <c r="C543" s="487"/>
      <c r="D543" s="446"/>
      <c r="F543" s="446"/>
      <c r="I543" s="490"/>
    </row>
    <row r="544" spans="1:9">
      <c r="A544" s="1312" t="s">
        <v>1053</v>
      </c>
      <c r="B544" s="1312"/>
      <c r="C544" s="1312"/>
      <c r="D544" s="1312"/>
      <c r="E544" s="1312"/>
      <c r="F544" s="1312"/>
      <c r="G544" s="1312"/>
      <c r="H544" s="1023"/>
      <c r="I544" s="1147"/>
    </row>
    <row r="545" spans="1:9">
      <c r="A545" s="446"/>
      <c r="B545" s="446"/>
      <c r="C545" s="487"/>
      <c r="D545" s="446"/>
      <c r="F545" s="446"/>
      <c r="I545" s="490"/>
    </row>
    <row r="546" spans="1:9">
      <c r="C546" s="487"/>
      <c r="D546" s="1311" t="s">
        <v>683</v>
      </c>
      <c r="E546" s="1311"/>
      <c r="F546" s="1311"/>
      <c r="I546" s="490"/>
    </row>
    <row r="547" spans="1:9">
      <c r="C547" s="487"/>
      <c r="D547" s="1310" t="s">
        <v>1081</v>
      </c>
      <c r="E547" s="1310"/>
      <c r="F547" s="1310"/>
      <c r="I547" s="490"/>
    </row>
    <row r="548" spans="1:9">
      <c r="C548" s="487"/>
      <c r="D548" s="446"/>
      <c r="E548" s="446"/>
      <c r="F548" s="446"/>
      <c r="I548" s="490"/>
    </row>
    <row r="549" spans="1:9" ht="13.7" customHeight="1">
      <c r="A549" s="484"/>
      <c r="B549" s="485" t="s">
        <v>2714</v>
      </c>
      <c r="C549" s="487"/>
      <c r="D549" s="1310" t="s">
        <v>884</v>
      </c>
      <c r="E549" s="1310"/>
      <c r="F549" s="1310"/>
      <c r="I549" s="490"/>
    </row>
    <row r="550" spans="1:9" ht="13.7" customHeight="1">
      <c r="A550" s="487"/>
      <c r="B550" s="487"/>
      <c r="C550" s="487"/>
      <c r="D550" s="446"/>
      <c r="I550" s="490"/>
    </row>
    <row r="551" spans="1:9" ht="14.25">
      <c r="A551" s="484"/>
      <c r="B551" s="485" t="s">
        <v>2714</v>
      </c>
      <c r="C551" s="487"/>
      <c r="D551" s="1308" t="s">
        <v>1082</v>
      </c>
      <c r="E551" s="1308"/>
      <c r="F551" s="1308"/>
      <c r="I551" s="490"/>
    </row>
    <row r="552" spans="1:9">
      <c r="A552" s="487"/>
      <c r="B552" s="487"/>
      <c r="C552" s="487"/>
      <c r="D552" s="1308"/>
      <c r="E552" s="1308"/>
      <c r="F552" s="1308"/>
      <c r="I552" s="490"/>
    </row>
    <row r="553" spans="1:9">
      <c r="A553" s="487"/>
      <c r="B553" s="487"/>
      <c r="C553" s="487"/>
      <c r="D553" s="446"/>
      <c r="E553" s="446"/>
      <c r="F553" s="446"/>
      <c r="I553" s="490"/>
    </row>
    <row r="554" spans="1:9" ht="14.25">
      <c r="A554" s="484"/>
      <c r="B554" s="485" t="s">
        <v>2714</v>
      </c>
      <c r="C554" s="487"/>
      <c r="D554" s="1308" t="s">
        <v>1083</v>
      </c>
      <c r="E554" s="1308"/>
      <c r="F554" s="1308"/>
      <c r="I554" s="490"/>
    </row>
    <row r="555" spans="1:9">
      <c r="A555" s="487"/>
      <c r="B555" s="487"/>
      <c r="C555" s="487"/>
      <c r="D555" s="1308"/>
      <c r="E555" s="1308"/>
      <c r="F555" s="1308"/>
      <c r="I555" s="490"/>
    </row>
    <row r="556" spans="1:9">
      <c r="A556" s="487"/>
      <c r="B556" s="487"/>
      <c r="C556" s="487"/>
      <c r="D556" s="446"/>
      <c r="E556" s="446"/>
      <c r="F556" s="446"/>
      <c r="I556" s="490"/>
    </row>
    <row r="557" spans="1:9" ht="14.25">
      <c r="A557" s="484"/>
      <c r="B557" s="485" t="s">
        <v>2714</v>
      </c>
      <c r="C557" s="487"/>
      <c r="D557" s="1308" t="s">
        <v>1084</v>
      </c>
      <c r="E557" s="1308"/>
      <c r="F557" s="1308"/>
      <c r="I557" s="490"/>
    </row>
    <row r="558" spans="1:9">
      <c r="A558" s="487"/>
      <c r="B558" s="487"/>
      <c r="C558" s="487"/>
      <c r="D558" s="1308"/>
      <c r="E558" s="1308"/>
      <c r="F558" s="1308"/>
      <c r="I558" s="490"/>
    </row>
    <row r="559" spans="1:9">
      <c r="A559" s="487"/>
      <c r="B559" s="487"/>
      <c r="C559" s="487"/>
      <c r="D559" s="446"/>
      <c r="E559" s="446"/>
      <c r="F559" s="446"/>
      <c r="I559" s="490"/>
    </row>
    <row r="560" spans="1:9" ht="14.25">
      <c r="A560" s="484"/>
      <c r="B560" s="485" t="s">
        <v>2714</v>
      </c>
      <c r="C560" s="487"/>
      <c r="D560" s="1308" t="s">
        <v>1085</v>
      </c>
      <c r="E560" s="1308"/>
      <c r="F560" s="1308"/>
      <c r="I560" s="490"/>
    </row>
    <row r="561" spans="1:9">
      <c r="A561" s="487"/>
      <c r="B561" s="487"/>
      <c r="C561" s="487"/>
      <c r="D561" s="1308"/>
      <c r="E561" s="1308"/>
      <c r="F561" s="1308"/>
      <c r="I561" s="490"/>
    </row>
    <row r="562" spans="1:9">
      <c r="A562" s="487"/>
      <c r="B562" s="487"/>
      <c r="C562" s="487"/>
      <c r="D562" s="1308"/>
      <c r="E562" s="1308"/>
      <c r="F562" s="1308"/>
      <c r="I562" s="490"/>
    </row>
    <row r="563" spans="1:9">
      <c r="A563" s="487"/>
      <c r="B563" s="487"/>
      <c r="C563" s="487"/>
      <c r="D563" s="446"/>
      <c r="E563" s="446"/>
      <c r="F563" s="446"/>
      <c r="I563" s="490"/>
    </row>
    <row r="564" spans="1:9" ht="14.25">
      <c r="A564" s="484"/>
      <c r="B564" s="485" t="s">
        <v>2715</v>
      </c>
      <c r="C564" s="487"/>
      <c r="D564" s="1308" t="s">
        <v>2201</v>
      </c>
      <c r="E564" s="1308"/>
      <c r="F564" s="1308"/>
      <c r="I564" s="490"/>
    </row>
    <row r="565" spans="1:9">
      <c r="A565" s="487"/>
      <c r="B565" s="487"/>
      <c r="C565" s="487"/>
      <c r="D565" s="1308"/>
      <c r="E565" s="1308"/>
      <c r="F565" s="1308"/>
      <c r="I565" s="490"/>
    </row>
    <row r="566" spans="1:9">
      <c r="A566" s="487"/>
      <c r="B566" s="487"/>
      <c r="C566" s="487"/>
      <c r="D566" s="446"/>
      <c r="E566" s="446"/>
      <c r="F566" s="446"/>
      <c r="I566" s="490"/>
    </row>
    <row r="567" spans="1:9" ht="14.25">
      <c r="A567" s="484"/>
      <c r="B567" s="485" t="s">
        <v>2714</v>
      </c>
      <c r="C567" s="487"/>
      <c r="D567" s="1308" t="s">
        <v>1086</v>
      </c>
      <c r="E567" s="1308"/>
      <c r="F567" s="1308"/>
      <c r="I567" s="490"/>
    </row>
    <row r="568" spans="1:9">
      <c r="A568" s="487"/>
      <c r="B568" s="487"/>
      <c r="C568" s="487"/>
      <c r="D568" s="1308"/>
      <c r="E568" s="1308"/>
      <c r="F568" s="1308"/>
      <c r="I568" s="490"/>
    </row>
    <row r="569" spans="1:9">
      <c r="A569" s="487"/>
      <c r="B569" s="487"/>
      <c r="C569" s="487"/>
      <c r="D569" s="446"/>
      <c r="E569" s="446"/>
      <c r="F569" s="446"/>
      <c r="I569" s="490"/>
    </row>
    <row r="570" spans="1:9" ht="14.25">
      <c r="A570" s="484"/>
      <c r="B570" s="485" t="s">
        <v>2714</v>
      </c>
      <c r="C570" s="487"/>
      <c r="D570" s="1310" t="s">
        <v>1087</v>
      </c>
      <c r="E570" s="1310"/>
      <c r="F570" s="1310"/>
      <c r="I570" s="490"/>
    </row>
    <row r="571" spans="1:9">
      <c r="A571" s="490"/>
      <c r="B571" s="490"/>
      <c r="C571" s="487"/>
      <c r="D571" s="1310" t="s">
        <v>1880</v>
      </c>
      <c r="E571" s="1310"/>
      <c r="F571" s="1310"/>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2714</v>
      </c>
      <c r="C574" s="487"/>
      <c r="D574" s="1310" t="s">
        <v>1088</v>
      </c>
      <c r="E574" s="1310"/>
      <c r="F574" s="1310"/>
      <c r="I574" s="490"/>
    </row>
    <row r="575" spans="1:9">
      <c r="C575" s="487"/>
      <c r="D575" s="1308" t="s">
        <v>1089</v>
      </c>
      <c r="E575" s="1308"/>
      <c r="F575" s="1308"/>
      <c r="I575" s="490"/>
    </row>
    <row r="576" spans="1:9">
      <c r="A576" s="487"/>
      <c r="B576" s="487"/>
      <c r="C576" s="487"/>
      <c r="D576" s="1308"/>
      <c r="E576" s="1308"/>
      <c r="F576" s="1308"/>
      <c r="I576" s="490"/>
    </row>
    <row r="577" spans="1:9">
      <c r="A577" s="487"/>
      <c r="B577" s="487"/>
      <c r="C577" s="487"/>
      <c r="D577" s="1308"/>
      <c r="E577" s="1308"/>
      <c r="F577" s="1308"/>
      <c r="I577" s="490"/>
    </row>
    <row r="578" spans="1:9">
      <c r="A578" s="487"/>
      <c r="B578" s="487"/>
      <c r="C578" s="487"/>
      <c r="D578" s="446"/>
      <c r="E578" s="446"/>
      <c r="F578" s="446"/>
      <c r="I578" s="490"/>
    </row>
    <row r="579" spans="1:9" ht="14.25">
      <c r="A579" s="484"/>
      <c r="B579" s="485" t="s">
        <v>2714</v>
      </c>
      <c r="C579" s="487"/>
      <c r="D579" s="1308" t="s">
        <v>2022</v>
      </c>
      <c r="E579" s="1308"/>
      <c r="F579" s="1308"/>
      <c r="I579" s="490"/>
    </row>
    <row r="580" spans="1:9" ht="14.25">
      <c r="A580" s="484"/>
      <c r="B580" s="484"/>
      <c r="C580" s="487"/>
      <c r="D580" s="1308"/>
      <c r="E580" s="1308"/>
      <c r="F580" s="1308"/>
      <c r="I580" s="490"/>
    </row>
    <row r="581" spans="1:9" ht="14.25">
      <c r="A581" s="484"/>
      <c r="B581" s="484"/>
      <c r="C581" s="487"/>
      <c r="D581" s="1308"/>
      <c r="E581" s="1308"/>
      <c r="F581" s="1308"/>
      <c r="I581" s="490"/>
    </row>
    <row r="582" spans="1:9" ht="14.25">
      <c r="A582" s="484"/>
      <c r="B582" s="484"/>
      <c r="C582" s="487"/>
      <c r="D582" s="1308"/>
      <c r="E582" s="1308"/>
      <c r="F582" s="1308"/>
      <c r="I582" s="490"/>
    </row>
    <row r="583" spans="1:9" ht="14.25">
      <c r="A583" s="484"/>
      <c r="B583" s="484"/>
      <c r="C583" s="487"/>
      <c r="D583" s="446"/>
      <c r="E583" s="446"/>
      <c r="F583" s="446"/>
      <c r="I583" s="490"/>
    </row>
    <row r="584" spans="1:9">
      <c r="A584" s="1309" t="s">
        <v>1054</v>
      </c>
      <c r="B584" s="1309"/>
      <c r="C584" s="1309"/>
      <c r="D584" s="1309"/>
      <c r="E584" s="1309"/>
      <c r="F584" s="1309"/>
      <c r="G584" s="1309"/>
      <c r="H584" s="1023"/>
      <c r="I584" s="1147"/>
    </row>
    <row r="585" spans="1:9">
      <c r="A585" s="487"/>
      <c r="B585" s="487"/>
      <c r="C585" s="487"/>
      <c r="E585" s="446"/>
      <c r="F585" s="446"/>
      <c r="I585" s="490"/>
    </row>
    <row r="586" spans="1:9" ht="12.75" customHeight="1">
      <c r="C586" s="482"/>
      <c r="D586" s="1328" t="s">
        <v>210</v>
      </c>
      <c r="E586" s="1328"/>
      <c r="F586" s="1328"/>
      <c r="I586" s="490"/>
    </row>
    <row r="587" spans="1:9">
      <c r="A587" s="483"/>
      <c r="B587" s="483"/>
      <c r="C587" s="483"/>
      <c r="D587" s="1324" t="s">
        <v>1067</v>
      </c>
      <c r="E587" s="1324"/>
      <c r="F587" s="1324"/>
      <c r="I587" s="490"/>
    </row>
    <row r="588" spans="1:9">
      <c r="A588" s="402"/>
      <c r="B588" s="402"/>
      <c r="C588" s="483"/>
      <c r="D588" s="499"/>
      <c r="I588" s="490"/>
    </row>
    <row r="589" spans="1:9" hidden="1">
      <c r="A589" s="483"/>
      <c r="B589" s="485" t="s">
        <v>307</v>
      </c>
      <c r="D589" s="1324" t="s">
        <v>888</v>
      </c>
      <c r="E589" s="1324"/>
      <c r="F589" s="1324"/>
      <c r="I589" s="490"/>
    </row>
    <row r="590" spans="1:9" hidden="1">
      <c r="A590" s="490"/>
      <c r="B590" s="490"/>
      <c r="D590" s="476"/>
      <c r="I590" s="490"/>
    </row>
    <row r="591" spans="1:9">
      <c r="A591" s="490"/>
      <c r="B591" s="485" t="s">
        <v>2714</v>
      </c>
      <c r="D591" s="1324" t="s">
        <v>2023</v>
      </c>
      <c r="E591" s="1324"/>
      <c r="F591" s="1324"/>
      <c r="I591" s="490"/>
    </row>
    <row r="592" spans="1:9">
      <c r="A592" s="490"/>
      <c r="B592" s="490"/>
      <c r="D592" s="1324"/>
      <c r="E592" s="1324"/>
      <c r="F592" s="1324"/>
      <c r="I592" s="490"/>
    </row>
    <row r="593" spans="1:9">
      <c r="A593" s="490"/>
      <c r="B593" s="490"/>
      <c r="D593" s="1324"/>
      <c r="E593" s="1324"/>
      <c r="F593" s="1324"/>
      <c r="I593" s="490"/>
    </row>
    <row r="594" spans="1:9">
      <c r="A594" s="490"/>
      <c r="B594" s="490"/>
      <c r="D594" s="1324"/>
      <c r="E594" s="1324"/>
      <c r="F594" s="1324"/>
      <c r="I594" s="490"/>
    </row>
    <row r="595" spans="1:9">
      <c r="A595" s="490"/>
      <c r="B595" s="485" t="s">
        <v>2715</v>
      </c>
      <c r="D595" s="1324" t="s">
        <v>1068</v>
      </c>
      <c r="E595" s="1324"/>
      <c r="F595" s="1324"/>
      <c r="I595" s="490"/>
    </row>
    <row r="596" spans="1:9">
      <c r="A596" s="490"/>
      <c r="B596" s="490"/>
      <c r="D596" s="1324"/>
      <c r="E596" s="1324"/>
      <c r="F596" s="1324"/>
      <c r="I596" s="490"/>
    </row>
    <row r="597" spans="1:9">
      <c r="A597" s="490"/>
      <c r="B597" s="490"/>
      <c r="D597" s="1324"/>
      <c r="E597" s="1324"/>
      <c r="F597" s="1324"/>
      <c r="I597" s="490"/>
    </row>
    <row r="598" spans="1:9">
      <c r="A598" s="490"/>
      <c r="B598" s="490"/>
      <c r="D598" s="1324"/>
      <c r="E598" s="1324"/>
      <c r="F598" s="1324"/>
      <c r="I598" s="490"/>
    </row>
    <row r="599" spans="1:9">
      <c r="A599" s="490"/>
      <c r="B599" s="490"/>
      <c r="D599" s="440"/>
      <c r="E599" s="440"/>
      <c r="F599" s="440"/>
      <c r="I599" s="490"/>
    </row>
    <row r="600" spans="1:9">
      <c r="A600" s="490"/>
      <c r="B600" s="485" t="s">
        <v>2714</v>
      </c>
      <c r="D600" s="1324" t="s">
        <v>2024</v>
      </c>
      <c r="E600" s="1324"/>
      <c r="F600" s="1324"/>
      <c r="I600" s="490"/>
    </row>
    <row r="601" spans="1:9">
      <c r="A601" s="490"/>
      <c r="B601" s="490"/>
      <c r="D601" s="1324"/>
      <c r="E601" s="1324"/>
      <c r="F601" s="1324"/>
      <c r="I601" s="490"/>
    </row>
    <row r="602" spans="1:9">
      <c r="A602" s="490"/>
      <c r="B602" s="490"/>
      <c r="D602" s="499"/>
      <c r="I602" s="490"/>
    </row>
    <row r="603" spans="1:9">
      <c r="A603" s="490"/>
      <c r="B603" s="485" t="s">
        <v>2715</v>
      </c>
      <c r="D603" s="1324" t="s">
        <v>1069</v>
      </c>
      <c r="E603" s="1324"/>
      <c r="F603" s="1324"/>
      <c r="I603" s="490"/>
    </row>
    <row r="604" spans="1:9">
      <c r="A604" s="490"/>
      <c r="B604" s="490"/>
      <c r="D604" s="1324"/>
      <c r="E604" s="1324"/>
      <c r="F604" s="1324"/>
      <c r="I604" s="490"/>
    </row>
    <row r="605" spans="1:9" ht="14.25">
      <c r="A605" s="484"/>
      <c r="B605" s="484"/>
      <c r="D605" s="499"/>
      <c r="I605" s="490"/>
    </row>
    <row r="606" spans="1:9">
      <c r="A606" s="1309" t="s">
        <v>1055</v>
      </c>
      <c r="B606" s="1309"/>
      <c r="C606" s="1309"/>
      <c r="D606" s="1309"/>
      <c r="E606" s="1309"/>
      <c r="F606" s="1309"/>
      <c r="G606" s="1309"/>
      <c r="H606" s="1023"/>
      <c r="I606" s="1147"/>
    </row>
    <row r="607" spans="1:9">
      <c r="I607" s="490"/>
    </row>
    <row r="608" spans="1:9">
      <c r="D608" s="1311" t="s">
        <v>1107</v>
      </c>
      <c r="E608" s="1311"/>
      <c r="F608" s="1311"/>
      <c r="I608" s="490"/>
    </row>
    <row r="609" spans="1:9">
      <c r="D609" s="1290" t="s">
        <v>1108</v>
      </c>
      <c r="E609" s="1290"/>
      <c r="F609" s="1290"/>
      <c r="I609" s="490"/>
    </row>
    <row r="610" spans="1:9">
      <c r="D610" s="444"/>
      <c r="I610" s="490"/>
    </row>
    <row r="611" spans="1:9" ht="14.25" customHeight="1">
      <c r="A611" s="484"/>
      <c r="B611" s="485" t="s">
        <v>2714</v>
      </c>
      <c r="D611" s="1325" t="s">
        <v>1881</v>
      </c>
      <c r="E611" s="1325"/>
      <c r="F611" s="1325"/>
      <c r="I611" s="490"/>
    </row>
    <row r="612" spans="1:9">
      <c r="D612" s="1325"/>
      <c r="E612" s="1325"/>
      <c r="F612" s="1325"/>
      <c r="I612" s="490"/>
    </row>
    <row r="613" spans="1:9">
      <c r="D613" s="385"/>
      <c r="E613" s="1031" t="s">
        <v>1882</v>
      </c>
      <c r="F613" s="385"/>
      <c r="I613" s="490"/>
    </row>
    <row r="614" spans="1:9">
      <c r="I614" s="490"/>
    </row>
    <row r="615" spans="1:9">
      <c r="A615" s="1309" t="s">
        <v>1056</v>
      </c>
      <c r="B615" s="1309"/>
      <c r="C615" s="1309"/>
      <c r="D615" s="1309"/>
      <c r="E615" s="1309"/>
      <c r="F615" s="1309"/>
      <c r="G615" s="1309"/>
      <c r="H615" s="1023"/>
      <c r="I615" s="1147"/>
    </row>
    <row r="616" spans="1:9">
      <c r="A616" s="446"/>
      <c r="B616" s="446"/>
      <c r="I616" s="490"/>
    </row>
    <row r="617" spans="1:9">
      <c r="A617" s="482"/>
      <c r="B617" s="482"/>
      <c r="C617" s="482"/>
      <c r="D617" s="1320" t="s">
        <v>1109</v>
      </c>
      <c r="E617" s="1320"/>
      <c r="F617" s="1320"/>
      <c r="I617" s="490"/>
    </row>
    <row r="618" spans="1:9">
      <c r="A618" s="482"/>
      <c r="B618" s="482"/>
      <c r="C618" s="482"/>
      <c r="D618" s="1320"/>
      <c r="E618" s="1320"/>
      <c r="F618" s="1320"/>
      <c r="I618" s="490"/>
    </row>
    <row r="619" spans="1:9">
      <c r="C619" s="483"/>
      <c r="D619" s="1290" t="s">
        <v>1110</v>
      </c>
      <c r="E619" s="1290"/>
      <c r="F619" s="1290"/>
      <c r="I619" s="490"/>
    </row>
    <row r="620" spans="1:9">
      <c r="C620" s="483"/>
      <c r="D620" s="444"/>
      <c r="E620" s="444"/>
      <c r="F620" s="444"/>
      <c r="I620" s="490"/>
    </row>
    <row r="621" spans="1:9">
      <c r="B621" s="485" t="s">
        <v>307</v>
      </c>
      <c r="C621" s="483"/>
      <c r="D621" s="1289" t="s">
        <v>2605</v>
      </c>
      <c r="E621" s="1289"/>
      <c r="F621" s="1289"/>
      <c r="I621" s="490"/>
    </row>
    <row r="622" spans="1:9">
      <c r="C622" s="483"/>
      <c r="D622" s="444"/>
      <c r="E622" s="444"/>
      <c r="F622" s="444"/>
      <c r="I622" s="490"/>
    </row>
    <row r="623" spans="1:9" ht="12.75" customHeight="1">
      <c r="A623" s="490"/>
      <c r="B623" s="485" t="s">
        <v>2714</v>
      </c>
      <c r="D623" s="1307" t="s">
        <v>1111</v>
      </c>
      <c r="E623" s="1307"/>
      <c r="F623" s="1307"/>
      <c r="I623" s="490"/>
    </row>
    <row r="624" spans="1:9">
      <c r="D624" s="1307"/>
      <c r="E624" s="1307"/>
      <c r="F624" s="1307"/>
      <c r="I624" s="490"/>
    </row>
    <row r="625" spans="1:9">
      <c r="I625" s="490"/>
    </row>
    <row r="626" spans="1:9">
      <c r="B626" s="485" t="s">
        <v>2714</v>
      </c>
      <c r="D626" s="1307" t="s">
        <v>1112</v>
      </c>
      <c r="E626" s="1307"/>
      <c r="F626" s="1307"/>
      <c r="I626" s="490"/>
    </row>
    <row r="627" spans="1:9">
      <c r="C627" s="500"/>
      <c r="D627" s="1307"/>
      <c r="E627" s="1307"/>
      <c r="F627" s="1307"/>
      <c r="I627" s="490"/>
    </row>
    <row r="628" spans="1:9">
      <c r="C628" s="500"/>
      <c r="I628" s="490"/>
    </row>
    <row r="629" spans="1:9">
      <c r="B629" s="485" t="s">
        <v>2714</v>
      </c>
      <c r="C629" s="500"/>
      <c r="D629" s="1307" t="s">
        <v>1113</v>
      </c>
      <c r="E629" s="1307"/>
      <c r="F629" s="1307"/>
      <c r="I629" s="490"/>
    </row>
    <row r="630" spans="1:9">
      <c r="C630" s="500"/>
      <c r="D630" s="1307"/>
      <c r="E630" s="1307"/>
      <c r="F630" s="1307"/>
      <c r="I630" s="500"/>
    </row>
    <row r="631" spans="1:9">
      <c r="C631" s="500"/>
      <c r="I631" s="490"/>
    </row>
    <row r="632" spans="1:9">
      <c r="B632" s="485" t="s">
        <v>307</v>
      </c>
      <c r="C632" s="500"/>
      <c r="D632" s="1289" t="s">
        <v>2550</v>
      </c>
      <c r="E632" s="1289"/>
      <c r="F632" s="1289"/>
      <c r="I632" s="490"/>
    </row>
    <row r="633" spans="1:9">
      <c r="C633" s="500"/>
      <c r="I633" s="490"/>
    </row>
    <row r="634" spans="1:9">
      <c r="A634" s="1309" t="s">
        <v>1057</v>
      </c>
      <c r="B634" s="1309"/>
      <c r="C634" s="1309"/>
      <c r="D634" s="1309"/>
      <c r="E634" s="1309"/>
      <c r="F634" s="1309"/>
      <c r="G634" s="1309"/>
      <c r="H634" s="1023"/>
      <c r="I634" s="1147"/>
    </row>
    <row r="635" spans="1:9">
      <c r="A635" s="482"/>
      <c r="B635" s="482"/>
      <c r="C635" s="482"/>
      <c r="I635" s="490"/>
    </row>
    <row r="636" spans="1:9">
      <c r="C636" s="490"/>
      <c r="D636" s="1311" t="s">
        <v>1114</v>
      </c>
      <c r="E636" s="1311"/>
      <c r="F636" s="1311"/>
      <c r="I636" s="490"/>
    </row>
    <row r="637" spans="1:9">
      <c r="A637" s="490"/>
      <c r="B637" s="490"/>
      <c r="D637" s="404"/>
      <c r="I637" s="490"/>
    </row>
    <row r="638" spans="1:9" ht="14.25" customHeight="1">
      <c r="A638" s="484"/>
      <c r="B638" s="485" t="s">
        <v>2714</v>
      </c>
      <c r="D638" s="1325" t="s">
        <v>2025</v>
      </c>
      <c r="E638" s="1325"/>
      <c r="F638" s="1325"/>
      <c r="I638" s="490"/>
    </row>
    <row r="639" spans="1:9">
      <c r="D639" s="1325"/>
      <c r="E639" s="1325"/>
      <c r="F639" s="1325"/>
      <c r="I639" s="490"/>
    </row>
    <row r="640" spans="1:9">
      <c r="D640" s="385"/>
      <c r="E640" s="1031" t="s">
        <v>1884</v>
      </c>
      <c r="F640" s="385"/>
      <c r="I640" s="490"/>
    </row>
    <row r="641" spans="1:9">
      <c r="D641" s="1308" t="s">
        <v>1883</v>
      </c>
      <c r="E641" s="1308"/>
      <c r="F641" s="1308"/>
      <c r="I641" s="490"/>
    </row>
    <row r="642" spans="1:9">
      <c r="D642" s="1308"/>
      <c r="E642" s="1308"/>
      <c r="F642" s="1308"/>
      <c r="I642" s="490"/>
    </row>
    <row r="643" spans="1:9">
      <c r="D643" s="1308"/>
      <c r="E643" s="1308"/>
      <c r="F643" s="1308"/>
      <c r="I643" s="490"/>
    </row>
    <row r="644" spans="1:9">
      <c r="D644" s="445"/>
      <c r="E644" s="445"/>
      <c r="F644" s="445"/>
      <c r="I644" s="490"/>
    </row>
    <row r="645" spans="1:9" ht="14.25">
      <c r="A645" s="484"/>
      <c r="B645" s="485" t="s">
        <v>2715</v>
      </c>
      <c r="D645" s="1308" t="s">
        <v>1115</v>
      </c>
      <c r="E645" s="1308"/>
      <c r="F645" s="1308"/>
      <c r="I645" s="490"/>
    </row>
    <row r="646" spans="1:9">
      <c r="A646" s="487"/>
      <c r="B646" s="487"/>
      <c r="C646" s="487"/>
      <c r="D646" s="1308"/>
      <c r="E646" s="1308"/>
      <c r="F646" s="1308"/>
      <c r="I646" s="490"/>
    </row>
    <row r="647" spans="1:9">
      <c r="A647" s="487"/>
      <c r="B647" s="487"/>
      <c r="C647" s="487"/>
      <c r="D647" s="446"/>
      <c r="E647" s="446"/>
      <c r="F647" s="446"/>
      <c r="I647" s="490"/>
    </row>
    <row r="648" spans="1:9" ht="14.25">
      <c r="A648" s="484"/>
      <c r="B648" s="485" t="s">
        <v>2715</v>
      </c>
      <c r="C648" s="487"/>
      <c r="D648" s="1308" t="s">
        <v>1225</v>
      </c>
      <c r="E648" s="1308"/>
      <c r="F648" s="1308"/>
      <c r="I648" s="490"/>
    </row>
    <row r="649" spans="1:9" ht="14.25">
      <c r="A649" s="484"/>
      <c r="B649" s="484"/>
      <c r="C649" s="487"/>
      <c r="D649" s="1308"/>
      <c r="E649" s="1308"/>
      <c r="F649" s="1308"/>
      <c r="I649" s="490"/>
    </row>
    <row r="650" spans="1:9" ht="14.25">
      <c r="A650" s="484"/>
      <c r="B650" s="484"/>
      <c r="C650" s="487"/>
      <c r="D650" s="1308"/>
      <c r="E650" s="1308"/>
      <c r="F650" s="1308"/>
      <c r="I650" s="490"/>
    </row>
    <row r="651" spans="1:9">
      <c r="A651" s="487"/>
      <c r="B651" s="485" t="s">
        <v>2715</v>
      </c>
      <c r="C651" s="487"/>
      <c r="D651" s="1310" t="s">
        <v>1116</v>
      </c>
      <c r="E651" s="1310"/>
      <c r="F651" s="1310"/>
      <c r="I651" s="490"/>
    </row>
    <row r="652" spans="1:9">
      <c r="A652" s="487"/>
      <c r="B652" s="487"/>
      <c r="C652" s="487"/>
      <c r="D652" s="446"/>
      <c r="E652" s="446"/>
      <c r="F652" s="446"/>
      <c r="I652" s="490"/>
    </row>
    <row r="653" spans="1:9">
      <c r="A653" s="1309" t="s">
        <v>1058</v>
      </c>
      <c r="B653" s="1309"/>
      <c r="C653" s="1309"/>
      <c r="D653" s="1309"/>
      <c r="E653" s="1309"/>
      <c r="F653" s="1309"/>
      <c r="G653" s="1309"/>
      <c r="H653" s="1023"/>
      <c r="I653" s="1147"/>
    </row>
    <row r="654" spans="1:9">
      <c r="A654" s="446"/>
      <c r="B654" s="446"/>
      <c r="C654" s="487"/>
      <c r="D654" s="446"/>
      <c r="E654" s="446"/>
      <c r="F654" s="446"/>
      <c r="I654" s="490"/>
    </row>
    <row r="655" spans="1:9">
      <c r="C655" s="482"/>
      <c r="D655" s="1311" t="s">
        <v>1146</v>
      </c>
      <c r="E655" s="1311"/>
      <c r="F655" s="1311"/>
      <c r="I655" s="490"/>
    </row>
    <row r="656" spans="1:9">
      <c r="A656" s="483"/>
      <c r="B656" s="483"/>
      <c r="C656" s="483"/>
      <c r="D656" s="1310" t="s">
        <v>1147</v>
      </c>
      <c r="E656" s="1310"/>
      <c r="F656" s="1310"/>
      <c r="I656" s="490"/>
    </row>
    <row r="657" spans="1:9">
      <c r="A657" s="483"/>
      <c r="B657" s="483"/>
      <c r="C657" s="483"/>
      <c r="D657" s="446"/>
      <c r="E657" s="446"/>
      <c r="F657" s="446"/>
      <c r="I657" s="490"/>
    </row>
    <row r="658" spans="1:9" ht="12.75" customHeight="1">
      <c r="B658" s="485" t="s">
        <v>2715</v>
      </c>
      <c r="C658" s="487"/>
      <c r="D658" s="1308" t="s">
        <v>1281</v>
      </c>
      <c r="E658" s="1308"/>
      <c r="F658" s="1308"/>
      <c r="I658" s="490"/>
    </row>
    <row r="659" spans="1:9">
      <c r="D659" s="1308"/>
      <c r="E659" s="1308"/>
      <c r="F659" s="1308"/>
      <c r="I659" s="490"/>
    </row>
    <row r="660" spans="1:9">
      <c r="D660" s="1308"/>
      <c r="E660" s="1308"/>
      <c r="F660" s="1308"/>
      <c r="I660" s="490"/>
    </row>
    <row r="661" spans="1:9">
      <c r="D661" s="1308"/>
      <c r="E661" s="1308"/>
      <c r="F661" s="1308"/>
      <c r="I661" s="490"/>
    </row>
    <row r="662" spans="1:9" ht="14.45" customHeight="1">
      <c r="A662" s="484"/>
      <c r="B662" s="484"/>
      <c r="C662" s="487"/>
      <c r="D662" s="385"/>
      <c r="E662" s="385"/>
      <c r="F662" s="385"/>
      <c r="I662" s="490"/>
    </row>
    <row r="663" spans="1:9" ht="12.75" customHeight="1">
      <c r="A663" s="483"/>
      <c r="B663" s="485" t="s">
        <v>2715</v>
      </c>
      <c r="C663" s="487"/>
      <c r="D663" s="1308" t="s">
        <v>1283</v>
      </c>
      <c r="E663" s="1308"/>
      <c r="F663" s="1308"/>
      <c r="I663" s="490"/>
    </row>
    <row r="664" spans="1:9" ht="14.25">
      <c r="A664" s="483"/>
      <c r="B664" s="484"/>
      <c r="C664" s="487"/>
      <c r="D664" s="1308"/>
      <c r="E664" s="1308"/>
      <c r="F664" s="1308"/>
      <c r="I664" s="490"/>
    </row>
    <row r="665" spans="1:9" ht="14.25">
      <c r="A665" s="483"/>
      <c r="B665" s="484"/>
      <c r="C665" s="487"/>
      <c r="D665" s="1308"/>
      <c r="E665" s="1308"/>
      <c r="F665" s="1308"/>
      <c r="I665" s="490"/>
    </row>
    <row r="666" spans="1:9" ht="14.25">
      <c r="A666" s="483"/>
      <c r="B666" s="484"/>
      <c r="C666" s="487"/>
      <c r="D666" s="1308"/>
      <c r="E666" s="1308"/>
      <c r="F666" s="1308"/>
      <c r="I666" s="490"/>
    </row>
    <row r="667" spans="1:9" ht="14.25">
      <c r="A667" s="483"/>
      <c r="B667" s="484"/>
      <c r="C667" s="487"/>
      <c r="D667" s="1308"/>
      <c r="E667" s="1308"/>
      <c r="F667" s="1308"/>
      <c r="I667" s="490"/>
    </row>
    <row r="668" spans="1:9" ht="14.25" customHeight="1">
      <c r="A668" s="483"/>
      <c r="B668" s="484"/>
      <c r="C668" s="487"/>
      <c r="F668" s="386"/>
      <c r="I668" s="490"/>
    </row>
    <row r="669" spans="1:9" ht="12.75" customHeight="1">
      <c r="A669" s="483"/>
      <c r="B669" s="485" t="s">
        <v>2715</v>
      </c>
      <c r="C669" s="487"/>
      <c r="D669" s="1308" t="s">
        <v>1282</v>
      </c>
      <c r="E669" s="1308"/>
      <c r="F669" s="1308"/>
      <c r="I669" s="490"/>
    </row>
    <row r="670" spans="1:9" ht="14.25">
      <c r="A670" s="483"/>
      <c r="B670" s="484"/>
      <c r="C670" s="487"/>
      <c r="D670" s="1308"/>
      <c r="E670" s="1308"/>
      <c r="F670" s="1308"/>
      <c r="I670" s="490"/>
    </row>
    <row r="671" spans="1:9" ht="14.25">
      <c r="A671" s="484"/>
      <c r="B671" s="484"/>
      <c r="C671" s="487"/>
      <c r="D671" s="1308"/>
      <c r="E671" s="1308"/>
      <c r="F671" s="1308"/>
      <c r="I671" s="490"/>
    </row>
    <row r="672" spans="1:9" ht="14.25">
      <c r="A672" s="484"/>
      <c r="B672" s="484"/>
      <c r="C672" s="487"/>
      <c r="D672" s="1308"/>
      <c r="E672" s="1308"/>
      <c r="F672" s="1308"/>
      <c r="I672" s="490"/>
    </row>
    <row r="673" spans="1:11" ht="14.25">
      <c r="A673" s="484"/>
      <c r="B673" s="484"/>
      <c r="C673" s="487"/>
      <c r="D673" s="445"/>
      <c r="E673" s="445"/>
      <c r="F673" s="445"/>
      <c r="I673" s="490"/>
    </row>
    <row r="674" spans="1:11" ht="12.75" customHeight="1">
      <c r="A674" s="483"/>
      <c r="B674" s="485" t="s">
        <v>2715</v>
      </c>
      <c r="C674" s="487"/>
      <c r="D674" s="1308" t="s">
        <v>2026</v>
      </c>
      <c r="E674" s="1308"/>
      <c r="F674" s="1308"/>
      <c r="I674" s="490"/>
    </row>
    <row r="675" spans="1:11" ht="12.75" customHeight="1">
      <c r="A675" s="483"/>
      <c r="B675" s="484"/>
      <c r="C675" s="487"/>
      <c r="D675" s="1308"/>
      <c r="E675" s="1308"/>
      <c r="F675" s="1308"/>
      <c r="I675" s="490"/>
    </row>
    <row r="676" spans="1:11" ht="12.75" customHeight="1">
      <c r="A676" s="483"/>
      <c r="B676" s="484"/>
      <c r="C676" s="487"/>
      <c r="D676" s="1308"/>
      <c r="E676" s="1308"/>
      <c r="F676" s="1308"/>
      <c r="I676" s="490"/>
    </row>
    <row r="677" spans="1:11" ht="12.75" customHeight="1">
      <c r="A677" s="483"/>
      <c r="B677" s="484"/>
      <c r="C677" s="487"/>
      <c r="D677" s="1308"/>
      <c r="E677" s="1308"/>
      <c r="F677" s="1308"/>
      <c r="I677" s="490"/>
    </row>
    <row r="678" spans="1:11" ht="12.75" customHeight="1">
      <c r="A678" s="483"/>
      <c r="B678" s="484"/>
      <c r="C678" s="487"/>
      <c r="D678" s="1308"/>
      <c r="E678" s="1308"/>
      <c r="F678" s="1308"/>
      <c r="I678" s="490"/>
    </row>
    <row r="679" spans="1:11" ht="12.75" customHeight="1">
      <c r="A679" s="483"/>
      <c r="B679" s="484"/>
      <c r="C679" s="487"/>
      <c r="D679" s="1308"/>
      <c r="E679" s="1308"/>
      <c r="F679" s="1308"/>
      <c r="I679" s="490"/>
    </row>
    <row r="680" spans="1:11" ht="12.75" customHeight="1">
      <c r="A680" s="483"/>
      <c r="B680" s="484"/>
      <c r="C680" s="487"/>
      <c r="D680" s="1308"/>
      <c r="E680" s="1308"/>
      <c r="F680" s="1308"/>
      <c r="I680" s="490"/>
    </row>
    <row r="681" spans="1:11" ht="12.75" customHeight="1">
      <c r="A681" s="483"/>
      <c r="B681" s="484"/>
      <c r="C681" s="487"/>
      <c r="D681" s="1308"/>
      <c r="E681" s="1308"/>
      <c r="F681" s="1308"/>
      <c r="I681" s="490"/>
    </row>
    <row r="682" spans="1:11" ht="12.75" customHeight="1">
      <c r="A682" s="483"/>
      <c r="B682" s="484"/>
      <c r="C682" s="487"/>
      <c r="D682" s="1308"/>
      <c r="E682" s="1308"/>
      <c r="F682" s="1308"/>
      <c r="I682" s="490"/>
    </row>
    <row r="683" spans="1:11">
      <c r="A683" s="487"/>
      <c r="B683" s="487"/>
      <c r="C683" s="487"/>
      <c r="D683" s="446"/>
      <c r="E683" s="446"/>
      <c r="F683" s="446"/>
      <c r="I683" s="490"/>
    </row>
    <row r="684" spans="1:11">
      <c r="A684" s="1309" t="s">
        <v>1059</v>
      </c>
      <c r="B684" s="1309"/>
      <c r="C684" s="1309"/>
      <c r="D684" s="1309"/>
      <c r="E684" s="1309"/>
      <c r="F684" s="1309"/>
      <c r="G684" s="1309"/>
      <c r="H684" s="1025"/>
      <c r="I684" s="1151"/>
      <c r="J684" s="501"/>
      <c r="K684" s="501"/>
    </row>
    <row r="685" spans="1:11">
      <c r="A685" s="448"/>
      <c r="B685" s="448"/>
      <c r="C685" s="448"/>
      <c r="D685" s="448"/>
      <c r="E685" s="448"/>
      <c r="F685" s="448"/>
      <c r="G685" s="448"/>
      <c r="H685" s="501"/>
      <c r="I685" s="483"/>
      <c r="J685" s="501"/>
      <c r="K685" s="501"/>
    </row>
    <row r="686" spans="1:11">
      <c r="C686" s="482"/>
      <c r="D686" s="1311" t="s">
        <v>99</v>
      </c>
      <c r="E686" s="1311"/>
      <c r="F686" s="1311"/>
      <c r="H686" s="501"/>
      <c r="I686" s="483"/>
      <c r="J686" s="501"/>
      <c r="K686" s="501"/>
    </row>
    <row r="687" spans="1:11">
      <c r="A687" s="482"/>
      <c r="B687" s="482"/>
      <c r="C687" s="482"/>
      <c r="D687" s="1311" t="s">
        <v>123</v>
      </c>
      <c r="E687" s="1311"/>
      <c r="F687" s="1311"/>
      <c r="H687" s="501"/>
      <c r="I687" s="483"/>
      <c r="J687" s="501"/>
      <c r="K687" s="501"/>
    </row>
    <row r="688" spans="1:11">
      <c r="A688" s="483"/>
      <c r="B688" s="483"/>
      <c r="C688" s="483"/>
      <c r="D688" s="1310" t="s">
        <v>1076</v>
      </c>
      <c r="E688" s="1310"/>
      <c r="F688" s="1310"/>
      <c r="H688" s="501"/>
      <c r="I688" s="483"/>
      <c r="J688" s="501"/>
      <c r="K688" s="501"/>
    </row>
    <row r="689" spans="1:11">
      <c r="A689" s="483"/>
      <c r="B689" s="483"/>
      <c r="C689" s="483"/>
      <c r="H689" s="501"/>
      <c r="I689" s="483"/>
      <c r="J689" s="501"/>
      <c r="K689" s="501"/>
    </row>
    <row r="690" spans="1:11" ht="14.25">
      <c r="A690" s="484"/>
      <c r="B690" s="485" t="s">
        <v>2715</v>
      </c>
      <c r="C690" s="483"/>
      <c r="D690" s="1310" t="s">
        <v>885</v>
      </c>
      <c r="E690" s="1310"/>
      <c r="F690" s="1310"/>
      <c r="H690" s="501"/>
      <c r="I690" s="483"/>
      <c r="J690" s="501"/>
      <c r="K690" s="501"/>
    </row>
    <row r="691" spans="1:11">
      <c r="A691" s="483"/>
      <c r="B691" s="483"/>
      <c r="C691" s="483"/>
      <c r="D691" s="1310" t="s">
        <v>894</v>
      </c>
      <c r="E691" s="1310"/>
      <c r="F691" s="1310"/>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2715</v>
      </c>
      <c r="C695" s="483"/>
      <c r="D695" s="1308" t="s">
        <v>2027</v>
      </c>
      <c r="E695" s="1308"/>
      <c r="F695" s="1308"/>
      <c r="H695" s="501"/>
      <c r="I695" s="483"/>
      <c r="J695" s="501"/>
      <c r="K695" s="501"/>
    </row>
    <row r="696" spans="1:11">
      <c r="A696" s="490"/>
      <c r="B696" s="490"/>
      <c r="C696" s="483"/>
      <c r="D696" s="1308"/>
      <c r="E696" s="1308"/>
      <c r="F696" s="1308"/>
      <c r="H696" s="501"/>
      <c r="I696" s="483"/>
      <c r="J696" s="501"/>
      <c r="K696" s="501"/>
    </row>
    <row r="697" spans="1:11">
      <c r="A697" s="483"/>
      <c r="B697" s="483"/>
      <c r="C697" s="483"/>
      <c r="D697" s="1308"/>
      <c r="E697" s="1308"/>
      <c r="F697" s="1308"/>
      <c r="H697" s="501"/>
      <c r="I697" s="483"/>
      <c r="J697" s="501"/>
      <c r="K697" s="501"/>
    </row>
    <row r="698" spans="1:11">
      <c r="A698" s="483"/>
      <c r="B698" s="483"/>
      <c r="C698" s="483"/>
      <c r="H698" s="501"/>
      <c r="J698" s="501"/>
      <c r="K698" s="501"/>
    </row>
    <row r="699" spans="1:11" ht="14.25">
      <c r="A699" s="484"/>
      <c r="B699" s="485" t="s">
        <v>2715</v>
      </c>
      <c r="C699" s="483"/>
      <c r="D699" s="1310" t="s">
        <v>917</v>
      </c>
      <c r="E699" s="1310"/>
      <c r="F699" s="1310"/>
      <c r="H699" s="501"/>
      <c r="I699" s="483"/>
      <c r="J699" s="501"/>
      <c r="K699" s="501"/>
    </row>
    <row r="700" spans="1:11" ht="14.25">
      <c r="A700" s="484"/>
      <c r="B700" s="484"/>
      <c r="C700" s="483"/>
      <c r="D700" s="1310" t="s">
        <v>894</v>
      </c>
      <c r="E700" s="1310"/>
      <c r="F700" s="1310"/>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2715</v>
      </c>
      <c r="C703" s="483"/>
      <c r="D703" s="1310" t="s">
        <v>2401</v>
      </c>
      <c r="E703" s="1310"/>
      <c r="F703" s="1310"/>
      <c r="H703" s="501"/>
      <c r="I703" s="483"/>
      <c r="J703" s="501"/>
      <c r="K703" s="501"/>
    </row>
    <row r="704" spans="1:11" ht="14.25">
      <c r="A704" s="484"/>
      <c r="B704" s="484"/>
      <c r="C704" s="483"/>
      <c r="D704" s="1310" t="s">
        <v>894</v>
      </c>
      <c r="E704" s="1310"/>
      <c r="F704" s="1310"/>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2715</v>
      </c>
      <c r="C707" s="483"/>
      <c r="D707" s="1308" t="s">
        <v>2198</v>
      </c>
      <c r="E707" s="1308"/>
      <c r="F707" s="1308"/>
      <c r="H707" s="501"/>
      <c r="I707" s="483"/>
      <c r="J707" s="501"/>
      <c r="K707" s="501"/>
    </row>
    <row r="708" spans="1:11">
      <c r="A708" s="483"/>
      <c r="B708" s="483"/>
      <c r="C708" s="483"/>
      <c r="D708" s="1308"/>
      <c r="E708" s="1308"/>
      <c r="F708" s="1308"/>
      <c r="H708" s="501"/>
      <c r="I708" s="483"/>
      <c r="J708" s="501"/>
      <c r="K708" s="501"/>
    </row>
    <row r="709" spans="1:11">
      <c r="A709" s="483"/>
      <c r="B709" s="483"/>
      <c r="C709" s="483"/>
      <c r="D709" s="1308"/>
      <c r="E709" s="1308"/>
      <c r="F709" s="1308"/>
      <c r="H709" s="501"/>
      <c r="I709" s="483"/>
      <c r="J709" s="501"/>
      <c r="K709" s="501"/>
    </row>
    <row r="710" spans="1:11">
      <c r="A710" s="483"/>
      <c r="B710" s="483"/>
      <c r="C710" s="483"/>
      <c r="D710" s="1308"/>
      <c r="E710" s="1308"/>
      <c r="F710" s="1308"/>
      <c r="H710" s="501"/>
      <c r="I710" s="483"/>
      <c r="J710" s="501"/>
      <c r="K710" s="501"/>
    </row>
    <row r="711" spans="1:11">
      <c r="A711" s="483"/>
      <c r="B711" s="483"/>
      <c r="C711" s="483"/>
      <c r="D711" s="1308"/>
      <c r="E711" s="1308"/>
      <c r="F711" s="1308"/>
      <c r="H711" s="501"/>
      <c r="I711" s="483"/>
      <c r="J711" s="501"/>
      <c r="K711" s="501"/>
    </row>
    <row r="712" spans="1:11">
      <c r="A712" s="483"/>
      <c r="B712" s="483"/>
      <c r="C712" s="483"/>
      <c r="D712" s="1308"/>
      <c r="E712" s="1308"/>
      <c r="F712" s="1308"/>
      <c r="H712" s="501"/>
      <c r="I712" s="483"/>
      <c r="J712" s="501"/>
      <c r="K712" s="501"/>
    </row>
    <row r="713" spans="1:11">
      <c r="A713" s="483"/>
      <c r="B713" s="483"/>
      <c r="C713" s="483"/>
      <c r="D713" s="445"/>
      <c r="E713" s="445"/>
      <c r="F713" s="445"/>
      <c r="H713" s="501"/>
      <c r="I713" s="483"/>
      <c r="J713" s="501"/>
      <c r="K713" s="501"/>
    </row>
    <row r="714" spans="1:11">
      <c r="A714" s="483"/>
      <c r="B714" s="485" t="s">
        <v>2715</v>
      </c>
      <c r="C714" s="483"/>
      <c r="D714" s="1308" t="s">
        <v>1201</v>
      </c>
      <c r="E714" s="1308"/>
      <c r="F714" s="1308"/>
      <c r="H714" s="501"/>
      <c r="I714" s="483"/>
      <c r="J714" s="501"/>
      <c r="K714" s="501"/>
    </row>
    <row r="715" spans="1:11">
      <c r="A715" s="483"/>
      <c r="B715" s="483"/>
      <c r="C715" s="483"/>
      <c r="D715" s="1308"/>
      <c r="E715" s="1308"/>
      <c r="F715" s="1308"/>
      <c r="H715" s="501"/>
      <c r="I715" s="483"/>
      <c r="J715" s="501"/>
      <c r="K715" s="501"/>
    </row>
    <row r="716" spans="1:11">
      <c r="A716" s="483"/>
      <c r="B716" s="483"/>
      <c r="C716" s="483"/>
      <c r="D716" s="445"/>
      <c r="E716" s="445"/>
      <c r="F716" s="445"/>
      <c r="H716" s="501"/>
      <c r="I716" s="483"/>
      <c r="J716" s="501"/>
      <c r="K716" s="501"/>
    </row>
    <row r="717" spans="1:11" ht="14.25">
      <c r="A717" s="484"/>
      <c r="B717" s="485" t="s">
        <v>2715</v>
      </c>
      <c r="C717" s="483"/>
      <c r="D717" s="1308" t="s">
        <v>1077</v>
      </c>
      <c r="E717" s="1308"/>
      <c r="F717" s="1308"/>
      <c r="H717" s="501"/>
      <c r="I717" s="483"/>
      <c r="J717" s="501"/>
      <c r="K717" s="501"/>
    </row>
    <row r="718" spans="1:11">
      <c r="A718" s="483"/>
      <c r="B718" s="483"/>
      <c r="C718" s="483"/>
      <c r="D718" s="1308"/>
      <c r="E718" s="1308"/>
      <c r="F718" s="1308"/>
      <c r="H718" s="501"/>
      <c r="I718" s="483"/>
      <c r="J718" s="501"/>
      <c r="K718" s="501"/>
    </row>
    <row r="719" spans="1:11">
      <c r="A719" s="483"/>
      <c r="B719" s="483"/>
      <c r="C719" s="483"/>
      <c r="D719" s="1308"/>
      <c r="E719" s="1308"/>
      <c r="F719" s="1308"/>
      <c r="H719" s="501"/>
      <c r="I719" s="483"/>
      <c r="J719" s="501"/>
      <c r="K719" s="501"/>
    </row>
    <row r="720" spans="1:11" ht="15" customHeight="1">
      <c r="A720" s="483"/>
      <c r="B720" s="483"/>
      <c r="C720" s="483"/>
      <c r="D720" s="1308"/>
      <c r="E720" s="1308"/>
      <c r="F720" s="1308"/>
      <c r="H720" s="501"/>
      <c r="I720" s="483"/>
      <c r="J720" s="501"/>
      <c r="K720" s="501"/>
    </row>
    <row r="721" spans="1:11" ht="15" customHeight="1">
      <c r="A721" s="483"/>
      <c r="B721" s="483"/>
      <c r="C721" s="483"/>
      <c r="D721" s="1308"/>
      <c r="E721" s="1308"/>
      <c r="F721" s="1308"/>
      <c r="H721" s="501"/>
      <c r="I721" s="483"/>
      <c r="J721" s="501"/>
      <c r="K721" s="501"/>
    </row>
    <row r="722" spans="1:11">
      <c r="A722" s="483"/>
      <c r="B722" s="483"/>
      <c r="C722" s="483"/>
      <c r="D722" s="1308"/>
      <c r="E722" s="1308"/>
      <c r="F722" s="1308"/>
      <c r="H722" s="501"/>
      <c r="I722" s="483"/>
      <c r="J722" s="501"/>
      <c r="K722" s="501"/>
    </row>
    <row r="723" spans="1:11">
      <c r="A723" s="483"/>
      <c r="B723" s="483"/>
      <c r="C723" s="483"/>
      <c r="D723" s="1308"/>
      <c r="E723" s="1308"/>
      <c r="F723" s="1308"/>
      <c r="H723" s="501"/>
      <c r="I723" s="483"/>
      <c r="J723" s="501"/>
      <c r="K723" s="501"/>
    </row>
    <row r="724" spans="1:11">
      <c r="A724" s="483"/>
      <c r="B724" s="483"/>
      <c r="C724" s="483"/>
      <c r="D724" s="1308"/>
      <c r="E724" s="1308"/>
      <c r="F724" s="1308"/>
      <c r="H724" s="501"/>
      <c r="I724" s="483"/>
      <c r="J724" s="501"/>
      <c r="K724" s="501"/>
    </row>
    <row r="725" spans="1:11" ht="15" customHeight="1">
      <c r="A725" s="483"/>
      <c r="B725" s="483"/>
      <c r="C725" s="483"/>
      <c r="D725" s="1308"/>
      <c r="E725" s="1308"/>
      <c r="F725" s="1308"/>
      <c r="H725" s="501"/>
      <c r="I725" s="483"/>
      <c r="J725" s="501"/>
      <c r="K725" s="501"/>
    </row>
    <row r="726" spans="1:11">
      <c r="A726" s="483"/>
      <c r="B726" s="483"/>
      <c r="C726" s="483"/>
      <c r="D726" s="1308"/>
      <c r="E726" s="1308"/>
      <c r="F726" s="1308"/>
      <c r="H726" s="501"/>
      <c r="I726" s="483"/>
      <c r="J726" s="501"/>
      <c r="K726" s="501"/>
    </row>
    <row r="727" spans="1:11">
      <c r="A727" s="483"/>
      <c r="B727" s="483"/>
      <c r="C727" s="483"/>
      <c r="D727" s="1308"/>
      <c r="E727" s="1308"/>
      <c r="F727" s="1308"/>
      <c r="H727" s="501"/>
      <c r="I727" s="483"/>
      <c r="J727" s="501"/>
      <c r="K727" s="501"/>
    </row>
    <row r="728" spans="1:11">
      <c r="A728" s="483"/>
      <c r="B728" s="483"/>
      <c r="C728" s="483"/>
      <c r="D728" s="1308"/>
      <c r="E728" s="1308"/>
      <c r="F728" s="1308"/>
      <c r="H728" s="501"/>
      <c r="I728" s="483"/>
      <c r="J728" s="501"/>
      <c r="K728" s="501"/>
    </row>
    <row r="729" spans="1:11">
      <c r="A729" s="483"/>
      <c r="B729" s="483"/>
      <c r="C729" s="483"/>
      <c r="D729" s="1308"/>
      <c r="E729" s="1308"/>
      <c r="F729" s="1308"/>
      <c r="H729" s="501"/>
      <c r="I729" s="483"/>
      <c r="J729" s="501"/>
      <c r="K729" s="501"/>
    </row>
    <row r="730" spans="1:11">
      <c r="A730" s="483"/>
      <c r="B730" s="485" t="s">
        <v>2715</v>
      </c>
      <c r="C730" s="483"/>
      <c r="D730" s="1308" t="s">
        <v>2394</v>
      </c>
      <c r="E730" s="1308"/>
      <c r="F730" s="1308"/>
      <c r="H730" s="501"/>
      <c r="I730" s="483"/>
      <c r="J730" s="501"/>
      <c r="K730" s="501"/>
    </row>
    <row r="731" spans="1:11">
      <c r="A731" s="483"/>
      <c r="B731" s="483"/>
      <c r="C731" s="483"/>
      <c r="D731" s="1308"/>
      <c r="E731" s="1308"/>
      <c r="F731" s="1308"/>
      <c r="H731" s="501"/>
      <c r="I731" s="483"/>
      <c r="J731" s="501"/>
      <c r="K731" s="501"/>
    </row>
    <row r="732" spans="1:11">
      <c r="A732" s="483"/>
      <c r="B732" s="483"/>
      <c r="C732" s="483"/>
      <c r="D732" s="1308"/>
      <c r="E732" s="1308"/>
      <c r="F732" s="1308"/>
      <c r="H732" s="501"/>
      <c r="I732" s="483"/>
      <c r="J732" s="501"/>
      <c r="K732" s="501"/>
    </row>
    <row r="733" spans="1:11">
      <c r="A733" s="483"/>
      <c r="B733" s="483"/>
      <c r="C733" s="483"/>
      <c r="D733" s="445"/>
      <c r="E733" s="445"/>
      <c r="F733" s="445"/>
      <c r="H733" s="501"/>
      <c r="I733" s="483"/>
      <c r="J733" s="501"/>
      <c r="K733" s="501"/>
    </row>
    <row r="734" spans="1:11">
      <c r="A734" s="483"/>
      <c r="B734" s="485" t="s">
        <v>2715</v>
      </c>
      <c r="C734" s="483"/>
      <c r="D734" s="1308" t="s">
        <v>2393</v>
      </c>
      <c r="E734" s="1308"/>
      <c r="F734" s="1308"/>
      <c r="H734" s="501"/>
      <c r="I734" s="483"/>
      <c r="J734" s="501"/>
      <c r="K734" s="501"/>
    </row>
    <row r="735" spans="1:11">
      <c r="A735" s="483"/>
      <c r="B735" s="483"/>
      <c r="C735" s="483"/>
      <c r="D735" s="1308"/>
      <c r="E735" s="1308"/>
      <c r="F735" s="1308"/>
      <c r="H735" s="501"/>
      <c r="I735" s="483"/>
      <c r="J735" s="501"/>
      <c r="K735" s="501"/>
    </row>
    <row r="736" spans="1:11">
      <c r="A736" s="483"/>
      <c r="B736" s="483"/>
      <c r="C736" s="483"/>
      <c r="D736" s="1308"/>
      <c r="E736" s="1308"/>
      <c r="F736" s="1308"/>
      <c r="H736" s="501"/>
      <c r="I736" s="483"/>
      <c r="J736" s="501"/>
      <c r="K736" s="501"/>
    </row>
    <row r="737" spans="1:11">
      <c r="A737" s="483"/>
      <c r="B737" s="483"/>
      <c r="C737" s="483"/>
      <c r="H737" s="501"/>
      <c r="I737" s="483"/>
      <c r="J737" s="501"/>
      <c r="K737" s="501"/>
    </row>
    <row r="738" spans="1:11">
      <c r="A738" s="483"/>
      <c r="B738" s="485" t="s">
        <v>2715</v>
      </c>
      <c r="C738" s="483"/>
      <c r="D738" s="1308" t="s">
        <v>2392</v>
      </c>
      <c r="E738" s="1308"/>
      <c r="F738" s="1308"/>
      <c r="H738" s="501"/>
      <c r="I738" s="483"/>
      <c r="J738" s="501"/>
      <c r="K738" s="501"/>
    </row>
    <row r="739" spans="1:11">
      <c r="A739" s="483"/>
      <c r="B739" s="483"/>
      <c r="C739" s="483"/>
      <c r="D739" s="1308"/>
      <c r="E739" s="1308"/>
      <c r="F739" s="1308"/>
      <c r="H739" s="501"/>
      <c r="I739" s="483"/>
      <c r="J739" s="501"/>
      <c r="K739" s="501"/>
    </row>
    <row r="740" spans="1:11">
      <c r="A740" s="483"/>
      <c r="B740" s="483"/>
      <c r="C740" s="483"/>
      <c r="D740" s="1308"/>
      <c r="E740" s="1308"/>
      <c r="F740" s="1308"/>
      <c r="H740" s="501"/>
      <c r="I740" s="483"/>
      <c r="J740" s="501"/>
      <c r="K740" s="501"/>
    </row>
    <row r="741" spans="1:11">
      <c r="A741" s="483"/>
      <c r="B741" s="483"/>
      <c r="C741" s="483"/>
      <c r="D741" s="1308"/>
      <c r="E741" s="1308"/>
      <c r="F741" s="1308"/>
      <c r="H741" s="501"/>
      <c r="I741" s="483"/>
      <c r="J741" s="501"/>
      <c r="K741" s="501"/>
    </row>
    <row r="742" spans="1:11">
      <c r="A742" s="483"/>
      <c r="B742" s="483"/>
      <c r="C742" s="483"/>
      <c r="H742" s="501"/>
      <c r="I742" s="483"/>
      <c r="J742" s="501"/>
      <c r="K742" s="501"/>
    </row>
    <row r="743" spans="1:11" ht="14.25">
      <c r="A743" s="484"/>
      <c r="B743" s="485" t="s">
        <v>2715</v>
      </c>
      <c r="C743" s="483"/>
      <c r="D743" s="1308" t="s">
        <v>1078</v>
      </c>
      <c r="E743" s="1308"/>
      <c r="F743" s="1308"/>
      <c r="H743" s="501"/>
      <c r="I743" s="483"/>
      <c r="J743" s="501"/>
      <c r="K743" s="501"/>
    </row>
    <row r="744" spans="1:11">
      <c r="A744" s="483"/>
      <c r="B744" s="483"/>
      <c r="C744" s="483"/>
      <c r="D744" s="1308"/>
      <c r="E744" s="1308"/>
      <c r="F744" s="1308"/>
      <c r="H744" s="501"/>
      <c r="I744" s="483"/>
      <c r="J744" s="501"/>
      <c r="K744" s="501"/>
    </row>
    <row r="745" spans="1:11">
      <c r="A745" s="483"/>
      <c r="B745" s="483"/>
      <c r="C745" s="483"/>
      <c r="D745" s="1308"/>
      <c r="E745" s="1308"/>
      <c r="F745" s="1308"/>
      <c r="H745" s="501"/>
      <c r="I745" s="483"/>
      <c r="J745" s="501"/>
      <c r="K745" s="501"/>
    </row>
    <row r="746" spans="1:11">
      <c r="A746" s="483"/>
      <c r="B746" s="483"/>
      <c r="C746" s="483"/>
      <c r="D746" s="1308"/>
      <c r="E746" s="1308"/>
      <c r="F746" s="1308"/>
      <c r="H746" s="501"/>
      <c r="I746" s="483"/>
      <c r="J746" s="501"/>
      <c r="K746" s="501"/>
    </row>
    <row r="747" spans="1:11">
      <c r="A747" s="483"/>
      <c r="B747" s="483"/>
      <c r="C747" s="483"/>
      <c r="D747" s="1308"/>
      <c r="E747" s="1308"/>
      <c r="F747" s="1308"/>
      <c r="H747" s="501"/>
      <c r="I747" s="483"/>
      <c r="J747" s="501"/>
      <c r="K747" s="501"/>
    </row>
    <row r="748" spans="1:11">
      <c r="A748" s="483"/>
      <c r="B748" s="483"/>
      <c r="C748" s="483"/>
      <c r="D748" s="492"/>
      <c r="H748" s="501"/>
      <c r="I748" s="483"/>
      <c r="J748" s="501"/>
      <c r="K748" s="501"/>
    </row>
    <row r="749" spans="1:11" ht="14.25">
      <c r="A749" s="484"/>
      <c r="B749" s="485" t="s">
        <v>2715</v>
      </c>
      <c r="C749" s="483"/>
      <c r="D749" s="1308" t="s">
        <v>2101</v>
      </c>
      <c r="E749" s="1308"/>
      <c r="F749" s="1308"/>
      <c r="H749" s="501"/>
      <c r="I749" s="483"/>
      <c r="J749" s="501"/>
      <c r="K749" s="501"/>
    </row>
    <row r="750" spans="1:11">
      <c r="A750" s="483"/>
      <c r="B750" s="483"/>
      <c r="C750" s="483"/>
      <c r="D750" s="1308"/>
      <c r="E750" s="1308"/>
      <c r="F750" s="1308"/>
      <c r="H750" s="501"/>
      <c r="I750" s="483"/>
      <c r="J750" s="501"/>
      <c r="K750" s="501"/>
    </row>
    <row r="751" spans="1:11">
      <c r="A751" s="483"/>
      <c r="B751" s="483"/>
      <c r="C751" s="483"/>
      <c r="D751" s="1308"/>
      <c r="E751" s="1308"/>
      <c r="F751" s="1308"/>
      <c r="H751" s="501"/>
      <c r="I751" s="483"/>
      <c r="J751" s="501"/>
      <c r="K751" s="501"/>
    </row>
    <row r="752" spans="1:11">
      <c r="A752" s="483"/>
      <c r="B752" s="483"/>
      <c r="C752" s="483"/>
      <c r="D752" s="1308"/>
      <c r="E752" s="1308"/>
      <c r="F752" s="1308"/>
      <c r="H752" s="501"/>
      <c r="I752" s="483"/>
      <c r="J752" s="501"/>
      <c r="K752" s="501"/>
    </row>
    <row r="753" spans="1:11">
      <c r="A753" s="483"/>
      <c r="B753" s="483"/>
      <c r="C753" s="483"/>
      <c r="D753" s="1308"/>
      <c r="E753" s="1308"/>
      <c r="F753" s="1308"/>
      <c r="H753" s="501"/>
      <c r="I753" s="483"/>
      <c r="J753" s="501"/>
      <c r="K753" s="501"/>
    </row>
    <row r="754" spans="1:11">
      <c r="A754" s="483"/>
      <c r="B754" s="483"/>
      <c r="C754" s="483"/>
      <c r="D754" s="1308"/>
      <c r="E754" s="1308"/>
      <c r="F754" s="1308"/>
      <c r="H754" s="501"/>
      <c r="I754" s="483"/>
      <c r="J754" s="501"/>
      <c r="K754" s="501"/>
    </row>
    <row r="755" spans="1:11">
      <c r="A755" s="483"/>
      <c r="B755" s="483"/>
      <c r="C755" s="483"/>
      <c r="D755" s="1308"/>
      <c r="E755" s="1308"/>
      <c r="F755" s="1308"/>
      <c r="H755" s="501"/>
      <c r="I755" s="483"/>
      <c r="J755" s="501"/>
      <c r="K755" s="501"/>
    </row>
    <row r="756" spans="1:11">
      <c r="A756" s="483"/>
      <c r="B756" s="483"/>
      <c r="C756" s="483"/>
      <c r="D756" s="1313" t="s">
        <v>2615</v>
      </c>
      <c r="E756" s="1313"/>
      <c r="F756" s="1313"/>
      <c r="H756" s="501"/>
      <c r="I756" s="483"/>
      <c r="J756" s="501"/>
      <c r="K756" s="501"/>
    </row>
    <row r="757" spans="1:11">
      <c r="A757" s="483"/>
      <c r="B757" s="483"/>
      <c r="C757" s="483"/>
      <c r="D757" s="341"/>
      <c r="H757" s="501"/>
      <c r="I757" s="483"/>
      <c r="J757" s="501"/>
      <c r="K757" s="501"/>
    </row>
    <row r="758" spans="1:11">
      <c r="A758" s="1312" t="s">
        <v>1060</v>
      </c>
      <c r="B758" s="1312"/>
      <c r="C758" s="1312"/>
      <c r="D758" s="1312"/>
      <c r="E758" s="1312"/>
      <c r="F758" s="1312"/>
      <c r="G758" s="1312"/>
      <c r="H758" s="1025"/>
      <c r="I758" s="1151"/>
      <c r="J758" s="501"/>
      <c r="K758" s="501"/>
    </row>
    <row r="759" spans="1:11">
      <c r="A759" s="483"/>
      <c r="B759" s="483"/>
      <c r="C759" s="483"/>
      <c r="D759" s="492"/>
      <c r="G759" s="501"/>
      <c r="H759" s="501"/>
      <c r="I759" s="483"/>
      <c r="J759" s="501"/>
      <c r="K759" s="501"/>
    </row>
    <row r="760" spans="1:11" ht="13.7" customHeight="1">
      <c r="C760" s="483"/>
      <c r="D760" s="1328" t="s">
        <v>1070</v>
      </c>
      <c r="E760" s="1328"/>
      <c r="F760" s="1328"/>
      <c r="G760" s="501"/>
      <c r="H760" s="501"/>
      <c r="I760" s="483"/>
      <c r="J760" s="501"/>
      <c r="K760" s="501"/>
    </row>
    <row r="761" spans="1:11">
      <c r="A761" s="483"/>
      <c r="B761" s="483"/>
      <c r="C761" s="483"/>
      <c r="D761" s="1314" t="s">
        <v>1071</v>
      </c>
      <c r="E761" s="1314"/>
      <c r="F761" s="1314"/>
      <c r="G761" s="501"/>
      <c r="H761" s="501"/>
      <c r="I761" s="483"/>
      <c r="J761" s="501"/>
      <c r="K761" s="501"/>
    </row>
    <row r="762" spans="1:11">
      <c r="A762" s="483"/>
      <c r="B762" s="483"/>
      <c r="C762" s="483"/>
      <c r="G762" s="501"/>
      <c r="H762" s="501"/>
      <c r="I762" s="483"/>
      <c r="J762" s="501"/>
      <c r="K762" s="501"/>
    </row>
    <row r="763" spans="1:11" ht="14.25">
      <c r="A763" s="484"/>
      <c r="B763" s="485" t="s">
        <v>2714</v>
      </c>
      <c r="D763" s="1308" t="s">
        <v>1072</v>
      </c>
      <c r="E763" s="1308"/>
      <c r="F763" s="1308"/>
      <c r="G763" s="501"/>
      <c r="H763" s="501"/>
      <c r="I763" s="483"/>
      <c r="J763" s="501"/>
      <c r="K763" s="501"/>
    </row>
    <row r="764" spans="1:11" ht="10.5" customHeight="1">
      <c r="D764" s="1308"/>
      <c r="E764" s="1308"/>
      <c r="F764" s="1308"/>
      <c r="G764" s="501"/>
      <c r="H764" s="501"/>
      <c r="I764" s="483"/>
      <c r="J764" s="501"/>
      <c r="K764" s="501"/>
    </row>
    <row r="765" spans="1:11">
      <c r="D765" s="1308"/>
      <c r="E765" s="1308"/>
      <c r="F765" s="1308"/>
      <c r="G765" s="501"/>
      <c r="H765" s="501"/>
      <c r="I765" s="483"/>
      <c r="J765" s="501"/>
      <c r="K765" s="501"/>
    </row>
    <row r="766" spans="1:11">
      <c r="D766" s="1308"/>
      <c r="E766" s="1308"/>
      <c r="F766" s="1308"/>
      <c r="G766" s="501"/>
      <c r="H766" s="501"/>
      <c r="I766" s="483"/>
      <c r="J766" s="501"/>
      <c r="K766" s="501"/>
    </row>
    <row r="767" spans="1:11">
      <c r="D767" s="1308"/>
      <c r="E767" s="1308"/>
      <c r="F767" s="1308"/>
      <c r="G767" s="501"/>
      <c r="H767" s="501"/>
      <c r="I767" s="483"/>
      <c r="J767" s="501"/>
      <c r="K767" s="501"/>
    </row>
    <row r="768" spans="1:11" ht="15.6" customHeight="1">
      <c r="D768" s="1308"/>
      <c r="E768" s="1308"/>
      <c r="F768" s="1308"/>
      <c r="G768" s="501"/>
      <c r="H768" s="501"/>
      <c r="I768" s="483"/>
      <c r="J768" s="501"/>
      <c r="K768" s="501"/>
    </row>
    <row r="769" spans="1:11">
      <c r="D769" s="499"/>
      <c r="E769" s="446"/>
      <c r="F769" s="446"/>
      <c r="G769" s="501"/>
      <c r="H769" s="501"/>
      <c r="I769" s="483"/>
      <c r="J769" s="501"/>
      <c r="K769" s="501"/>
    </row>
    <row r="770" spans="1:11" s="505" customFormat="1" ht="14.25">
      <c r="A770" s="503"/>
      <c r="B770" s="485" t="s">
        <v>2714</v>
      </c>
      <c r="C770" s="504"/>
      <c r="D770" s="1308" t="s">
        <v>1241</v>
      </c>
      <c r="E770" s="1308"/>
      <c r="F770" s="1308"/>
      <c r="I770" s="1152"/>
    </row>
    <row r="771" spans="1:11" s="505" customFormat="1">
      <c r="A771" s="504"/>
      <c r="B771" s="504"/>
      <c r="C771" s="504"/>
      <c r="D771" s="1308"/>
      <c r="E771" s="1308"/>
      <c r="F771" s="1308"/>
      <c r="I771" s="1152"/>
    </row>
    <row r="772" spans="1:11" s="505" customFormat="1">
      <c r="A772" s="504"/>
      <c r="B772" s="504"/>
      <c r="C772" s="504"/>
      <c r="D772" s="1308"/>
      <c r="E772" s="1308"/>
      <c r="F772" s="1308"/>
      <c r="I772" s="1152"/>
    </row>
    <row r="773" spans="1:11" s="505" customFormat="1">
      <c r="A773" s="504"/>
      <c r="B773" s="504"/>
      <c r="C773" s="504"/>
      <c r="D773" s="1308"/>
      <c r="E773" s="1308"/>
      <c r="F773" s="1308"/>
      <c r="I773" s="1152"/>
    </row>
    <row r="774" spans="1:11" s="505" customFormat="1">
      <c r="A774" s="504"/>
      <c r="B774" s="504"/>
      <c r="C774" s="504"/>
      <c r="D774" s="499"/>
      <c r="I774" s="1152"/>
    </row>
    <row r="775" spans="1:11" s="505" customFormat="1" ht="14.25">
      <c r="A775" s="484"/>
      <c r="B775" s="485" t="s">
        <v>2714</v>
      </c>
      <c r="C775" s="504"/>
      <c r="D775" s="1307" t="s">
        <v>1242</v>
      </c>
      <c r="E775" s="1307"/>
      <c r="F775" s="1307"/>
      <c r="I775" s="1152"/>
    </row>
    <row r="776" spans="1:11" s="505" customFormat="1">
      <c r="A776" s="504"/>
      <c r="B776" s="504"/>
      <c r="C776" s="504"/>
      <c r="D776" s="1307"/>
      <c r="E776" s="1307"/>
      <c r="F776" s="1307"/>
      <c r="I776" s="1152"/>
    </row>
    <row r="777" spans="1:11" s="505" customFormat="1">
      <c r="A777" s="504"/>
      <c r="B777" s="504"/>
      <c r="C777" s="504"/>
      <c r="D777" s="1307"/>
      <c r="E777" s="1307"/>
      <c r="F777" s="1307"/>
      <c r="I777" s="1152"/>
    </row>
    <row r="778" spans="1:11">
      <c r="D778" s="499"/>
      <c r="E778" s="446"/>
      <c r="F778" s="446"/>
      <c r="G778" s="501"/>
      <c r="H778" s="501"/>
      <c r="I778" s="483"/>
      <c r="J778" s="501"/>
      <c r="K778" s="501"/>
    </row>
    <row r="779" spans="1:11" ht="14.25">
      <c r="A779" s="484"/>
      <c r="B779" s="485" t="s">
        <v>2715</v>
      </c>
      <c r="D779" s="1308" t="s">
        <v>1198</v>
      </c>
      <c r="E779" s="1308"/>
      <c r="F779" s="1308"/>
      <c r="G779" s="501"/>
      <c r="H779" s="501"/>
      <c r="I779" s="483"/>
      <c r="J779" s="501"/>
      <c r="K779" s="501"/>
    </row>
    <row r="780" spans="1:11">
      <c r="D780" s="1308"/>
      <c r="E780" s="1308"/>
      <c r="F780" s="1308"/>
      <c r="G780" s="501"/>
      <c r="H780" s="501"/>
      <c r="I780" s="483"/>
      <c r="J780" s="501"/>
      <c r="K780" s="501"/>
    </row>
    <row r="781" spans="1:11">
      <c r="D781" s="445"/>
      <c r="E781" s="445"/>
      <c r="F781" s="445"/>
      <c r="G781" s="501"/>
      <c r="H781" s="501"/>
      <c r="I781" s="483"/>
      <c r="J781" s="501"/>
      <c r="K781" s="501"/>
    </row>
    <row r="782" spans="1:11">
      <c r="B782" s="485" t="s">
        <v>2715</v>
      </c>
      <c r="D782" s="1308" t="s">
        <v>1215</v>
      </c>
      <c r="E782" s="1308"/>
      <c r="F782" s="1308"/>
      <c r="G782" s="501"/>
      <c r="H782" s="501"/>
      <c r="I782" s="483"/>
      <c r="J782" s="501"/>
      <c r="K782" s="501"/>
    </row>
    <row r="783" spans="1:11">
      <c r="D783" s="1308"/>
      <c r="E783" s="1308"/>
      <c r="F783" s="1308"/>
      <c r="G783" s="501"/>
      <c r="H783" s="501"/>
      <c r="I783" s="483"/>
      <c r="J783" s="501"/>
      <c r="K783" s="501"/>
    </row>
    <row r="784" spans="1:11">
      <c r="D784" s="1308"/>
      <c r="E784" s="1308"/>
      <c r="F784" s="1308"/>
      <c r="G784" s="501"/>
      <c r="H784" s="501"/>
      <c r="I784" s="483"/>
      <c r="J784" s="501"/>
      <c r="K784" s="501"/>
    </row>
    <row r="785" spans="1:11">
      <c r="D785" s="445"/>
      <c r="E785" s="445"/>
      <c r="F785" s="445"/>
      <c r="G785" s="501"/>
      <c r="H785" s="501"/>
      <c r="I785" s="483"/>
      <c r="J785" s="501"/>
      <c r="K785" s="501"/>
    </row>
    <row r="786" spans="1:11">
      <c r="A786" s="1327" t="s">
        <v>1790</v>
      </c>
      <c r="B786" s="1327"/>
      <c r="C786" s="1327"/>
      <c r="D786" s="1327"/>
      <c r="E786" s="1327"/>
      <c r="F786" s="1327"/>
      <c r="G786" s="1327"/>
      <c r="H786" s="1023"/>
      <c r="I786" s="1147"/>
    </row>
    <row r="787" spans="1:11">
      <c r="A787" s="57"/>
      <c r="B787" s="57"/>
      <c r="C787" s="354"/>
      <c r="D787" s="3"/>
      <c r="E787" s="3"/>
      <c r="F787" s="3"/>
      <c r="G787" s="3"/>
      <c r="I787" s="490"/>
    </row>
    <row r="788" spans="1:11">
      <c r="A788" s="57"/>
      <c r="B788" s="57"/>
      <c r="C788" s="354"/>
      <c r="D788" s="1326" t="s">
        <v>1830</v>
      </c>
      <c r="E788" s="1326"/>
      <c r="F788" s="1326"/>
      <c r="G788" s="3"/>
      <c r="I788" s="490"/>
    </row>
    <row r="789" spans="1:11">
      <c r="A789" s="57"/>
      <c r="B789" s="57"/>
      <c r="C789" s="354"/>
      <c r="D789" s="1318" t="s">
        <v>1744</v>
      </c>
      <c r="E789" s="1318"/>
      <c r="F789" s="1318"/>
      <c r="G789" s="3"/>
      <c r="I789" s="490"/>
    </row>
    <row r="790" spans="1:11">
      <c r="A790" s="57"/>
      <c r="B790" s="57"/>
      <c r="C790" s="354"/>
      <c r="D790" s="447"/>
      <c r="E790" s="447"/>
      <c r="F790" s="447"/>
      <c r="G790" s="3"/>
      <c r="I790" s="490"/>
    </row>
    <row r="791" spans="1:11">
      <c r="A791" s="57"/>
      <c r="B791" s="485" t="s">
        <v>2714</v>
      </c>
      <c r="C791" s="354"/>
      <c r="D791" s="1300" t="s">
        <v>1745</v>
      </c>
      <c r="E791" s="1300"/>
      <c r="F791" s="1300"/>
      <c r="G791" s="3"/>
      <c r="I791" s="483"/>
    </row>
    <row r="792" spans="1:11">
      <c r="A792" s="57"/>
      <c r="B792" s="57"/>
      <c r="C792" s="354"/>
      <c r="D792" s="1300"/>
      <c r="E792" s="1300"/>
      <c r="F792" s="1300"/>
      <c r="G792" s="3"/>
      <c r="I792" s="490"/>
    </row>
    <row r="793" spans="1:11">
      <c r="A793" s="174"/>
      <c r="B793" s="174"/>
      <c r="C793" s="174"/>
      <c r="D793" s="1300"/>
      <c r="E793" s="1300"/>
      <c r="F793" s="1300"/>
      <c r="G793" s="118"/>
      <c r="I793" s="490"/>
    </row>
    <row r="794" spans="1:11">
      <c r="A794" s="354"/>
      <c r="B794" s="354"/>
      <c r="C794" s="354"/>
      <c r="D794" s="173"/>
      <c r="E794" s="3"/>
      <c r="F794" s="3"/>
      <c r="G794" s="3"/>
      <c r="I794" s="490"/>
    </row>
    <row r="795" spans="1:11">
      <c r="A795" s="172"/>
      <c r="B795" s="485" t="s">
        <v>2715</v>
      </c>
      <c r="C795" s="172"/>
      <c r="D795" s="1300" t="s">
        <v>1746</v>
      </c>
      <c r="E795" s="1300"/>
      <c r="F795" s="1300"/>
      <c r="G795" s="3"/>
      <c r="I795" s="483"/>
    </row>
    <row r="796" spans="1:11">
      <c r="A796" s="172"/>
      <c r="B796" s="172"/>
      <c r="C796" s="172"/>
      <c r="D796" s="1300"/>
      <c r="E796" s="1300"/>
      <c r="F796" s="1300"/>
      <c r="G796" s="3"/>
      <c r="I796" s="490"/>
    </row>
    <row r="797" spans="1:11">
      <c r="A797" s="172"/>
      <c r="B797" s="172"/>
      <c r="C797" s="172"/>
      <c r="D797" s="1300"/>
      <c r="E797" s="1300"/>
      <c r="F797" s="1300"/>
      <c r="G797" s="3"/>
      <c r="I797" s="490"/>
    </row>
    <row r="798" spans="1:11">
      <c r="A798" s="174"/>
      <c r="B798" s="174"/>
      <c r="C798" s="174"/>
      <c r="D798" s="3"/>
      <c r="E798" s="983"/>
      <c r="F798" s="983"/>
      <c r="G798" s="983"/>
      <c r="I798" s="490"/>
    </row>
    <row r="799" spans="1:11" ht="14.25">
      <c r="A799" s="175"/>
      <c r="B799" s="485" t="s">
        <v>2715</v>
      </c>
      <c r="C799" s="984"/>
      <c r="D799" s="1300" t="s">
        <v>1747</v>
      </c>
      <c r="E799" s="1300"/>
      <c r="F799" s="1300"/>
      <c r="G799" s="983"/>
      <c r="I799" s="483"/>
    </row>
    <row r="800" spans="1:11" ht="14.25">
      <c r="A800" s="175"/>
      <c r="B800" s="175"/>
      <c r="C800" s="984"/>
      <c r="D800" s="1300"/>
      <c r="E800" s="1300"/>
      <c r="F800" s="1300"/>
      <c r="G800" s="983"/>
      <c r="I800" s="490"/>
    </row>
    <row r="801" spans="1:9" ht="14.25">
      <c r="A801" s="175"/>
      <c r="B801" s="175"/>
      <c r="C801" s="984"/>
      <c r="D801" s="1300"/>
      <c r="E801" s="1300"/>
      <c r="F801" s="1300"/>
      <c r="G801" s="983"/>
      <c r="I801" s="490"/>
    </row>
    <row r="802" spans="1:9" ht="14.25">
      <c r="A802" s="175"/>
      <c r="B802" s="175"/>
      <c r="C802" s="984"/>
      <c r="D802" s="118"/>
      <c r="E802" s="3"/>
      <c r="F802" s="3"/>
      <c r="G802" s="983"/>
      <c r="I802" s="490"/>
    </row>
    <row r="803" spans="1:9" ht="14.25">
      <c r="A803" s="175"/>
      <c r="B803" s="485" t="s">
        <v>2715</v>
      </c>
      <c r="C803" s="984"/>
      <c r="D803" s="1300" t="s">
        <v>1748</v>
      </c>
      <c r="E803" s="1300"/>
      <c r="F803" s="1300"/>
      <c r="G803" s="983"/>
      <c r="I803" s="483"/>
    </row>
    <row r="804" spans="1:9" ht="14.25">
      <c r="A804" s="175"/>
      <c r="B804" s="175"/>
      <c r="C804" s="984"/>
      <c r="D804" s="1300"/>
      <c r="E804" s="1300"/>
      <c r="F804" s="1300"/>
      <c r="G804" s="983"/>
      <c r="I804" s="490"/>
    </row>
    <row r="805" spans="1:9" ht="14.25">
      <c r="A805" s="175"/>
      <c r="B805" s="175"/>
      <c r="C805" s="984"/>
      <c r="D805" s="1300"/>
      <c r="E805" s="1300"/>
      <c r="F805" s="1300"/>
      <c r="G805" s="983"/>
      <c r="I805" s="490"/>
    </row>
    <row r="806" spans="1:9" ht="14.25">
      <c r="A806" s="175"/>
      <c r="B806" s="175"/>
      <c r="C806" s="984"/>
      <c r="D806" s="1300"/>
      <c r="E806" s="1300"/>
      <c r="F806" s="1300"/>
      <c r="G806" s="983"/>
      <c r="I806" s="490"/>
    </row>
    <row r="807" spans="1:9" ht="14.25">
      <c r="A807" s="175"/>
      <c r="B807" s="175"/>
      <c r="C807" s="984"/>
      <c r="D807" s="1300"/>
      <c r="E807" s="1300"/>
      <c r="F807" s="1300"/>
      <c r="G807" s="983"/>
      <c r="I807" s="490"/>
    </row>
    <row r="808" spans="1:9" ht="14.25">
      <c r="A808" s="175"/>
      <c r="B808" s="175"/>
      <c r="C808" s="984"/>
      <c r="D808" s="1300"/>
      <c r="E808" s="1300"/>
      <c r="F808" s="1300"/>
      <c r="G808" s="983"/>
      <c r="I808" s="490"/>
    </row>
    <row r="809" spans="1:9" ht="14.25">
      <c r="A809" s="175"/>
      <c r="B809" s="175"/>
      <c r="C809" s="984"/>
      <c r="D809" s="1300" t="s">
        <v>1791</v>
      </c>
      <c r="E809" s="1300"/>
      <c r="F809" s="1300"/>
      <c r="G809" s="983"/>
      <c r="I809" s="490"/>
    </row>
    <row r="810" spans="1:9" ht="14.25">
      <c r="A810" s="175"/>
      <c r="B810" s="175"/>
      <c r="C810" s="984"/>
      <c r="D810" s="1300"/>
      <c r="E810" s="1300"/>
      <c r="F810" s="1300"/>
      <c r="G810" s="983"/>
      <c r="I810" s="490"/>
    </row>
    <row r="811" spans="1:9" ht="14.25">
      <c r="A811" s="175"/>
      <c r="B811" s="175"/>
      <c r="C811" s="984"/>
      <c r="D811" s="1300"/>
      <c r="E811" s="1300"/>
      <c r="F811" s="1300"/>
      <c r="G811" s="983"/>
      <c r="I811" s="490"/>
    </row>
    <row r="812" spans="1:9" ht="14.25">
      <c r="A812" s="175"/>
      <c r="B812" s="354"/>
      <c r="C812" s="984"/>
      <c r="D812" s="985"/>
      <c r="E812" s="985"/>
      <c r="F812" s="985"/>
      <c r="G812" s="983"/>
      <c r="I812" s="490"/>
    </row>
    <row r="813" spans="1:9" ht="14.25">
      <c r="A813" s="175"/>
      <c r="B813" s="485" t="s">
        <v>2715</v>
      </c>
      <c r="C813" s="984"/>
      <c r="D813" s="1300" t="s">
        <v>1749</v>
      </c>
      <c r="E813" s="1300"/>
      <c r="F813" s="1300"/>
      <c r="G813" s="983"/>
      <c r="I813" s="483"/>
    </row>
    <row r="814" spans="1:9" ht="14.25">
      <c r="A814" s="175"/>
      <c r="B814" s="175"/>
      <c r="C814" s="984"/>
      <c r="D814" s="1300"/>
      <c r="E814" s="1300"/>
      <c r="F814" s="1300"/>
      <c r="G814" s="983"/>
      <c r="I814" s="490"/>
    </row>
    <row r="815" spans="1:9" ht="14.25">
      <c r="A815" s="175"/>
      <c r="B815" s="175"/>
      <c r="C815" s="984"/>
      <c r="D815" s="1300"/>
      <c r="E815" s="1300"/>
      <c r="F815" s="1300"/>
      <c r="G815" s="983"/>
      <c r="I815" s="490"/>
    </row>
    <row r="816" spans="1:9" ht="14.25">
      <c r="A816" s="175"/>
      <c r="B816" s="175"/>
      <c r="C816" s="984"/>
      <c r="D816" s="1300"/>
      <c r="E816" s="1300"/>
      <c r="F816" s="1300"/>
      <c r="G816" s="983"/>
      <c r="I816" s="490"/>
    </row>
    <row r="817" spans="1:9" ht="14.25">
      <c r="A817" s="175"/>
      <c r="B817" s="175"/>
      <c r="C817" s="984"/>
      <c r="D817" s="1300"/>
      <c r="E817" s="1300"/>
      <c r="F817" s="1300"/>
      <c r="G817" s="983"/>
      <c r="I817" s="490"/>
    </row>
    <row r="818" spans="1:9" ht="14.25">
      <c r="A818" s="175"/>
      <c r="B818" s="175"/>
      <c r="C818" s="984"/>
      <c r="D818" s="1300"/>
      <c r="E818" s="1300"/>
      <c r="F818" s="1300"/>
      <c r="G818" s="983"/>
      <c r="I818" s="490"/>
    </row>
    <row r="819" spans="1:9" ht="14.25">
      <c r="A819" s="175"/>
      <c r="B819" s="175"/>
      <c r="C819" s="984"/>
      <c r="D819" s="977"/>
      <c r="E819" s="977"/>
      <c r="F819" s="977"/>
      <c r="G819" s="983"/>
      <c r="I819" s="490"/>
    </row>
    <row r="820" spans="1:9" ht="14.25">
      <c r="A820" s="175"/>
      <c r="B820" s="485" t="s">
        <v>2715</v>
      </c>
      <c r="C820" s="984"/>
      <c r="D820" s="1300" t="s">
        <v>1750</v>
      </c>
      <c r="E820" s="1300"/>
      <c r="F820" s="1300"/>
      <c r="G820" s="983"/>
      <c r="I820" s="483"/>
    </row>
    <row r="821" spans="1:9" ht="14.25">
      <c r="A821" s="175"/>
      <c r="B821" s="175"/>
      <c r="C821" s="984"/>
      <c r="D821" s="1300"/>
      <c r="E821" s="1300"/>
      <c r="F821" s="1300"/>
      <c r="G821" s="983"/>
      <c r="I821" s="490"/>
    </row>
    <row r="822" spans="1:9" ht="14.25">
      <c r="A822" s="175"/>
      <c r="B822" s="175"/>
      <c r="C822" s="984"/>
      <c r="D822" s="1300"/>
      <c r="E822" s="1300"/>
      <c r="F822" s="1300"/>
      <c r="G822" s="983"/>
      <c r="I822" s="490"/>
    </row>
    <row r="823" spans="1:9" ht="14.25">
      <c r="A823" s="175"/>
      <c r="B823" s="175"/>
      <c r="C823" s="984"/>
      <c r="D823" s="1300"/>
      <c r="E823" s="1300"/>
      <c r="F823" s="1300"/>
      <c r="G823" s="983"/>
      <c r="I823" s="490"/>
    </row>
    <row r="824" spans="1:9" ht="14.25">
      <c r="A824" s="175"/>
      <c r="B824" s="175"/>
      <c r="C824" s="984"/>
      <c r="D824" s="1300"/>
      <c r="E824" s="1300"/>
      <c r="F824" s="1300"/>
      <c r="G824" s="983"/>
      <c r="I824" s="490"/>
    </row>
    <row r="825" spans="1:9" ht="14.25">
      <c r="A825" s="175"/>
      <c r="B825" s="175"/>
      <c r="C825" s="984"/>
      <c r="D825" s="1300"/>
      <c r="E825" s="1300"/>
      <c r="F825" s="1300"/>
      <c r="G825" s="983"/>
      <c r="I825" s="490"/>
    </row>
    <row r="826" spans="1:9" ht="14.25">
      <c r="A826" s="175"/>
      <c r="B826" s="175"/>
      <c r="C826" s="984"/>
      <c r="D826" s="977"/>
      <c r="E826" s="977"/>
      <c r="F826" s="977"/>
      <c r="G826" s="983"/>
      <c r="I826" s="490"/>
    </row>
    <row r="827" spans="1:9" ht="14.25">
      <c r="A827" s="175"/>
      <c r="B827" s="485" t="s">
        <v>2715</v>
      </c>
      <c r="C827" s="984"/>
      <c r="D827" s="1296" t="s">
        <v>1751</v>
      </c>
      <c r="E827" s="1296"/>
      <c r="F827" s="1296"/>
      <c r="G827" s="983"/>
      <c r="I827" s="483"/>
    </row>
    <row r="828" spans="1:9" ht="14.25">
      <c r="A828" s="175"/>
      <c r="B828" s="175"/>
      <c r="C828" s="984"/>
      <c r="D828" s="1296"/>
      <c r="E828" s="1296"/>
      <c r="F828" s="1296"/>
      <c r="G828" s="983"/>
      <c r="I828" s="490"/>
    </row>
    <row r="829" spans="1:9">
      <c r="A829" s="13"/>
      <c r="B829" s="13"/>
      <c r="C829" s="984"/>
      <c r="D829" s="1296"/>
      <c r="E829" s="1296"/>
      <c r="F829" s="1296"/>
      <c r="G829" s="983"/>
      <c r="I829" s="490"/>
    </row>
    <row r="830" spans="1:9" ht="14.25">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294" t="s">
        <v>1752</v>
      </c>
      <c r="B834" s="1294"/>
      <c r="C834" s="1294"/>
      <c r="D834" s="1294"/>
      <c r="E834" s="1294"/>
      <c r="F834" s="1294"/>
      <c r="G834" s="1294"/>
      <c r="H834" s="1023"/>
      <c r="I834" s="1147"/>
    </row>
    <row r="835" spans="1:9" ht="12.75" customHeight="1">
      <c r="A835" s="172"/>
      <c r="B835" s="172"/>
      <c r="C835" s="984"/>
      <c r="D835" s="983"/>
      <c r="E835" s="983"/>
      <c r="F835" s="983"/>
      <c r="G835" s="983"/>
      <c r="I835" s="490"/>
    </row>
    <row r="836" spans="1:9" ht="12.75" customHeight="1">
      <c r="A836" s="175"/>
      <c r="B836" s="175"/>
      <c r="C836" s="354"/>
      <c r="D836" s="1316" t="s">
        <v>1792</v>
      </c>
      <c r="E836" s="1316"/>
      <c r="F836" s="1316"/>
      <c r="G836" s="3"/>
      <c r="I836" s="490"/>
    </row>
    <row r="837" spans="1:9" ht="14.25" customHeight="1">
      <c r="A837" s="175"/>
      <c r="B837" s="175"/>
      <c r="C837" s="354"/>
      <c r="D837" s="1270" t="s">
        <v>1753</v>
      </c>
      <c r="E837" s="1270"/>
      <c r="F837" s="1270"/>
      <c r="G837" s="3"/>
      <c r="I837" s="490"/>
    </row>
    <row r="838" spans="1:9" ht="12.75" customHeight="1">
      <c r="A838" s="175"/>
      <c r="B838" s="175"/>
      <c r="C838" s="354"/>
      <c r="D838" s="441"/>
      <c r="E838" s="441"/>
      <c r="F838" s="441"/>
      <c r="G838" s="3"/>
      <c r="I838" s="490"/>
    </row>
    <row r="839" spans="1:9" ht="12.75" customHeight="1">
      <c r="A839" s="354"/>
      <c r="B839" s="485" t="s">
        <v>2714</v>
      </c>
      <c r="C839" s="984"/>
      <c r="D839" s="1270" t="s">
        <v>1754</v>
      </c>
      <c r="E839" s="1270"/>
      <c r="F839" s="1270"/>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7" t="s">
        <v>2033</v>
      </c>
      <c r="E842" s="1317"/>
      <c r="F842" s="1317"/>
      <c r="G842" s="3"/>
      <c r="I842" s="490"/>
    </row>
    <row r="843" spans="1:9" ht="12.75" hidden="1" customHeight="1">
      <c r="A843" s="13"/>
      <c r="B843" s="13"/>
      <c r="C843" s="984"/>
      <c r="D843" s="1317"/>
      <c r="E843" s="1317"/>
      <c r="F843" s="1317"/>
      <c r="G843" s="3"/>
      <c r="I843" s="490"/>
    </row>
    <row r="844" spans="1:9" ht="12.75" hidden="1" customHeight="1">
      <c r="A844" s="13"/>
      <c r="B844" s="13"/>
      <c r="C844" s="984"/>
      <c r="D844" s="1317"/>
      <c r="E844" s="1317"/>
      <c r="F844" s="1317"/>
      <c r="G844" s="3"/>
      <c r="I844" s="490"/>
    </row>
    <row r="845" spans="1:9" ht="12.75" hidden="1" customHeight="1">
      <c r="A845" s="13"/>
      <c r="B845" s="13"/>
      <c r="C845" s="984"/>
      <c r="D845" s="1317"/>
      <c r="E845" s="1317"/>
      <c r="F845" s="1317"/>
      <c r="G845" s="3"/>
      <c r="I845" s="490"/>
    </row>
    <row r="846" spans="1:9" ht="12.75" hidden="1" customHeight="1">
      <c r="A846" s="13"/>
      <c r="B846" s="13"/>
      <c r="C846" s="984"/>
      <c r="D846" s="1317"/>
      <c r="E846" s="1317"/>
      <c r="F846" s="1317"/>
      <c r="G846" s="3"/>
      <c r="I846" s="490"/>
    </row>
    <row r="847" spans="1:9" ht="12.75" hidden="1" customHeight="1">
      <c r="A847" s="13"/>
      <c r="B847" s="13"/>
      <c r="C847" s="984"/>
      <c r="D847" s="1317"/>
      <c r="E847" s="1317"/>
      <c r="F847" s="1317"/>
      <c r="G847" s="3"/>
      <c r="I847" s="490"/>
    </row>
    <row r="848" spans="1:9" ht="12.75" hidden="1" customHeight="1">
      <c r="A848" s="13"/>
      <c r="B848" s="13"/>
      <c r="C848" s="984"/>
      <c r="D848" s="1317"/>
      <c r="E848" s="1317"/>
      <c r="F848" s="1317"/>
      <c r="G848" s="3"/>
      <c r="I848" s="490"/>
    </row>
    <row r="849" spans="1:9" ht="12.75" hidden="1" customHeight="1">
      <c r="A849" s="13"/>
      <c r="B849" s="13"/>
      <c r="C849" s="984"/>
      <c r="D849" s="1317"/>
      <c r="E849" s="1317"/>
      <c r="F849" s="1317"/>
      <c r="G849" s="3"/>
      <c r="I849" s="490"/>
    </row>
    <row r="850" spans="1:9" ht="12.75" hidden="1" customHeight="1">
      <c r="A850" s="13"/>
      <c r="B850" s="13"/>
      <c r="C850" s="984"/>
      <c r="D850" s="1317"/>
      <c r="E850" s="1317"/>
      <c r="F850" s="1317"/>
      <c r="G850" s="3"/>
      <c r="I850" s="490"/>
    </row>
    <row r="851" spans="1:9" ht="12.75" hidden="1" customHeight="1">
      <c r="A851" s="13"/>
      <c r="B851" s="13"/>
      <c r="C851" s="984"/>
      <c r="D851" s="1317"/>
      <c r="E851" s="1317"/>
      <c r="F851" s="1317"/>
      <c r="G851" s="3"/>
      <c r="I851" s="490"/>
    </row>
    <row r="852" spans="1:9" ht="12.75" hidden="1" customHeight="1">
      <c r="A852" s="13"/>
      <c r="B852" s="13"/>
      <c r="C852" s="984"/>
      <c r="D852" s="986"/>
      <c r="E852" s="3"/>
      <c r="F852" s="3"/>
      <c r="G852" s="3"/>
      <c r="I852" s="490"/>
    </row>
    <row r="853" spans="1:9" ht="12.75" customHeight="1">
      <c r="A853" s="175"/>
      <c r="B853" s="485" t="s">
        <v>2714</v>
      </c>
      <c r="C853" s="984"/>
      <c r="D853" s="1270" t="s">
        <v>1755</v>
      </c>
      <c r="E853" s="1270"/>
      <c r="F853" s="1270"/>
      <c r="G853" s="3"/>
      <c r="I853" s="490" t="s">
        <v>1857</v>
      </c>
    </row>
    <row r="854" spans="1:9" ht="12.75" customHeight="1">
      <c r="A854" s="175"/>
      <c r="B854" s="175"/>
      <c r="C854" s="984"/>
      <c r="D854" s="1270"/>
      <c r="E854" s="1270"/>
      <c r="F854" s="1270"/>
      <c r="G854" s="3"/>
      <c r="I854" s="490"/>
    </row>
    <row r="855" spans="1:9" ht="12.75" customHeight="1">
      <c r="A855" s="175"/>
      <c r="B855" s="175"/>
      <c r="C855" s="984"/>
      <c r="D855" s="1270"/>
      <c r="E855" s="1270"/>
      <c r="F855" s="1270"/>
      <c r="G855" s="3"/>
      <c r="I855" s="490"/>
    </row>
    <row r="856" spans="1:9" ht="12.75" customHeight="1">
      <c r="A856" s="175"/>
      <c r="B856" s="175"/>
      <c r="C856" s="984"/>
      <c r="D856" s="118"/>
      <c r="E856" s="3"/>
      <c r="F856" s="3"/>
      <c r="G856" s="3"/>
      <c r="I856" s="490"/>
    </row>
    <row r="857" spans="1:9" ht="12.75" customHeight="1">
      <c r="A857" s="987"/>
      <c r="B857" s="485" t="s">
        <v>2715</v>
      </c>
      <c r="C857" s="984"/>
      <c r="D857" s="1316" t="s">
        <v>1756</v>
      </c>
      <c r="E857" s="1316"/>
      <c r="F857" s="1316"/>
      <c r="G857" s="3"/>
      <c r="I857" s="490"/>
    </row>
    <row r="858" spans="1:9" ht="12.75" customHeight="1">
      <c r="A858" s="354"/>
      <c r="B858" s="987"/>
      <c r="C858" s="984"/>
      <c r="D858" s="1316"/>
      <c r="E858" s="1316"/>
      <c r="F858" s="1316"/>
      <c r="G858" s="3"/>
      <c r="I858" s="490"/>
    </row>
    <row r="859" spans="1:9" ht="12.75" customHeight="1">
      <c r="A859" s="175"/>
      <c r="B859" s="354"/>
      <c r="C859" s="984"/>
      <c r="D859" s="1270" t="s">
        <v>2028</v>
      </c>
      <c r="E859" s="1270"/>
      <c r="F859" s="1270"/>
      <c r="G859" s="3"/>
      <c r="I859" s="490"/>
    </row>
    <row r="860" spans="1:9" ht="12.75" customHeight="1">
      <c r="A860" s="175"/>
      <c r="B860" s="175"/>
      <c r="C860" s="984"/>
      <c r="D860" s="1270"/>
      <c r="E860" s="1270"/>
      <c r="F860" s="1270"/>
      <c r="G860" s="3"/>
      <c r="I860" s="490"/>
    </row>
    <row r="861" spans="1:9" ht="12.75" customHeight="1">
      <c r="A861" s="175"/>
      <c r="B861" s="175"/>
      <c r="C861" s="984"/>
      <c r="D861" s="1270"/>
      <c r="E861" s="1270"/>
      <c r="F861" s="1270"/>
      <c r="G861" s="3"/>
      <c r="I861" s="490"/>
    </row>
    <row r="862" spans="1:9" ht="12.75" customHeight="1">
      <c r="A862" s="175"/>
      <c r="B862" s="175"/>
      <c r="C862" s="984"/>
      <c r="D862" s="1270"/>
      <c r="E862" s="1270"/>
      <c r="F862" s="1270"/>
      <c r="G862" s="3"/>
      <c r="I862" s="490"/>
    </row>
    <row r="863" spans="1:9" ht="12.75" customHeight="1">
      <c r="A863" s="175"/>
      <c r="B863" s="175"/>
      <c r="C863" s="984"/>
      <c r="D863" s="1270"/>
      <c r="E863" s="1270"/>
      <c r="F863" s="1270"/>
      <c r="G863" s="3"/>
      <c r="I863" s="490"/>
    </row>
    <row r="864" spans="1:9" ht="12.75" customHeight="1">
      <c r="A864" s="175"/>
      <c r="B864" s="175"/>
      <c r="C864" s="984"/>
      <c r="D864" s="1270"/>
      <c r="E864" s="1270"/>
      <c r="F864" s="1270"/>
      <c r="G864" s="3"/>
      <c r="I864" s="490"/>
    </row>
    <row r="865" spans="1:9" ht="12.75" customHeight="1">
      <c r="A865" s="175"/>
      <c r="B865" s="175"/>
      <c r="C865" s="984"/>
      <c r="D865" s="118"/>
      <c r="E865" s="3"/>
      <c r="F865" s="3"/>
      <c r="G865" s="3"/>
      <c r="I865" s="490"/>
    </row>
    <row r="866" spans="1:9" ht="12.75" customHeight="1">
      <c r="A866" s="175"/>
      <c r="B866" s="485" t="s">
        <v>2715</v>
      </c>
      <c r="C866" s="984"/>
      <c r="D866" s="1270" t="s">
        <v>1757</v>
      </c>
      <c r="E866" s="1270"/>
      <c r="F866" s="1270"/>
      <c r="G866" s="3"/>
      <c r="I866" s="490" t="s">
        <v>1855</v>
      </c>
    </row>
    <row r="867" spans="1:9" ht="12.75" customHeight="1">
      <c r="A867" s="175"/>
      <c r="B867" s="175"/>
      <c r="C867" s="984"/>
      <c r="D867" s="1270" t="s">
        <v>1758</v>
      </c>
      <c r="E867" s="1270"/>
      <c r="F867" s="1270"/>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2715</v>
      </c>
      <c r="C870" s="984"/>
      <c r="D870" s="1270" t="s">
        <v>1759</v>
      </c>
      <c r="E870" s="1270"/>
      <c r="F870" s="1270"/>
      <c r="G870" s="3"/>
      <c r="I870" s="490" t="s">
        <v>1858</v>
      </c>
    </row>
    <row r="871" spans="1:9" ht="12.75" customHeight="1">
      <c r="A871" s="175"/>
      <c r="B871" s="175"/>
      <c r="C871" s="984"/>
      <c r="D871" s="1270"/>
      <c r="E871" s="1270"/>
      <c r="F871" s="1270"/>
      <c r="G871" s="3"/>
      <c r="I871" s="490"/>
    </row>
    <row r="872" spans="1:9" ht="12.75" customHeight="1">
      <c r="A872" s="175"/>
      <c r="B872" s="175"/>
      <c r="C872" s="984"/>
      <c r="D872" s="1270"/>
      <c r="E872" s="1270"/>
      <c r="F872" s="1270"/>
      <c r="G872" s="3"/>
      <c r="I872" s="490"/>
    </row>
    <row r="873" spans="1:9" ht="12.75" customHeight="1">
      <c r="A873" s="175"/>
      <c r="B873" s="175"/>
      <c r="C873" s="984"/>
      <c r="D873" s="1270"/>
      <c r="E873" s="1270"/>
      <c r="F873" s="1270"/>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7" t="s">
        <v>1793</v>
      </c>
      <c r="E877" s="1297"/>
      <c r="F877" s="1297"/>
      <c r="G877" s="983"/>
      <c r="I877" s="490"/>
    </row>
    <row r="878" spans="1:9" ht="12.75" customHeight="1">
      <c r="A878" s="354"/>
      <c r="B878" s="354"/>
      <c r="C878" s="174"/>
      <c r="D878" s="1315" t="s">
        <v>1761</v>
      </c>
      <c r="E878" s="1315"/>
      <c r="F878" s="1315"/>
      <c r="G878" s="983"/>
      <c r="I878" s="490"/>
    </row>
    <row r="879" spans="1:9" ht="12.75" customHeight="1">
      <c r="A879" s="354"/>
      <c r="B879" s="354"/>
      <c r="C879" s="174"/>
      <c r="D879" s="990"/>
      <c r="E879" s="990"/>
      <c r="F879" s="990"/>
      <c r="G879" s="983"/>
      <c r="I879" s="490"/>
    </row>
    <row r="880" spans="1:9" ht="12.75" customHeight="1">
      <c r="A880" s="175"/>
      <c r="B880" s="485" t="s">
        <v>2714</v>
      </c>
      <c r="C880" s="354"/>
      <c r="D880" s="1298" t="s">
        <v>1762</v>
      </c>
      <c r="E880" s="1298"/>
      <c r="F880" s="1298"/>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2714</v>
      </c>
      <c r="C883" s="354"/>
      <c r="D883" s="1270" t="s">
        <v>1763</v>
      </c>
      <c r="E883" s="1322"/>
      <c r="F883" s="1322"/>
      <c r="G883" s="3"/>
      <c r="I883" s="490" t="s">
        <v>1858</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2715</v>
      </c>
      <c r="C886" s="354"/>
      <c r="D886" s="1323" t="s">
        <v>1764</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0" t="s">
        <v>2028</v>
      </c>
      <c r="E888" s="1270"/>
      <c r="F888" s="1270"/>
      <c r="G888" s="983"/>
      <c r="I888" s="490"/>
    </row>
    <row r="889" spans="1:9" ht="12.75" customHeight="1">
      <c r="A889" s="175"/>
      <c r="B889" s="175"/>
      <c r="C889" s="354"/>
      <c r="D889" s="1270"/>
      <c r="E889" s="1270"/>
      <c r="F889" s="1270"/>
      <c r="G889" s="983"/>
      <c r="I889" s="490"/>
    </row>
    <row r="890" spans="1:9" ht="12.75" customHeight="1">
      <c r="A890" s="175"/>
      <c r="B890" s="175"/>
      <c r="C890" s="354"/>
      <c r="D890" s="1270"/>
      <c r="E890" s="1270"/>
      <c r="F890" s="1270"/>
      <c r="G890" s="983"/>
      <c r="I890" s="490"/>
    </row>
    <row r="891" spans="1:9" ht="12.75" customHeight="1">
      <c r="A891" s="175"/>
      <c r="B891" s="175"/>
      <c r="C891" s="354"/>
      <c r="D891" s="1270"/>
      <c r="E891" s="1270"/>
      <c r="F891" s="1270"/>
      <c r="G891" s="983"/>
      <c r="I891" s="490"/>
    </row>
    <row r="892" spans="1:9" ht="12.75" customHeight="1">
      <c r="A892" s="175"/>
      <c r="B892" s="175"/>
      <c r="C892" s="354"/>
      <c r="D892" s="1270"/>
      <c r="E892" s="1270"/>
      <c r="F892" s="1270"/>
      <c r="G892" s="983"/>
      <c r="I892" s="490"/>
    </row>
    <row r="893" spans="1:9" ht="12.75" customHeight="1">
      <c r="A893" s="175"/>
      <c r="B893" s="175"/>
      <c r="C893" s="354"/>
      <c r="D893" s="1270"/>
      <c r="E893" s="1270"/>
      <c r="F893" s="1270"/>
      <c r="G893" s="983"/>
      <c r="I893" s="490"/>
    </row>
    <row r="894" spans="1:9" ht="12.75" customHeight="1">
      <c r="A894" s="175"/>
      <c r="B894" s="175"/>
      <c r="C894" s="354"/>
      <c r="D894" s="118"/>
      <c r="E894" s="983"/>
      <c r="F894" s="983"/>
      <c r="G894" s="983"/>
      <c r="I894" s="490"/>
    </row>
    <row r="895" spans="1:9" ht="12.75" customHeight="1">
      <c r="A895" s="175"/>
      <c r="B895" s="485" t="s">
        <v>2715</v>
      </c>
      <c r="C895" s="354"/>
      <c r="D895" s="1289" t="s">
        <v>1757</v>
      </c>
      <c r="E895" s="1289"/>
      <c r="F895" s="1289"/>
      <c r="G895" s="983"/>
      <c r="I895" s="490"/>
    </row>
    <row r="896" spans="1:9" ht="12.75" customHeight="1">
      <c r="A896" s="175"/>
      <c r="B896" s="175"/>
      <c r="C896" s="354"/>
      <c r="D896" s="1289" t="s">
        <v>1758</v>
      </c>
      <c r="E896" s="1289"/>
      <c r="F896" s="1289"/>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2715</v>
      </c>
      <c r="C899" s="354"/>
      <c r="D899" s="1270" t="s">
        <v>1759</v>
      </c>
      <c r="E899" s="1270"/>
      <c r="F899" s="1270"/>
      <c r="G899" s="983"/>
      <c r="I899" s="490"/>
    </row>
    <row r="900" spans="1:9" ht="12.75" customHeight="1">
      <c r="A900" s="175"/>
      <c r="B900" s="175"/>
      <c r="C900" s="354"/>
      <c r="D900" s="1270"/>
      <c r="E900" s="1270"/>
      <c r="F900" s="1270"/>
      <c r="G900" s="983"/>
      <c r="I900" s="490"/>
    </row>
    <row r="901" spans="1:9" ht="12.75" customHeight="1">
      <c r="A901" s="175"/>
      <c r="B901" s="175"/>
      <c r="C901" s="354"/>
      <c r="D901" s="1270"/>
      <c r="E901" s="1270"/>
      <c r="F901" s="1270"/>
      <c r="G901" s="983"/>
      <c r="I901" s="490"/>
    </row>
    <row r="902" spans="1:9" ht="12.75" customHeight="1">
      <c r="A902" s="175"/>
      <c r="B902" s="175"/>
      <c r="C902" s="354"/>
      <c r="D902" s="1270"/>
      <c r="E902" s="1270"/>
      <c r="F902" s="1270"/>
      <c r="G902" s="983"/>
      <c r="I902" s="490"/>
    </row>
    <row r="903" spans="1:9" ht="12.75" customHeight="1">
      <c r="A903" s="118"/>
      <c r="B903" s="118"/>
      <c r="C903" s="984"/>
      <c r="D903" s="983"/>
      <c r="E903" s="983"/>
      <c r="F903" s="983"/>
      <c r="G903" s="983"/>
      <c r="I903" s="490"/>
    </row>
    <row r="904" spans="1:9" ht="12.75" customHeight="1">
      <c r="A904" s="1294" t="s">
        <v>1794</v>
      </c>
      <c r="B904" s="1294"/>
      <c r="C904" s="1294"/>
      <c r="D904" s="1294"/>
      <c r="E904" s="1294"/>
      <c r="F904" s="1294"/>
      <c r="G904" s="1294"/>
      <c r="H904" s="1023"/>
      <c r="I904" s="1147"/>
    </row>
    <row r="905" spans="1:9" ht="12.75" customHeight="1">
      <c r="A905" s="57"/>
      <c r="B905" s="57"/>
      <c r="C905" s="57"/>
      <c r="D905" s="57"/>
      <c r="E905" s="57"/>
      <c r="F905" s="57"/>
      <c r="G905" s="57"/>
      <c r="I905" s="490"/>
    </row>
    <row r="906" spans="1:9" ht="12.75" customHeight="1">
      <c r="A906" s="57"/>
      <c r="B906" s="57"/>
      <c r="C906" s="57"/>
      <c r="D906" s="1292" t="s">
        <v>1800</v>
      </c>
      <c r="E906" s="1292"/>
      <c r="F906" s="1292"/>
      <c r="G906" s="57"/>
      <c r="I906" s="490"/>
    </row>
    <row r="907" spans="1:9" ht="12.75" customHeight="1">
      <c r="A907" s="57"/>
      <c r="B907" s="57"/>
      <c r="C907" s="57"/>
      <c r="D907" s="976"/>
      <c r="E907" s="976"/>
      <c r="F907" s="976"/>
      <c r="G907" s="57"/>
      <c r="I907" s="490"/>
    </row>
    <row r="908" spans="1:9" ht="12.75" customHeight="1">
      <c r="A908" s="57"/>
      <c r="B908" s="485" t="s">
        <v>2714</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2" t="s">
        <v>1795</v>
      </c>
      <c r="E910" s="1292"/>
      <c r="F910" s="1292"/>
      <c r="G910" s="983"/>
      <c r="I910" s="490"/>
    </row>
    <row r="911" spans="1:9" ht="12.75" customHeight="1">
      <c r="A911" s="172"/>
      <c r="B911" s="172"/>
      <c r="C911" s="172"/>
      <c r="D911" s="1298" t="s">
        <v>1765</v>
      </c>
      <c r="E911" s="1298"/>
      <c r="F911" s="1298"/>
      <c r="G911" s="983"/>
      <c r="I911" s="490"/>
    </row>
    <row r="912" spans="1:9" ht="12.75" customHeight="1">
      <c r="A912" s="984"/>
      <c r="B912" s="984"/>
      <c r="C912" s="984"/>
      <c r="D912" s="2"/>
      <c r="E912" s="983"/>
      <c r="F912" s="983"/>
      <c r="G912" s="983"/>
      <c r="I912" s="490"/>
    </row>
    <row r="913" spans="1:9" ht="12.75" customHeight="1">
      <c r="A913" s="175"/>
      <c r="B913" s="485" t="s">
        <v>2715</v>
      </c>
      <c r="C913" s="354"/>
      <c r="D913" s="1270" t="s">
        <v>1769</v>
      </c>
      <c r="E913" s="1270"/>
      <c r="F913" s="1270"/>
      <c r="G913" s="3"/>
      <c r="I913" s="490"/>
    </row>
    <row r="914" spans="1:9" ht="12.75" customHeight="1">
      <c r="A914" s="354"/>
      <c r="B914" s="354"/>
      <c r="C914" s="354"/>
      <c r="D914" s="1270"/>
      <c r="E914" s="1270"/>
      <c r="F914" s="1270"/>
      <c r="G914" s="3"/>
      <c r="I914" s="490"/>
    </row>
    <row r="915" spans="1:9" ht="12.75" customHeight="1">
      <c r="A915" s="172"/>
      <c r="B915" s="172"/>
      <c r="C915" s="172"/>
      <c r="D915" s="1270" t="s">
        <v>1768</v>
      </c>
      <c r="E915" s="1270"/>
      <c r="F915" s="1270"/>
      <c r="G915" s="983"/>
      <c r="I915" s="490"/>
    </row>
    <row r="916" spans="1:9" ht="12.75" customHeight="1">
      <c r="A916" s="172"/>
      <c r="B916" s="172"/>
      <c r="C916" s="172"/>
      <c r="D916" s="1270"/>
      <c r="E916" s="1270"/>
      <c r="F916" s="1270"/>
      <c r="G916" s="983"/>
      <c r="I916" s="490"/>
    </row>
    <row r="917" spans="1:9" ht="12.75" customHeight="1">
      <c r="A917" s="172"/>
      <c r="B917" s="172"/>
      <c r="C917" s="172"/>
      <c r="D917" s="3"/>
      <c r="E917" s="3"/>
      <c r="F917" s="983"/>
      <c r="G917" s="983"/>
      <c r="I917" s="490"/>
    </row>
    <row r="918" spans="1:9" ht="12.75" customHeight="1">
      <c r="A918" s="175"/>
      <c r="B918" s="485" t="s">
        <v>2714</v>
      </c>
      <c r="C918" s="174"/>
      <c r="D918" s="1281" t="s">
        <v>1766</v>
      </c>
      <c r="E918" s="1281"/>
      <c r="F918" s="1281"/>
      <c r="G918" s="983"/>
      <c r="I918" s="490"/>
    </row>
    <row r="919" spans="1:9" ht="12.75" customHeight="1">
      <c r="A919" s="175"/>
      <c r="B919" s="175"/>
      <c r="C919" s="174"/>
      <c r="D919" s="1281"/>
      <c r="E919" s="1281"/>
      <c r="F919" s="1281"/>
      <c r="G919" s="983"/>
      <c r="I919" s="490"/>
    </row>
    <row r="920" spans="1:9" ht="12.75" customHeight="1">
      <c r="A920" s="175"/>
      <c r="B920" s="175"/>
      <c r="C920" s="174"/>
      <c r="D920" s="1281"/>
      <c r="E920" s="1281"/>
      <c r="F920" s="1281"/>
      <c r="G920" s="983"/>
      <c r="I920" s="490"/>
    </row>
    <row r="921" spans="1:9" ht="12.75" customHeight="1">
      <c r="A921" s="175"/>
      <c r="B921" s="175"/>
      <c r="C921" s="174"/>
      <c r="D921" s="1281"/>
      <c r="E921" s="1281"/>
      <c r="F921" s="1281"/>
      <c r="G921" s="983"/>
      <c r="I921" s="490"/>
    </row>
    <row r="922" spans="1:9" ht="12.75" customHeight="1">
      <c r="A922" s="175"/>
      <c r="B922" s="175"/>
      <c r="C922" s="174"/>
      <c r="D922" s="1281"/>
      <c r="E922" s="1281"/>
      <c r="F922" s="1281"/>
      <c r="G922" s="983"/>
      <c r="I922" s="490"/>
    </row>
    <row r="923" spans="1:9" ht="12.75" customHeight="1">
      <c r="A923" s="174"/>
      <c r="B923" s="174"/>
      <c r="C923" s="174"/>
      <c r="D923" s="1281"/>
      <c r="E923" s="1281"/>
      <c r="F923" s="1281"/>
      <c r="G923" s="983"/>
      <c r="I923" s="490"/>
    </row>
    <row r="924" spans="1:9" ht="12.75" customHeight="1">
      <c r="A924" s="174"/>
      <c r="B924" s="174"/>
      <c r="C924" s="174"/>
      <c r="D924" s="1281"/>
      <c r="E924" s="1281"/>
      <c r="F924" s="1281"/>
      <c r="G924" s="983"/>
      <c r="I924" s="490"/>
    </row>
    <row r="925" spans="1:9" ht="12.75" customHeight="1">
      <c r="A925" s="174"/>
      <c r="B925" s="174"/>
      <c r="C925" s="174"/>
      <c r="D925" s="1281"/>
      <c r="E925" s="1281"/>
      <c r="F925" s="1281"/>
      <c r="G925" s="983"/>
      <c r="I925" s="490"/>
    </row>
    <row r="926" spans="1:9" ht="12.75" customHeight="1">
      <c r="A926" s="174"/>
      <c r="B926" s="174"/>
      <c r="C926" s="174"/>
      <c r="D926" s="335"/>
      <c r="E926" s="335"/>
      <c r="F926" s="335"/>
      <c r="G926" s="983"/>
      <c r="I926" s="490"/>
    </row>
    <row r="927" spans="1:9" ht="12.75" customHeight="1">
      <c r="A927" s="984"/>
      <c r="B927" s="485" t="s">
        <v>2715</v>
      </c>
      <c r="C927" s="984"/>
      <c r="D927" s="1270" t="s">
        <v>1770</v>
      </c>
      <c r="E927" s="1270"/>
      <c r="F927" s="1270"/>
      <c r="G927" s="983"/>
      <c r="I927" s="490"/>
    </row>
    <row r="928" spans="1:9" ht="12.75" customHeight="1">
      <c r="A928" s="984"/>
      <c r="B928" s="984"/>
      <c r="C928" s="984"/>
      <c r="D928" s="1270"/>
      <c r="E928" s="1270"/>
      <c r="F928" s="1270"/>
      <c r="G928" s="983"/>
      <c r="I928" s="490"/>
    </row>
    <row r="929" spans="1:9" ht="12.75" customHeight="1">
      <c r="A929" s="984"/>
      <c r="B929" s="984"/>
      <c r="C929" s="984"/>
      <c r="D929" s="983"/>
      <c r="E929" s="983"/>
      <c r="F929" s="983"/>
      <c r="G929" s="983"/>
      <c r="I929" s="490"/>
    </row>
    <row r="930" spans="1:9" ht="12.75" customHeight="1">
      <c r="A930" s="984"/>
      <c r="B930" s="485" t="s">
        <v>2715</v>
      </c>
      <c r="C930" s="984"/>
      <c r="D930" s="1296" t="s">
        <v>1771</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2715</v>
      </c>
      <c r="C935" s="984"/>
      <c r="D935" s="1298" t="s">
        <v>2029</v>
      </c>
      <c r="E935" s="1298"/>
      <c r="F935" s="1298"/>
      <c r="G935" s="983"/>
      <c r="I935" s="490"/>
    </row>
    <row r="936" spans="1:9" ht="12.75" customHeight="1">
      <c r="A936" s="984"/>
      <c r="B936" s="984"/>
      <c r="C936" s="984"/>
      <c r="D936" s="118"/>
      <c r="E936" s="983"/>
      <c r="F936" s="983"/>
      <c r="G936" s="983"/>
      <c r="I936" s="490"/>
    </row>
    <row r="937" spans="1:9" ht="12.75" customHeight="1">
      <c r="A937" s="984"/>
      <c r="B937" s="485" t="s">
        <v>2715</v>
      </c>
      <c r="C937" s="984"/>
      <c r="D937" s="1298" t="s">
        <v>2030</v>
      </c>
      <c r="E937" s="1298"/>
      <c r="F937" s="1298"/>
      <c r="G937" s="983"/>
      <c r="I937" s="490"/>
    </row>
    <row r="938" spans="1:9" ht="12.75" customHeight="1">
      <c r="A938" s="174"/>
      <c r="B938" s="174"/>
      <c r="C938" s="174"/>
      <c r="D938" s="2"/>
      <c r="E938" s="3"/>
      <c r="F938" s="983"/>
      <c r="G938" s="983"/>
      <c r="I938" s="490"/>
    </row>
    <row r="939" spans="1:9" ht="12.75" customHeight="1">
      <c r="A939" s="992"/>
      <c r="B939" s="485" t="s">
        <v>2714</v>
      </c>
      <c r="C939" s="993"/>
      <c r="D939" s="1281" t="s">
        <v>1767</v>
      </c>
      <c r="E939" s="1281"/>
      <c r="F939" s="1281"/>
      <c r="G939" s="994"/>
      <c r="I939" s="490"/>
    </row>
    <row r="940" spans="1:9" ht="12.75" customHeight="1">
      <c r="A940" s="992"/>
      <c r="B940" s="992"/>
      <c r="C940" s="993"/>
      <c r="D940" s="1281"/>
      <c r="E940" s="1281"/>
      <c r="F940" s="1281"/>
      <c r="G940" s="994"/>
      <c r="I940" s="490"/>
    </row>
    <row r="941" spans="1:9" ht="12.75" customHeight="1">
      <c r="A941" s="992"/>
      <c r="B941" s="992"/>
      <c r="C941" s="993"/>
      <c r="D941" s="1281"/>
      <c r="E941" s="1281"/>
      <c r="F941" s="1281"/>
      <c r="G941" s="994"/>
      <c r="I941" s="490"/>
    </row>
    <row r="942" spans="1:9" ht="12.75" customHeight="1">
      <c r="A942" s="992"/>
      <c r="B942" s="992"/>
      <c r="C942" s="993"/>
      <c r="D942" s="1281"/>
      <c r="E942" s="1281"/>
      <c r="F942" s="1281"/>
      <c r="G942" s="994"/>
      <c r="I942" s="490"/>
    </row>
    <row r="943" spans="1:9" ht="12.75" customHeight="1">
      <c r="A943" s="992"/>
      <c r="B943" s="992"/>
      <c r="C943" s="993"/>
      <c r="D943" s="1281"/>
      <c r="E943" s="1281"/>
      <c r="F943" s="1281"/>
      <c r="G943" s="994"/>
      <c r="I943" s="490"/>
    </row>
    <row r="944" spans="1:9" ht="12.75" customHeight="1">
      <c r="A944" s="992"/>
      <c r="B944" s="992"/>
      <c r="C944" s="993"/>
      <c r="D944" s="1281"/>
      <c r="E944" s="1281"/>
      <c r="F944" s="1281"/>
      <c r="G944" s="994"/>
      <c r="I944" s="490"/>
    </row>
    <row r="945" spans="1:9" ht="12.75" customHeight="1">
      <c r="A945" s="992"/>
      <c r="B945" s="992"/>
      <c r="C945" s="993"/>
      <c r="D945" s="1281"/>
      <c r="E945" s="1281"/>
      <c r="F945" s="1281"/>
      <c r="G945" s="994"/>
      <c r="I945" s="490"/>
    </row>
    <row r="946" spans="1:9" ht="12.75" customHeight="1">
      <c r="A946" s="992"/>
      <c r="B946" s="992"/>
      <c r="C946" s="993"/>
      <c r="D946" s="1281"/>
      <c r="E946" s="1281"/>
      <c r="F946" s="1281"/>
      <c r="G946" s="994"/>
      <c r="I946" s="490"/>
    </row>
    <row r="947" spans="1:9" ht="12.75" customHeight="1">
      <c r="A947" s="992"/>
      <c r="B947" s="992"/>
      <c r="C947" s="993"/>
      <c r="D947" s="1281"/>
      <c r="E947" s="1281"/>
      <c r="F947" s="1281"/>
      <c r="G947" s="994"/>
      <c r="I947" s="490"/>
    </row>
    <row r="948" spans="1:9" ht="12.75" customHeight="1">
      <c r="A948" s="174"/>
      <c r="B948" s="174"/>
      <c r="C948" s="174"/>
      <c r="D948" s="2"/>
      <c r="E948" s="3"/>
      <c r="F948" s="983"/>
      <c r="G948" s="983"/>
      <c r="I948" s="490"/>
    </row>
    <row r="949" spans="1:9" ht="12.75" customHeight="1">
      <c r="A949" s="175"/>
      <c r="B949" s="485" t="s">
        <v>2714</v>
      </c>
      <c r="C949" s="174"/>
      <c r="D949" s="1306" t="s">
        <v>1861</v>
      </c>
      <c r="E949" s="1306"/>
      <c r="F949" s="1306"/>
      <c r="G949" s="983"/>
      <c r="I949" s="490"/>
    </row>
    <row r="950" spans="1:9" ht="12.75" customHeight="1">
      <c r="A950" s="175"/>
      <c r="B950" s="175"/>
      <c r="C950" s="174"/>
      <c r="D950" s="1306"/>
      <c r="E950" s="1306"/>
      <c r="F950" s="1306"/>
      <c r="G950" s="983"/>
      <c r="I950" s="490"/>
    </row>
    <row r="951" spans="1:9" ht="12.75" customHeight="1">
      <c r="A951" s="175"/>
      <c r="B951" s="175"/>
      <c r="C951" s="174"/>
      <c r="D951" s="1306"/>
      <c r="E951" s="1306"/>
      <c r="F951" s="1306"/>
      <c r="G951" s="983"/>
      <c r="I951" s="490"/>
    </row>
    <row r="952" spans="1:9" ht="12.75" customHeight="1">
      <c r="A952" s="175"/>
      <c r="B952" s="175"/>
      <c r="C952" s="174"/>
      <c r="D952" s="1306"/>
      <c r="E952" s="1306"/>
      <c r="F952" s="1306"/>
      <c r="G952" s="983"/>
      <c r="I952" s="490"/>
    </row>
    <row r="953" spans="1:9" ht="12.75" customHeight="1">
      <c r="A953" s="175"/>
      <c r="B953" s="175"/>
      <c r="C953" s="174"/>
      <c r="D953" s="1306"/>
      <c r="E953" s="1306"/>
      <c r="F953" s="1306"/>
      <c r="G953" s="983"/>
      <c r="I953" s="490"/>
    </row>
    <row r="954" spans="1:9" ht="12.75" customHeight="1">
      <c r="A954" s="175"/>
      <c r="B954" s="175"/>
      <c r="C954" s="174"/>
      <c r="D954" s="1306"/>
      <c r="E954" s="1306"/>
      <c r="F954" s="1306"/>
      <c r="G954" s="983"/>
      <c r="I954" s="490"/>
    </row>
    <row r="955" spans="1:9" ht="12.75" customHeight="1">
      <c r="A955" s="175"/>
      <c r="B955" s="175"/>
      <c r="C955" s="174"/>
      <c r="D955" s="1306"/>
      <c r="E955" s="1306"/>
      <c r="F955" s="1306"/>
      <c r="G955" s="983"/>
      <c r="I955" s="490"/>
    </row>
    <row r="956" spans="1:9" ht="12.75" customHeight="1">
      <c r="A956" s="175"/>
      <c r="B956" s="175"/>
      <c r="C956" s="174"/>
      <c r="D956" s="1021"/>
      <c r="E956" s="1021"/>
      <c r="F956" s="1021"/>
      <c r="G956" s="983"/>
      <c r="I956" s="490"/>
    </row>
    <row r="957" spans="1:9" ht="12.75" customHeight="1">
      <c r="A957" s="175"/>
      <c r="B957" s="485" t="s">
        <v>2715</v>
      </c>
      <c r="C957" s="174"/>
      <c r="D957" s="1280" t="s">
        <v>2094</v>
      </c>
      <c r="E957" s="1280"/>
      <c r="F957" s="1280"/>
      <c r="G957" s="983"/>
      <c r="I957" s="490"/>
    </row>
    <row r="958" spans="1:9" ht="12.75" customHeight="1">
      <c r="A958" s="175"/>
      <c r="B958" s="175"/>
      <c r="C958" s="174"/>
      <c r="D958" s="1280"/>
      <c r="E958" s="1280"/>
      <c r="F958" s="1280"/>
      <c r="G958" s="983"/>
      <c r="I958" s="490"/>
    </row>
    <row r="959" spans="1:9" ht="12.75" customHeight="1">
      <c r="A959" s="175"/>
      <c r="B959" s="175"/>
      <c r="C959" s="174"/>
      <c r="D959" s="1280"/>
      <c r="E959" s="1280"/>
      <c r="F959" s="1280"/>
      <c r="G959" s="983"/>
      <c r="I959" s="490"/>
    </row>
    <row r="960" spans="1:9" ht="12.75" customHeight="1">
      <c r="A960" s="175"/>
      <c r="B960" s="175"/>
      <c r="C960" s="174"/>
      <c r="D960" s="1280"/>
      <c r="E960" s="1280"/>
      <c r="F960" s="1280"/>
      <c r="G960" s="983"/>
      <c r="I960" s="490"/>
    </row>
    <row r="961" spans="1:9" ht="12.75" customHeight="1">
      <c r="A961" s="175"/>
      <c r="B961" s="175"/>
      <c r="C961" s="174"/>
      <c r="D961" s="1280"/>
      <c r="E961" s="1280"/>
      <c r="F961" s="1280"/>
      <c r="G961" s="983"/>
      <c r="I961" s="490"/>
    </row>
    <row r="962" spans="1:9" ht="12.75" customHeight="1">
      <c r="A962" s="175"/>
      <c r="B962" s="175"/>
      <c r="C962" s="174"/>
      <c r="D962" s="1280"/>
      <c r="E962" s="1280"/>
      <c r="F962" s="1280"/>
      <c r="G962" s="983"/>
      <c r="I962" s="490"/>
    </row>
    <row r="963" spans="1:9" ht="12.75" customHeight="1">
      <c r="A963" s="175"/>
      <c r="B963" s="175"/>
      <c r="C963" s="174"/>
      <c r="D963" s="1021"/>
      <c r="E963" s="1021"/>
      <c r="F963" s="1021"/>
      <c r="G963" s="983"/>
      <c r="I963" s="490"/>
    </row>
    <row r="964" spans="1:9" ht="12.75" customHeight="1">
      <c r="A964" s="984"/>
      <c r="B964" s="485" t="s">
        <v>2715</v>
      </c>
      <c r="C964" s="984"/>
      <c r="D964" s="1296" t="s">
        <v>1772</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2715</v>
      </c>
      <c r="C969" s="174"/>
      <c r="D969" s="1281" t="s">
        <v>1860</v>
      </c>
      <c r="E969" s="1281"/>
      <c r="F969" s="1281"/>
      <c r="G969" s="983"/>
      <c r="I969" s="490"/>
    </row>
    <row r="970" spans="1:9" ht="12.75" customHeight="1">
      <c r="A970" s="175"/>
      <c r="B970" s="175"/>
      <c r="C970" s="174"/>
      <c r="D970" s="1281"/>
      <c r="E970" s="1281"/>
      <c r="F970" s="1281"/>
      <c r="G970" s="983"/>
      <c r="I970" s="490"/>
    </row>
    <row r="971" spans="1:9" ht="12.75" customHeight="1">
      <c r="A971" s="175"/>
      <c r="B971" s="175"/>
      <c r="C971" s="174"/>
      <c r="D971" s="1281"/>
      <c r="E971" s="1281"/>
      <c r="F971" s="1281"/>
      <c r="G971" s="983"/>
      <c r="I971" s="490"/>
    </row>
    <row r="972" spans="1:9" ht="12.75" customHeight="1">
      <c r="A972" s="175"/>
      <c r="B972" s="175"/>
      <c r="C972" s="174"/>
      <c r="D972" s="1281"/>
      <c r="E972" s="1281"/>
      <c r="F972" s="1281"/>
      <c r="G972" s="983"/>
      <c r="I972" s="490"/>
    </row>
    <row r="973" spans="1:9" ht="12.75" customHeight="1">
      <c r="A973" s="984"/>
      <c r="B973" s="984"/>
      <c r="C973" s="984"/>
      <c r="D973" s="975"/>
      <c r="E973" s="975"/>
      <c r="F973" s="975"/>
      <c r="G973" s="975"/>
      <c r="I973" s="490"/>
    </row>
    <row r="974" spans="1:9" ht="12.75" customHeight="1">
      <c r="A974" s="354"/>
      <c r="B974" s="354"/>
      <c r="C974" s="354"/>
      <c r="D974" s="1297" t="s">
        <v>1773</v>
      </c>
      <c r="E974" s="1297"/>
      <c r="F974" s="1297"/>
      <c r="G974" s="3"/>
      <c r="I974" s="490"/>
    </row>
    <row r="975" spans="1:9" ht="12.75" customHeight="1">
      <c r="A975" s="175"/>
      <c r="B975" s="485" t="s">
        <v>2715</v>
      </c>
      <c r="C975" s="354"/>
      <c r="D975" s="1298" t="s">
        <v>1796</v>
      </c>
      <c r="E975" s="1298"/>
      <c r="F975" s="1298"/>
      <c r="G975" s="3"/>
      <c r="I975" s="490"/>
    </row>
    <row r="976" spans="1:9" ht="12.75" customHeight="1">
      <c r="A976" s="354"/>
      <c r="B976" s="354"/>
      <c r="C976" s="354"/>
      <c r="D976" s="3"/>
      <c r="E976" s="3"/>
      <c r="F976" s="3"/>
      <c r="G976" s="3"/>
      <c r="I976" s="490"/>
    </row>
    <row r="977" spans="1:9" ht="12.75" customHeight="1">
      <c r="A977" s="354"/>
      <c r="B977" s="354"/>
      <c r="C977" s="354"/>
      <c r="D977" s="1297" t="s">
        <v>1774</v>
      </c>
      <c r="E977" s="1297"/>
      <c r="F977" s="1297"/>
      <c r="G977"/>
      <c r="I977" s="490"/>
    </row>
    <row r="978" spans="1:9" ht="12.75" customHeight="1">
      <c r="A978" s="175"/>
      <c r="B978" s="485" t="s">
        <v>2715</v>
      </c>
      <c r="C978" s="354"/>
      <c r="D978" s="1270" t="s">
        <v>2031</v>
      </c>
      <c r="E978" s="1270"/>
      <c r="F978" s="1270"/>
      <c r="G978"/>
      <c r="I978" s="490"/>
    </row>
    <row r="979" spans="1:9" ht="12.75" customHeight="1">
      <c r="A979" s="175"/>
      <c r="B979" s="175"/>
      <c r="C979" s="354"/>
      <c r="D979" s="1270"/>
      <c r="E979" s="1270"/>
      <c r="F979" s="1270"/>
      <c r="G979"/>
      <c r="I979" s="490"/>
    </row>
    <row r="980" spans="1:9" ht="12.75" customHeight="1">
      <c r="A980" s="175"/>
      <c r="B980" s="175"/>
      <c r="C980" s="354"/>
      <c r="D980" s="1270"/>
      <c r="E980" s="1270"/>
      <c r="F980" s="1270"/>
      <c r="G980"/>
      <c r="I980" s="490"/>
    </row>
    <row r="981" spans="1:9" ht="12.75" customHeight="1">
      <c r="A981" s="175"/>
      <c r="B981" s="175"/>
      <c r="C981" s="354"/>
      <c r="D981" s="1270"/>
      <c r="E981" s="1270"/>
      <c r="F981" s="1270"/>
      <c r="G981"/>
      <c r="I981" s="490"/>
    </row>
    <row r="982" spans="1:9" ht="12.75" customHeight="1">
      <c r="A982" s="175"/>
      <c r="B982" s="175"/>
      <c r="C982" s="354"/>
      <c r="D982" s="1270"/>
      <c r="E982" s="1270"/>
      <c r="F982" s="1270"/>
      <c r="G982"/>
      <c r="I982" s="490"/>
    </row>
    <row r="983" spans="1:9" ht="12.75" customHeight="1">
      <c r="A983" s="175"/>
      <c r="B983" s="175"/>
      <c r="C983" s="354"/>
      <c r="D983" s="1270"/>
      <c r="E983" s="1270"/>
      <c r="F983" s="1270"/>
      <c r="G983"/>
      <c r="I983" s="490"/>
    </row>
    <row r="984" spans="1:9" ht="12.75" customHeight="1">
      <c r="A984" s="175"/>
      <c r="B984" s="175"/>
      <c r="C984" s="354"/>
      <c r="D984" s="1270"/>
      <c r="E984" s="1270"/>
      <c r="F984" s="1270"/>
      <c r="G984"/>
      <c r="I984" s="490"/>
    </row>
    <row r="985" spans="1:9" ht="12.75" customHeight="1">
      <c r="A985" s="175"/>
      <c r="B985" s="175"/>
      <c r="C985" s="354"/>
      <c r="D985" s="1270"/>
      <c r="E985" s="1270"/>
      <c r="F985" s="1270"/>
      <c r="G985"/>
      <c r="I985" s="490"/>
    </row>
    <row r="986" spans="1:9" ht="12.75" customHeight="1">
      <c r="A986" s="175"/>
      <c r="B986" s="175"/>
      <c r="C986" s="354"/>
      <c r="D986" s="1270"/>
      <c r="E986" s="1270"/>
      <c r="F986" s="1270"/>
      <c r="G986"/>
      <c r="I986" s="490"/>
    </row>
    <row r="987" spans="1:9" ht="12.75" customHeight="1">
      <c r="A987" s="175"/>
      <c r="B987" s="175"/>
      <c r="C987" s="354"/>
      <c r="D987" s="1270"/>
      <c r="E987" s="1270"/>
      <c r="F987" s="1270"/>
      <c r="G987"/>
      <c r="I987" s="490"/>
    </row>
    <row r="988" spans="1:9" ht="12.75" customHeight="1">
      <c r="A988" s="175"/>
      <c r="B988" s="175"/>
      <c r="C988" s="354"/>
      <c r="D988" s="1270"/>
      <c r="E988" s="1270"/>
      <c r="F988" s="1270"/>
      <c r="G988"/>
      <c r="I988" s="490"/>
    </row>
    <row r="989" spans="1:9" ht="12.75" customHeight="1">
      <c r="A989" s="175"/>
      <c r="B989" s="175"/>
      <c r="C989" s="354"/>
      <c r="D989" s="1270"/>
      <c r="E989" s="1270"/>
      <c r="F989" s="1270"/>
      <c r="G989"/>
      <c r="I989" s="490"/>
    </row>
    <row r="990" spans="1:9" ht="12.75" customHeight="1">
      <c r="A990" s="175"/>
      <c r="B990" s="175"/>
      <c r="C990" s="354"/>
      <c r="D990" s="1270"/>
      <c r="E990" s="1270"/>
      <c r="F990" s="1270"/>
      <c r="G990"/>
      <c r="I990" s="490"/>
    </row>
    <row r="991" spans="1:9" ht="12.75" customHeight="1">
      <c r="A991" s="175"/>
      <c r="B991" s="175"/>
      <c r="C991" s="354"/>
      <c r="D991" s="1270"/>
      <c r="E991" s="1270"/>
      <c r="F991" s="1270"/>
      <c r="G991"/>
      <c r="I991" s="490"/>
    </row>
    <row r="992" spans="1:9" ht="12.75" customHeight="1">
      <c r="A992" s="175"/>
      <c r="B992" s="175"/>
      <c r="C992" s="354"/>
      <c r="D992" s="1270"/>
      <c r="E992" s="1270"/>
      <c r="F992" s="1270"/>
      <c r="G992" s="3"/>
      <c r="I992" s="490"/>
    </row>
    <row r="993" spans="1:9" ht="12.75" customHeight="1">
      <c r="A993" s="354"/>
      <c r="B993" s="354"/>
      <c r="C993" s="354"/>
      <c r="D993" s="3"/>
      <c r="E993" s="3"/>
      <c r="F993" s="3"/>
      <c r="G993" s="3"/>
      <c r="I993" s="490"/>
    </row>
    <row r="994" spans="1:9" ht="12.75" customHeight="1">
      <c r="A994" s="1294" t="s">
        <v>1775</v>
      </c>
      <c r="B994" s="1294"/>
      <c r="C994" s="1294"/>
      <c r="D994" s="1294"/>
      <c r="E994" s="1294"/>
      <c r="F994" s="1294"/>
      <c r="G994" s="1294"/>
      <c r="H994" s="1023"/>
      <c r="I994" s="1147"/>
    </row>
    <row r="995" spans="1:9" ht="12.75" customHeight="1">
      <c r="A995" s="118"/>
      <c r="B995" s="118"/>
      <c r="C995" s="354"/>
      <c r="D995" s="3"/>
      <c r="E995" s="3"/>
      <c r="F995" s="3"/>
      <c r="G995" s="3"/>
      <c r="I995" s="490"/>
    </row>
    <row r="996" spans="1:9" ht="12.75" customHeight="1">
      <c r="A996" s="354"/>
      <c r="B996" s="354"/>
      <c r="C996" s="984"/>
      <c r="D996" s="1297" t="s">
        <v>1797</v>
      </c>
      <c r="E996" s="1297"/>
      <c r="F996" s="1297"/>
      <c r="G996" s="3"/>
      <c r="I996" s="490"/>
    </row>
    <row r="997" spans="1:9" ht="12.75" customHeight="1">
      <c r="A997" s="172"/>
      <c r="B997" s="172"/>
      <c r="C997" s="172"/>
      <c r="D997" s="1298" t="s">
        <v>1776</v>
      </c>
      <c r="E997" s="1298"/>
      <c r="F997" s="1298"/>
      <c r="G997" s="3"/>
      <c r="I997" s="490"/>
    </row>
    <row r="998" spans="1:9" ht="12.75" customHeight="1">
      <c r="A998" s="172"/>
      <c r="B998" s="172"/>
      <c r="C998" s="172"/>
      <c r="D998" s="3"/>
      <c r="E998" s="3"/>
      <c r="F998" s="983"/>
      <c r="G998"/>
      <c r="I998" s="490"/>
    </row>
    <row r="999" spans="1:9" ht="12.75" customHeight="1">
      <c r="A999" s="354"/>
      <c r="B999" s="485" t="s">
        <v>2714</v>
      </c>
      <c r="C999" s="354"/>
      <c r="D999" s="1299" t="s">
        <v>1889</v>
      </c>
      <c r="E999" s="1299"/>
      <c r="F999" s="1299"/>
      <c r="G999"/>
      <c r="I999" s="490"/>
    </row>
    <row r="1000" spans="1:9" ht="12.75" customHeight="1">
      <c r="A1000" s="354"/>
      <c r="B1000" s="354"/>
      <c r="C1000" s="354"/>
      <c r="D1000" s="1299"/>
      <c r="E1000" s="1299"/>
      <c r="F1000" s="1299"/>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5" t="s">
        <v>1888</v>
      </c>
      <c r="E1002" s="1275"/>
      <c r="F1002" s="1275"/>
      <c r="G1002"/>
      <c r="I1002" s="490"/>
    </row>
    <row r="1003" spans="1:9" ht="12.75" customHeight="1">
      <c r="A1003" s="354"/>
      <c r="B1003" s="354"/>
      <c r="C1003" s="354"/>
      <c r="D1003" s="1275"/>
      <c r="E1003" s="1275"/>
      <c r="F1003" s="1275"/>
      <c r="G1003"/>
      <c r="I1003" s="490"/>
    </row>
    <row r="1004" spans="1:9" ht="12.75" customHeight="1">
      <c r="A1004" s="174"/>
      <c r="B1004" s="174"/>
      <c r="C1004" s="174"/>
      <c r="D1004" s="1275"/>
      <c r="E1004" s="1275"/>
      <c r="F1004" s="1275"/>
      <c r="G1004"/>
      <c r="I1004" s="490"/>
    </row>
    <row r="1005" spans="1:9" ht="12.75" customHeight="1">
      <c r="A1005" s="174"/>
      <c r="B1005" s="174"/>
      <c r="C1005" s="174"/>
      <c r="D1005" s="1275"/>
      <c r="E1005" s="1275"/>
      <c r="F1005" s="1275"/>
      <c r="G1005"/>
      <c r="I1005" s="490"/>
    </row>
    <row r="1006" spans="1:9" ht="12.75" customHeight="1">
      <c r="A1006" s="174"/>
      <c r="B1006" s="174"/>
      <c r="C1006" s="174"/>
      <c r="D1006" s="335"/>
      <c r="E1006" s="335"/>
      <c r="F1006" s="335"/>
      <c r="G1006"/>
      <c r="I1006" s="490"/>
    </row>
    <row r="1007" spans="1:9" ht="12.75" customHeight="1">
      <c r="A1007" s="174"/>
      <c r="B1007" s="485" t="s">
        <v>2715</v>
      </c>
      <c r="C1007" s="174"/>
      <c r="D1007" s="1270" t="s">
        <v>1777</v>
      </c>
      <c r="E1007" s="1270"/>
      <c r="F1007" s="1270"/>
      <c r="G1007"/>
      <c r="I1007" s="490"/>
    </row>
    <row r="1008" spans="1:9" ht="12.75" customHeight="1">
      <c r="A1008" s="174"/>
      <c r="B1008" s="174"/>
      <c r="C1008" s="174"/>
      <c r="D1008" s="1270"/>
      <c r="E1008" s="1270"/>
      <c r="F1008" s="1270"/>
      <c r="G1008"/>
      <c r="I1008" s="490"/>
    </row>
    <row r="1009" spans="1:9" ht="12.75" customHeight="1">
      <c r="A1009" s="174"/>
      <c r="B1009" s="174"/>
      <c r="C1009" s="174"/>
      <c r="D1009" s="1270"/>
      <c r="E1009" s="1270"/>
      <c r="F1009" s="1270"/>
      <c r="G1009"/>
      <c r="I1009" s="490"/>
    </row>
    <row r="1010" spans="1:9" ht="12.75" customHeight="1">
      <c r="A1010" s="174"/>
      <c r="B1010" s="174"/>
      <c r="C1010" s="174"/>
      <c r="D1010" s="1270"/>
      <c r="E1010" s="1270"/>
      <c r="F1010" s="1270"/>
      <c r="G1010"/>
      <c r="I1010" s="490"/>
    </row>
    <row r="1011" spans="1:9" ht="12.75" customHeight="1">
      <c r="A1011" s="174"/>
      <c r="B1011" s="174"/>
      <c r="C1011" s="174"/>
      <c r="D1011" s="441"/>
      <c r="E1011" s="441"/>
      <c r="F1011" s="441"/>
      <c r="G1011"/>
      <c r="I1011" s="490"/>
    </row>
    <row r="1012" spans="1:9" ht="12.75" customHeight="1">
      <c r="A1012" s="174"/>
      <c r="B1012" s="485" t="s">
        <v>2715</v>
      </c>
      <c r="C1012" s="174"/>
      <c r="D1012" s="1270" t="s">
        <v>2185</v>
      </c>
      <c r="E1012" s="1270"/>
      <c r="F1012" s="1270"/>
      <c r="G1012"/>
      <c r="I1012" s="490"/>
    </row>
    <row r="1013" spans="1:9" ht="12.75" customHeight="1">
      <c r="A1013" s="174"/>
      <c r="B1013" s="174"/>
      <c r="C1013" s="174"/>
      <c r="D1013" s="1270"/>
      <c r="E1013" s="1270"/>
      <c r="F1013" s="1270"/>
      <c r="G1013"/>
      <c r="I1013" s="490"/>
    </row>
    <row r="1014" spans="1:9" ht="12.75" customHeight="1">
      <c r="A1014" s="174"/>
      <c r="B1014" s="174"/>
      <c r="C1014" s="174"/>
      <c r="D1014" s="441"/>
      <c r="E1014" s="441"/>
      <c r="F1014" s="441"/>
      <c r="G1014"/>
      <c r="I1014" s="490"/>
    </row>
    <row r="1015" spans="1:9" ht="12.75" customHeight="1">
      <c r="A1015" s="175"/>
      <c r="B1015" s="485" t="s">
        <v>2714</v>
      </c>
      <c r="C1015" s="354"/>
      <c r="D1015" s="1298" t="s">
        <v>1778</v>
      </c>
      <c r="E1015" s="1298"/>
      <c r="F1015" s="1298"/>
      <c r="G1015"/>
      <c r="I1015" s="490"/>
    </row>
    <row r="1016" spans="1:9" ht="12.75" customHeight="1">
      <c r="A1016" s="354"/>
      <c r="B1016" s="354"/>
      <c r="C1016" s="354"/>
      <c r="D1016" s="3"/>
      <c r="E1016" s="3"/>
      <c r="F1016" s="3"/>
      <c r="G1016"/>
      <c r="I1016" s="490"/>
    </row>
    <row r="1017" spans="1:9" ht="12.75" customHeight="1">
      <c r="A1017" s="175"/>
      <c r="B1017" s="485" t="s">
        <v>2714</v>
      </c>
      <c r="C1017" s="354"/>
      <c r="D1017" s="1298" t="s">
        <v>1779</v>
      </c>
      <c r="E1017" s="1298"/>
      <c r="F1017" s="1298"/>
      <c r="G1017"/>
      <c r="I1017" s="490"/>
    </row>
    <row r="1018" spans="1:9" ht="12.75" customHeight="1">
      <c r="A1018" s="354"/>
      <c r="B1018" s="354"/>
      <c r="C1018" s="354"/>
      <c r="D1018" s="118"/>
      <c r="E1018" s="3"/>
      <c r="F1018" s="3"/>
      <c r="G1018"/>
      <c r="I1018" s="490"/>
    </row>
    <row r="1019" spans="1:9" ht="12.75" customHeight="1">
      <c r="A1019" s="175"/>
      <c r="B1019" s="485" t="s">
        <v>2714</v>
      </c>
      <c r="C1019" s="354"/>
      <c r="D1019" s="1298" t="s">
        <v>1780</v>
      </c>
      <c r="E1019" s="1298"/>
      <c r="F1019" s="1298"/>
      <c r="G1019"/>
      <c r="I1019" s="490"/>
    </row>
    <row r="1020" spans="1:9" ht="12.75" customHeight="1">
      <c r="A1020" s="354"/>
      <c r="B1020" s="354"/>
      <c r="C1020" s="354"/>
      <c r="D1020" s="118"/>
      <c r="E1020" s="3"/>
      <c r="F1020" s="3"/>
      <c r="G1020"/>
      <c r="I1020" s="490"/>
    </row>
    <row r="1021" spans="1:9" ht="12.75" customHeight="1">
      <c r="A1021" s="175"/>
      <c r="B1021" s="485" t="s">
        <v>2715</v>
      </c>
      <c r="C1021" s="354"/>
      <c r="D1021" s="1270" t="s">
        <v>1781</v>
      </c>
      <c r="E1021" s="1270"/>
      <c r="F1021" s="1270"/>
      <c r="G1021"/>
      <c r="I1021" s="490"/>
    </row>
    <row r="1022" spans="1:9" ht="12.75" customHeight="1">
      <c r="A1022" s="175"/>
      <c r="B1022" s="175"/>
      <c r="C1022" s="354"/>
      <c r="D1022" s="1270"/>
      <c r="E1022" s="1270"/>
      <c r="F1022" s="1270"/>
      <c r="G1022"/>
      <c r="I1022" s="490"/>
    </row>
    <row r="1023" spans="1:9" ht="12.75" customHeight="1">
      <c r="A1023" s="175"/>
      <c r="B1023" s="175"/>
      <c r="C1023" s="354"/>
      <c r="D1023" s="118"/>
      <c r="E1023" s="3"/>
      <c r="F1023" s="3"/>
      <c r="G1023" s="3"/>
      <c r="I1023" s="490"/>
    </row>
    <row r="1024" spans="1:9" ht="12.75" customHeight="1">
      <c r="A1024" s="254"/>
      <c r="B1024" s="485" t="s">
        <v>2715</v>
      </c>
      <c r="C1024" s="995"/>
      <c r="D1024" s="1300" t="s">
        <v>1782</v>
      </c>
      <c r="E1024" s="1300"/>
      <c r="F1024" s="1300"/>
      <c r="G1024" s="996"/>
      <c r="I1024" s="490"/>
    </row>
    <row r="1025" spans="1:9" ht="12.75" customHeight="1">
      <c r="A1025" s="995"/>
      <c r="B1025" s="995"/>
      <c r="C1025" s="995"/>
      <c r="D1025" s="1300"/>
      <c r="E1025" s="1300"/>
      <c r="F1025" s="1300"/>
      <c r="G1025" s="996"/>
      <c r="I1025" s="490"/>
    </row>
    <row r="1026" spans="1:9" ht="12.75" customHeight="1">
      <c r="A1026" s="995"/>
      <c r="B1026" s="995"/>
      <c r="C1026" s="995"/>
      <c r="D1026" s="979"/>
      <c r="E1026" s="996"/>
      <c r="F1026" s="996"/>
      <c r="G1026" s="996"/>
      <c r="I1026" s="490"/>
    </row>
    <row r="1027" spans="1:9" ht="12.75" customHeight="1">
      <c r="A1027" s="254"/>
      <c r="B1027" s="485" t="s">
        <v>2714</v>
      </c>
      <c r="C1027" s="995"/>
      <c r="D1027" s="1293" t="s">
        <v>1783</v>
      </c>
      <c r="E1027" s="1293"/>
      <c r="F1027" s="1293"/>
      <c r="G1027" s="996"/>
      <c r="I1027" s="490"/>
    </row>
    <row r="1028" spans="1:9" ht="12.75" customHeight="1">
      <c r="A1028" s="995"/>
      <c r="B1028" s="995"/>
      <c r="C1028" s="995"/>
      <c r="D1028" s="979"/>
      <c r="E1028" s="996"/>
      <c r="F1028" s="996"/>
      <c r="G1028" s="996"/>
      <c r="I1028" s="490"/>
    </row>
    <row r="1029" spans="1:9" ht="12.75" customHeight="1">
      <c r="A1029" s="175"/>
      <c r="B1029" s="485" t="s">
        <v>2715</v>
      </c>
      <c r="C1029" s="354"/>
      <c r="D1029" s="1298" t="s">
        <v>1784</v>
      </c>
      <c r="E1029" s="1298"/>
      <c r="F1029" s="1298"/>
      <c r="G1029" s="3"/>
      <c r="I1029" s="490"/>
    </row>
    <row r="1030" spans="1:9" ht="12.75" customHeight="1">
      <c r="A1030" s="175"/>
      <c r="B1030" s="175"/>
      <c r="C1030" s="354"/>
      <c r="D1030" s="118"/>
      <c r="E1030" s="3"/>
      <c r="F1030" s="3"/>
      <c r="G1030" s="3"/>
      <c r="I1030" s="490"/>
    </row>
    <row r="1031" spans="1:9" ht="12.75" customHeight="1">
      <c r="A1031" s="175"/>
      <c r="B1031" s="485" t="s">
        <v>2715</v>
      </c>
      <c r="C1031" s="354"/>
      <c r="D1031" s="1270" t="s">
        <v>1785</v>
      </c>
      <c r="E1031" s="1270"/>
      <c r="F1031" s="1270"/>
      <c r="G1031" s="3"/>
      <c r="I1031" s="490"/>
    </row>
    <row r="1032" spans="1:9" ht="12.75" customHeight="1">
      <c r="A1032" s="175"/>
      <c r="B1032" s="175"/>
      <c r="C1032" s="354"/>
      <c r="D1032" s="1270"/>
      <c r="E1032" s="1270"/>
      <c r="F1032" s="1270"/>
      <c r="G1032" s="3"/>
      <c r="I1032" s="490"/>
    </row>
    <row r="1033" spans="1:9" ht="12.75" customHeight="1">
      <c r="A1033" s="354"/>
      <c r="B1033" s="354"/>
      <c r="C1033" s="354"/>
      <c r="D1033" s="3"/>
      <c r="E1033" s="3"/>
      <c r="F1033" s="3"/>
      <c r="G1033" s="3"/>
      <c r="I1033" s="490"/>
    </row>
    <row r="1034" spans="1:9" ht="12.75" customHeight="1">
      <c r="A1034" s="1294" t="s">
        <v>1786</v>
      </c>
      <c r="B1034" s="1294"/>
      <c r="C1034" s="1294"/>
      <c r="D1034" s="1294"/>
      <c r="E1034" s="1294"/>
      <c r="F1034" s="1294"/>
      <c r="G1034" s="1294"/>
      <c r="H1034" s="1023"/>
      <c r="I1034" s="1147"/>
    </row>
    <row r="1035" spans="1:9" ht="12.75" customHeight="1">
      <c r="A1035" s="354"/>
      <c r="B1035" s="354"/>
      <c r="C1035" s="354"/>
      <c r="D1035" s="3"/>
      <c r="E1035" s="3"/>
      <c r="F1035" s="3"/>
      <c r="G1035" s="3"/>
      <c r="I1035" s="490"/>
    </row>
    <row r="1036" spans="1:9" ht="12.75" customHeight="1">
      <c r="A1036" s="354"/>
      <c r="B1036" s="354"/>
      <c r="C1036" s="354"/>
      <c r="D1036" s="1292" t="s">
        <v>1787</v>
      </c>
      <c r="E1036" s="1292"/>
      <c r="F1036" s="1292"/>
      <c r="G1036" s="3"/>
      <c r="I1036" s="490"/>
    </row>
    <row r="1037" spans="1:9" ht="12.75" customHeight="1">
      <c r="A1037" s="354"/>
      <c r="B1037" s="354"/>
      <c r="C1037" s="354"/>
      <c r="D1037" s="1293" t="s">
        <v>1788</v>
      </c>
      <c r="E1037" s="1293"/>
      <c r="F1037" s="1293"/>
      <c r="G1037" s="3"/>
      <c r="I1037" s="490"/>
    </row>
    <row r="1038" spans="1:9" ht="12.75" customHeight="1">
      <c r="A1038" s="172"/>
      <c r="B1038" s="172"/>
      <c r="C1038" s="172"/>
      <c r="D1038" s="3"/>
      <c r="E1038" s="3"/>
      <c r="F1038" s="3"/>
      <c r="G1038" s="3"/>
      <c r="I1038" s="490"/>
    </row>
    <row r="1039" spans="1:9" ht="12.75" customHeight="1">
      <c r="A1039" s="175"/>
      <c r="B1039" s="175"/>
      <c r="C1039" s="174"/>
      <c r="D1039" s="1292" t="s">
        <v>1802</v>
      </c>
      <c r="E1039" s="1292"/>
      <c r="F1039" s="1292"/>
      <c r="G1039" s="3"/>
      <c r="I1039" s="490"/>
    </row>
    <row r="1040" spans="1:9" ht="12.75" customHeight="1">
      <c r="A1040" s="354"/>
      <c r="B1040" s="485" t="s">
        <v>2714</v>
      </c>
      <c r="C1040" s="354"/>
      <c r="D1040" s="1293" t="s">
        <v>1271</v>
      </c>
      <c r="E1040" s="1293"/>
      <c r="F1040" s="1293"/>
      <c r="G1040" s="3"/>
      <c r="I1040" s="490"/>
    </row>
    <row r="1041" spans="1:9" ht="12.75" customHeight="1">
      <c r="A1041" s="354"/>
      <c r="B1041" s="175"/>
      <c r="C1041" s="354"/>
      <c r="D1041" s="1293" t="s">
        <v>1789</v>
      </c>
      <c r="E1041" s="1293"/>
      <c r="F1041" s="1293"/>
      <c r="G1041" s="3"/>
      <c r="I1041" s="490"/>
    </row>
    <row r="1042" spans="1:9" ht="12.75" customHeight="1">
      <c r="A1042" s="354"/>
      <c r="B1042" s="354"/>
      <c r="C1042" s="354"/>
      <c r="D1042" s="1293"/>
      <c r="E1042" s="1293"/>
      <c r="F1042" s="1293"/>
      <c r="G1042" s="3"/>
      <c r="I1042" s="490"/>
    </row>
    <row r="1043" spans="1:9" ht="12.75" customHeight="1">
      <c r="A1043" s="1294" t="s">
        <v>1798</v>
      </c>
      <c r="B1043" s="1294"/>
      <c r="C1043" s="1294"/>
      <c r="D1043" s="1294"/>
      <c r="E1043" s="1294"/>
      <c r="F1043" s="1294"/>
      <c r="G1043" s="1294"/>
      <c r="H1043" s="1023"/>
      <c r="I1043" s="1147"/>
    </row>
    <row r="1044" spans="1:9" ht="12.75" customHeight="1">
      <c r="A1044" s="118"/>
      <c r="B1044" s="118"/>
      <c r="C1044" s="354"/>
      <c r="D1044" s="3"/>
      <c r="E1044" s="3"/>
      <c r="F1044" s="3"/>
      <c r="G1044" s="3"/>
      <c r="I1044" s="490"/>
    </row>
    <row r="1045" spans="1:9" ht="12.75" hidden="1" customHeight="1">
      <c r="A1045" s="118"/>
      <c r="B1045" s="402"/>
      <c r="D1045" s="1291" t="s">
        <v>1272</v>
      </c>
      <c r="E1045" s="1291"/>
      <c r="F1045" s="1291"/>
      <c r="G1045" s="3"/>
      <c r="I1045" s="490"/>
    </row>
    <row r="1046" spans="1:9" ht="12.75" hidden="1" customHeight="1">
      <c r="A1046" s="118"/>
      <c r="B1046" s="485" t="s">
        <v>307</v>
      </c>
      <c r="D1046" s="1290" t="s">
        <v>1271</v>
      </c>
      <c r="E1046" s="1290"/>
      <c r="F1046" s="1290"/>
      <c r="G1046" s="3"/>
      <c r="I1046" s="490"/>
    </row>
    <row r="1047" spans="1:9" ht="12.75" hidden="1" customHeight="1">
      <c r="A1047" s="118"/>
      <c r="B1047" s="402"/>
      <c r="D1047" s="1290" t="s">
        <v>1799</v>
      </c>
      <c r="E1047" s="1290"/>
      <c r="F1047" s="1290"/>
      <c r="G1047" s="3"/>
      <c r="I1047" s="490"/>
    </row>
    <row r="1048" spans="1:9" ht="12.75" hidden="1" customHeight="1">
      <c r="A1048" s="118"/>
      <c r="B1048" s="402"/>
      <c r="D1048" s="444"/>
      <c r="E1048" s="444"/>
      <c r="F1048" s="444"/>
      <c r="G1048" s="3"/>
      <c r="I1048" s="490"/>
    </row>
    <row r="1049" spans="1:9" ht="12.75" customHeight="1">
      <c r="A1049" s="118"/>
      <c r="B1049" s="118"/>
      <c r="C1049" s="354"/>
      <c r="D1049" s="1295" t="s">
        <v>1066</v>
      </c>
      <c r="E1049" s="1295"/>
      <c r="F1049" s="1295"/>
      <c r="G1049" s="3"/>
      <c r="I1049" s="490"/>
    </row>
    <row r="1050" spans="1:9" ht="12.75" customHeight="1">
      <c r="A1050" s="319"/>
      <c r="B1050" s="319"/>
      <c r="C1050" s="319"/>
      <c r="D1050" s="1289" t="s">
        <v>2202</v>
      </c>
      <c r="E1050" s="1289"/>
      <c r="F1050" s="1289"/>
      <c r="G1050" s="98"/>
      <c r="I1050" s="490"/>
    </row>
    <row r="1051" spans="1:9" ht="12.75" customHeight="1">
      <c r="A1051" s="175"/>
      <c r="B1051" s="485" t="s">
        <v>2715</v>
      </c>
      <c r="C1051" s="354"/>
      <c r="D1051" s="1289" t="s">
        <v>985</v>
      </c>
      <c r="E1051" s="1289"/>
      <c r="F1051" s="1289"/>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4" t="s">
        <v>2618</v>
      </c>
      <c r="B1054" s="1294"/>
      <c r="C1054" s="1294"/>
      <c r="D1054" s="1294"/>
      <c r="E1054" s="1294"/>
      <c r="F1054" s="1294"/>
      <c r="G1054" s="1294"/>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2715</v>
      </c>
      <c r="C1059" s="402"/>
      <c r="D1059" s="1302" t="s">
        <v>1803</v>
      </c>
      <c r="E1059" s="1302"/>
      <c r="F1059" s="1302"/>
      <c r="I1059" s="490"/>
    </row>
    <row r="1060" spans="1:9">
      <c r="A1060" s="402"/>
      <c r="B1060" s="402"/>
      <c r="C1060" s="402"/>
      <c r="D1060" s="1302"/>
      <c r="E1060" s="1302"/>
      <c r="F1060" s="1302"/>
      <c r="I1060" s="490"/>
    </row>
    <row r="1061" spans="1:9">
      <c r="A1061" s="402"/>
      <c r="B1061" s="402"/>
      <c r="C1061" s="402"/>
      <c r="D1061" s="1302"/>
      <c r="E1061" s="1302"/>
      <c r="F1061" s="1302"/>
      <c r="I1061" s="490"/>
    </row>
    <row r="1062" spans="1:9">
      <c r="A1062" s="402"/>
      <c r="B1062" s="402"/>
      <c r="C1062" s="402"/>
      <c r="D1062" s="1302"/>
      <c r="E1062" s="1302"/>
      <c r="F1062" s="1302"/>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2714</v>
      </c>
      <c r="C1067" s="402"/>
      <c r="D1067" s="402" t="s">
        <v>1801</v>
      </c>
      <c r="I1067" s="490"/>
    </row>
    <row r="1068" spans="1:9">
      <c r="A1068" s="402"/>
      <c r="B1068" s="402"/>
      <c r="C1068" s="402"/>
      <c r="I1068" s="490"/>
    </row>
    <row r="1069" spans="1:9">
      <c r="A1069" s="402"/>
      <c r="B1069" s="485" t="s">
        <v>2715</v>
      </c>
      <c r="C1069" s="402"/>
      <c r="D1069" s="1302" t="s">
        <v>1804</v>
      </c>
      <c r="E1069" s="1302"/>
      <c r="F1069" s="1302"/>
      <c r="I1069" s="490"/>
    </row>
    <row r="1070" spans="1:9">
      <c r="A1070" s="402"/>
      <c r="B1070" s="402"/>
      <c r="C1070" s="402"/>
      <c r="D1070" s="1302"/>
      <c r="E1070" s="1302"/>
      <c r="F1070" s="1302"/>
      <c r="I1070" s="490"/>
    </row>
    <row r="1071" spans="1:9">
      <c r="A1071" s="402"/>
      <c r="B1071" s="402"/>
      <c r="C1071" s="402"/>
      <c r="D1071" s="1302"/>
      <c r="E1071" s="1302"/>
      <c r="F1071" s="1302"/>
      <c r="I1071" s="490"/>
    </row>
    <row r="1072" spans="1:9">
      <c r="A1072" s="402"/>
      <c r="B1072" s="402"/>
      <c r="C1072" s="402"/>
      <c r="D1072" s="1302"/>
      <c r="E1072" s="1302"/>
      <c r="F1072" s="1302"/>
      <c r="I1072" s="490"/>
    </row>
    <row r="1073" spans="1:9">
      <c r="A1073" s="402"/>
      <c r="B1073" s="402"/>
      <c r="C1073" s="402"/>
      <c r="D1073" s="1302"/>
      <c r="E1073" s="1302"/>
      <c r="F1073" s="1302"/>
      <c r="I1073" s="490"/>
    </row>
    <row r="1074" spans="1:9">
      <c r="A1074" s="402"/>
      <c r="B1074" s="402"/>
      <c r="C1074" s="402"/>
      <c r="I1074" s="490"/>
    </row>
    <row r="1075" spans="1:9">
      <c r="A1075" s="1294" t="s">
        <v>1805</v>
      </c>
      <c r="B1075" s="1294"/>
      <c r="C1075" s="1294"/>
      <c r="D1075" s="1294"/>
      <c r="E1075" s="1294"/>
      <c r="F1075" s="1294"/>
      <c r="G1075" s="1294"/>
      <c r="H1075" s="1023"/>
      <c r="I1075" s="1147"/>
    </row>
    <row r="1076" spans="1:9">
      <c r="A1076" s="402"/>
      <c r="B1076" s="402"/>
      <c r="C1076" s="402"/>
      <c r="I1076" s="490"/>
    </row>
    <row r="1077" spans="1:9">
      <c r="A1077" s="402"/>
      <c r="B1077" s="402"/>
      <c r="C1077" s="402"/>
      <c r="I1077" s="490"/>
    </row>
    <row r="1078" spans="1:9">
      <c r="A1078" s="402"/>
      <c r="B1078" s="485" t="s">
        <v>2714</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2715</v>
      </c>
      <c r="C1081" s="402"/>
      <c r="D1081" s="1305" t="s">
        <v>2624</v>
      </c>
      <c r="E1081" s="1305"/>
      <c r="F1081" s="1305"/>
      <c r="I1081" s="490"/>
    </row>
    <row r="1082" spans="1:9">
      <c r="A1082" s="402"/>
      <c r="B1082" s="402"/>
      <c r="C1082" s="402"/>
      <c r="D1082" s="1305"/>
      <c r="E1082" s="1305"/>
      <c r="F1082" s="1305"/>
      <c r="I1082" s="490"/>
    </row>
    <row r="1083" spans="1:9">
      <c r="A1083" s="402"/>
      <c r="B1083" s="402"/>
      <c r="C1083" s="402"/>
      <c r="D1083" s="527" t="s">
        <v>2623</v>
      </c>
      <c r="I1083" s="490"/>
    </row>
    <row r="1084" spans="1:9">
      <c r="A1084" s="402"/>
      <c r="B1084" s="402"/>
      <c r="C1084" s="402"/>
      <c r="D1084" s="527"/>
      <c r="I1084" s="490"/>
    </row>
    <row r="1085" spans="1:9">
      <c r="A1085" s="402"/>
      <c r="B1085" s="485" t="s">
        <v>2715</v>
      </c>
      <c r="C1085" s="402"/>
      <c r="D1085" s="119" t="s">
        <v>2632</v>
      </c>
      <c r="I1085" s="490"/>
    </row>
    <row r="1086" spans="1:9">
      <c r="A1086" s="402"/>
      <c r="B1086" s="402"/>
      <c r="C1086" s="402"/>
      <c r="D1086" s="1270" t="s">
        <v>2634</v>
      </c>
      <c r="E1086" s="1270"/>
      <c r="F1086" s="1270"/>
      <c r="I1086" s="490"/>
    </row>
    <row r="1087" spans="1:9">
      <c r="A1087" s="402"/>
      <c r="B1087" s="402"/>
      <c r="C1087" s="402"/>
      <c r="D1087" s="1270"/>
      <c r="E1087" s="1270"/>
      <c r="F1087" s="1270"/>
      <c r="I1087" s="490"/>
    </row>
    <row r="1088" spans="1:9">
      <c r="A1088" s="402"/>
      <c r="B1088" s="402"/>
      <c r="C1088" s="402"/>
      <c r="D1088" s="1270"/>
      <c r="E1088" s="1270"/>
      <c r="F1088" s="1270"/>
      <c r="I1088" s="490"/>
    </row>
    <row r="1089" spans="1:9">
      <c r="A1089" s="402"/>
      <c r="B1089" s="402"/>
      <c r="C1089" s="402"/>
      <c r="D1089" s="1270"/>
      <c r="E1089" s="1270"/>
      <c r="F1089" s="1270"/>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2715</v>
      </c>
      <c r="C1093" s="402"/>
      <c r="D1093" s="1301" t="s">
        <v>1807</v>
      </c>
      <c r="E1093" s="1301"/>
      <c r="F1093" s="1301"/>
      <c r="I1093" s="490"/>
    </row>
    <row r="1094" spans="1:9">
      <c r="A1094" s="402"/>
      <c r="B1094" s="402"/>
      <c r="C1094" s="402"/>
      <c r="D1094" s="1301"/>
      <c r="E1094" s="1301"/>
      <c r="F1094" s="1301"/>
      <c r="I1094" s="490"/>
    </row>
    <row r="1095" spans="1:9">
      <c r="A1095" s="402"/>
      <c r="B1095" s="402"/>
      <c r="C1095" s="402"/>
      <c r="D1095" s="1301"/>
      <c r="E1095" s="1301"/>
      <c r="F1095" s="1301"/>
      <c r="I1095" s="490"/>
    </row>
    <row r="1096" spans="1:9">
      <c r="A1096" s="402"/>
      <c r="B1096" s="402"/>
      <c r="C1096" s="402"/>
      <c r="D1096" s="1301"/>
      <c r="E1096" s="1301"/>
      <c r="F1096" s="1301"/>
      <c r="I1096" s="490"/>
    </row>
    <row r="1097" spans="1:9">
      <c r="A1097" s="402"/>
      <c r="B1097" s="402"/>
      <c r="C1097" s="402"/>
      <c r="D1097" s="1301"/>
      <c r="E1097" s="1301"/>
      <c r="F1097" s="1301"/>
      <c r="I1097" s="490"/>
    </row>
    <row r="1098" spans="1:9">
      <c r="A1098" s="402"/>
      <c r="B1098" s="402"/>
      <c r="C1098" s="402"/>
      <c r="D1098" s="527" t="s">
        <v>2635</v>
      </c>
      <c r="I1098" s="490"/>
    </row>
    <row r="1099" spans="1:9">
      <c r="A1099" s="402"/>
      <c r="B1099" s="402"/>
      <c r="C1099" s="402"/>
      <c r="I1099" s="490"/>
    </row>
    <row r="1100" spans="1:9">
      <c r="A1100" s="402"/>
      <c r="B1100" s="485" t="s">
        <v>2715</v>
      </c>
      <c r="C1100" s="402"/>
      <c r="D1100" s="1284" t="s">
        <v>2224</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294" t="s">
        <v>1809</v>
      </c>
      <c r="B1104" s="1294"/>
      <c r="C1104" s="1294"/>
      <c r="D1104" s="1294"/>
      <c r="E1104" s="1294"/>
      <c r="F1104" s="1294"/>
      <c r="G1104" s="1294"/>
      <c r="H1104" s="1023"/>
      <c r="I1104" s="1147"/>
    </row>
    <row r="1105" spans="1:9">
      <c r="A1105" s="402"/>
      <c r="B1105" s="402"/>
      <c r="C1105" s="402"/>
      <c r="I1105" s="490"/>
    </row>
    <row r="1106" spans="1:9">
      <c r="A1106" s="402"/>
      <c r="B1106" s="402"/>
      <c r="C1106" s="402"/>
      <c r="I1106" s="490"/>
    </row>
    <row r="1107" spans="1:9" ht="12.75" customHeight="1">
      <c r="A1107" s="402"/>
      <c r="B1107" s="485" t="s">
        <v>2715</v>
      </c>
      <c r="C1107" s="402"/>
      <c r="D1107" s="1303" t="s">
        <v>1903</v>
      </c>
      <c r="E1107" s="1303"/>
      <c r="F1107" s="1303"/>
      <c r="I1107" s="490"/>
    </row>
    <row r="1108" spans="1:9">
      <c r="A1108" s="402"/>
      <c r="B1108" s="402"/>
      <c r="C1108" s="402"/>
      <c r="D1108" s="1303"/>
      <c r="E1108" s="1303"/>
      <c r="F1108" s="1303"/>
      <c r="I1108" s="490"/>
    </row>
    <row r="1109" spans="1:9">
      <c r="A1109" s="402"/>
      <c r="B1109" s="402"/>
      <c r="C1109" s="402"/>
      <c r="D1109" s="1304" t="s">
        <v>2639</v>
      </c>
      <c r="E1109" s="1270"/>
      <c r="F1109" s="1270"/>
      <c r="I1109" s="490"/>
    </row>
    <row r="1110" spans="1:9">
      <c r="A1110" s="402"/>
      <c r="B1110" s="402"/>
      <c r="C1110" s="402"/>
      <c r="D1110" s="527"/>
      <c r="I1110" s="490"/>
    </row>
    <row r="1111" spans="1:9">
      <c r="A1111" s="402"/>
      <c r="B1111" s="485" t="s">
        <v>2715</v>
      </c>
      <c r="C1111" s="402"/>
      <c r="D1111" s="1301" t="s">
        <v>2587</v>
      </c>
      <c r="E1111" s="1301"/>
      <c r="F1111" s="1301"/>
      <c r="I1111" s="490"/>
    </row>
    <row r="1112" spans="1:9">
      <c r="A1112" s="402"/>
      <c r="B1112" s="402"/>
      <c r="C1112" s="402"/>
      <c r="D1112" s="1301"/>
      <c r="E1112" s="1301"/>
      <c r="F1112" s="1301"/>
      <c r="I1112" s="490"/>
    </row>
    <row r="1113" spans="1:9">
      <c r="A1113" s="402"/>
      <c r="B1113" s="402"/>
      <c r="C1113" s="402"/>
      <c r="D1113" s="1301"/>
      <c r="E1113" s="1301"/>
      <c r="F1113" s="1301"/>
      <c r="I1113" s="490"/>
    </row>
    <row r="1114" spans="1:9">
      <c r="A1114" s="402"/>
      <c r="B1114" s="402"/>
      <c r="C1114" s="402"/>
      <c r="D1114" s="527"/>
      <c r="I1114" s="490"/>
    </row>
    <row r="1115" spans="1:9">
      <c r="A1115" s="402"/>
      <c r="B1115" s="485" t="s">
        <v>2715</v>
      </c>
      <c r="C1115" s="402"/>
      <c r="D1115" s="1301" t="s">
        <v>2606</v>
      </c>
      <c r="E1115" s="1301"/>
      <c r="F1115" s="1301"/>
      <c r="I1115" s="490"/>
    </row>
    <row r="1116" spans="1:9">
      <c r="A1116" s="402"/>
      <c r="B1116" s="402"/>
      <c r="C1116" s="402"/>
      <c r="D1116" s="1301"/>
      <c r="E1116" s="1301"/>
      <c r="F1116" s="1301"/>
      <c r="I1116" s="490"/>
    </row>
    <row r="1117" spans="1:9">
      <c r="A1117" s="402"/>
      <c r="B1117" s="402"/>
      <c r="C1117" s="402"/>
      <c r="D1117" s="1301"/>
      <c r="E1117" s="1301"/>
      <c r="F1117" s="1301"/>
      <c r="I1117" s="490"/>
    </row>
    <row r="1118" spans="1:9">
      <c r="A1118" s="402"/>
      <c r="B1118" s="402"/>
      <c r="C1118" s="402"/>
      <c r="D1118" s="1301"/>
      <c r="E1118" s="1301"/>
      <c r="F1118" s="1301"/>
      <c r="I1118" s="490"/>
    </row>
    <row r="1119" spans="1:9">
      <c r="A1119" s="402"/>
      <c r="B1119" s="402"/>
      <c r="C1119" s="402"/>
      <c r="D1119" s="1301"/>
      <c r="E1119" s="1301"/>
      <c r="F1119" s="1301"/>
      <c r="I1119" s="490"/>
    </row>
    <row r="1120" spans="1:9">
      <c r="A1120" s="402"/>
      <c r="B1120" s="402"/>
      <c r="C1120" s="402"/>
      <c r="D1120" s="527"/>
      <c r="I1120" s="480"/>
    </row>
    <row r="1121" spans="1:9">
      <c r="A1121" s="402"/>
      <c r="B1121" s="485" t="s">
        <v>2715</v>
      </c>
      <c r="C1121" s="402"/>
      <c r="D1121" s="1301" t="s">
        <v>1810</v>
      </c>
      <c r="E1121" s="1301"/>
      <c r="F1121" s="1301"/>
      <c r="I1121" s="490"/>
    </row>
    <row r="1122" spans="1:9">
      <c r="A1122" s="402"/>
      <c r="B1122" s="402"/>
      <c r="C1122" s="402"/>
      <c r="D1122" s="1301"/>
      <c r="E1122" s="1301"/>
      <c r="F1122" s="1301"/>
      <c r="I1122" s="490"/>
    </row>
    <row r="1123" spans="1:9">
      <c r="A1123" s="402"/>
      <c r="B1123" s="402"/>
      <c r="C1123" s="402"/>
      <c r="D1123" s="1301"/>
      <c r="E1123" s="1301"/>
      <c r="F1123" s="1301"/>
      <c r="I1123" s="490"/>
    </row>
    <row r="1124" spans="1:9">
      <c r="A1124" s="402"/>
      <c r="B1124" s="402"/>
      <c r="C1124" s="402"/>
      <c r="D1124" s="527"/>
      <c r="I1124" s="490"/>
    </row>
    <row r="1125" spans="1:9">
      <c r="A1125" s="402"/>
      <c r="B1125" s="485" t="s">
        <v>2715</v>
      </c>
      <c r="C1125" s="402"/>
      <c r="D1125" s="1275" t="s">
        <v>1862</v>
      </c>
      <c r="E1125" s="1275"/>
      <c r="F1125" s="1275"/>
      <c r="I1125" s="490"/>
    </row>
    <row r="1126" spans="1:9">
      <c r="A1126" s="402"/>
      <c r="B1126" s="402"/>
      <c r="C1126" s="402"/>
      <c r="D1126" s="1275"/>
      <c r="E1126" s="1275"/>
      <c r="F1126" s="1275"/>
      <c r="I1126" s="490"/>
    </row>
    <row r="1127" spans="1:9">
      <c r="A1127" s="402"/>
      <c r="B1127" s="402"/>
      <c r="C1127" s="402"/>
      <c r="D1127" s="1275"/>
      <c r="E1127" s="1275"/>
      <c r="F1127" s="1275"/>
      <c r="I1127" s="490"/>
    </row>
    <row r="1128" spans="1:9">
      <c r="A1128" s="402"/>
      <c r="B1128" s="402"/>
      <c r="C1128" s="402"/>
      <c r="D1128" s="975"/>
      <c r="E1128" s="975"/>
      <c r="F1128" s="975"/>
      <c r="I1128" s="490"/>
    </row>
    <row r="1129" spans="1:9" ht="15.75" customHeight="1">
      <c r="A1129" s="402"/>
      <c r="B1129" s="485" t="s">
        <v>2715</v>
      </c>
      <c r="C1129" s="402"/>
      <c r="D1129" s="1270" t="s">
        <v>1863</v>
      </c>
      <c r="E1129" s="1270"/>
      <c r="F1129" s="1270"/>
      <c r="I1129" s="490"/>
    </row>
    <row r="1130" spans="1:9">
      <c r="A1130" s="402"/>
      <c r="B1130" s="402"/>
      <c r="C1130" s="402"/>
      <c r="D1130" s="1270"/>
      <c r="E1130" s="1270"/>
      <c r="F1130" s="1270"/>
      <c r="I1130" s="490"/>
    </row>
    <row r="1131" spans="1:9">
      <c r="A1131" s="402"/>
      <c r="B1131" s="402"/>
      <c r="C1131" s="402"/>
      <c r="D1131" s="1270"/>
      <c r="E1131" s="1270"/>
      <c r="F1131" s="1270"/>
      <c r="I1131" s="490"/>
    </row>
    <row r="1132" spans="1:9">
      <c r="A1132" s="402"/>
      <c r="B1132" s="402"/>
      <c r="C1132" s="402"/>
      <c r="D1132" s="1270"/>
      <c r="E1132" s="1270"/>
      <c r="F1132" s="1270"/>
      <c r="I1132" s="490"/>
    </row>
    <row r="1133" spans="1:9">
      <c r="A1133" s="402"/>
      <c r="B1133" s="402"/>
      <c r="C1133" s="402"/>
      <c r="D1133" s="975"/>
      <c r="E1133" s="975"/>
      <c r="F1133" s="975"/>
      <c r="I1133" s="490"/>
    </row>
    <row r="1134" spans="1:9">
      <c r="A1134" s="402"/>
      <c r="B1134" s="485" t="s">
        <v>307</v>
      </c>
      <c r="C1134" s="402"/>
      <c r="D1134" s="1275" t="s">
        <v>2616</v>
      </c>
      <c r="E1134" s="1275"/>
      <c r="F1134" s="1275"/>
      <c r="I1134" s="490"/>
    </row>
    <row r="1135" spans="1:9">
      <c r="A1135" s="402"/>
      <c r="B1135" s="402"/>
      <c r="C1135" s="402"/>
      <c r="D1135" s="1275"/>
      <c r="E1135" s="1275"/>
      <c r="F1135" s="1275"/>
      <c r="I1135" s="490"/>
    </row>
    <row r="1136" spans="1:9">
      <c r="A1136" s="402"/>
      <c r="B1136" s="402"/>
      <c r="C1136" s="402"/>
      <c r="D1136" s="1275"/>
      <c r="E1136" s="1275"/>
      <c r="F1136" s="1275"/>
      <c r="I1136" s="490"/>
    </row>
    <row r="1137" spans="1:9">
      <c r="A1137" s="402"/>
      <c r="B1137" s="402"/>
      <c r="C1137" s="402"/>
      <c r="D1137" s="1275"/>
      <c r="E1137" s="1275"/>
      <c r="F1137" s="1275"/>
      <c r="I1137" s="490"/>
    </row>
    <row r="1138" spans="1:9">
      <c r="A1138" s="402"/>
      <c r="B1138" s="402"/>
      <c r="C1138" s="402"/>
      <c r="D1138" s="1275"/>
      <c r="E1138" s="1275"/>
      <c r="F1138" s="1275"/>
      <c r="I1138" s="490"/>
    </row>
    <row r="1139" spans="1:9">
      <c r="A1139" s="402"/>
      <c r="B1139" s="402"/>
      <c r="C1139" s="402"/>
      <c r="D1139" s="1275"/>
      <c r="E1139" s="1275"/>
      <c r="F1139" s="1275"/>
      <c r="I1139" s="490"/>
    </row>
    <row r="1140" spans="1:9">
      <c r="A1140" s="402"/>
      <c r="B1140" s="402"/>
      <c r="C1140" s="402"/>
      <c r="D1140" s="975"/>
      <c r="E1140" s="975"/>
      <c r="F1140" s="975"/>
      <c r="I1140" s="490"/>
    </row>
    <row r="1141" spans="1:9">
      <c r="A1141" s="402"/>
      <c r="B1141" s="485" t="s">
        <v>307</v>
      </c>
      <c r="C1141" s="402"/>
      <c r="D1141" s="1302" t="s">
        <v>2588</v>
      </c>
      <c r="E1141" s="1302"/>
      <c r="F1141" s="1302"/>
      <c r="I1141" s="1153"/>
    </row>
    <row r="1142" spans="1:9">
      <c r="A1142" s="402"/>
      <c r="B1142" s="402"/>
      <c r="C1142" s="402"/>
      <c r="D1142" s="1302"/>
      <c r="E1142" s="1302"/>
      <c r="F1142" s="1302"/>
      <c r="I1142" s="490"/>
    </row>
    <row r="1143" spans="1:9">
      <c r="A1143" s="402"/>
      <c r="B1143" s="402"/>
      <c r="C1143" s="402"/>
      <c r="D1143" s="1302"/>
      <c r="E1143" s="1302"/>
      <c r="F1143" s="1302"/>
    </row>
    <row r="1144" spans="1:9">
      <c r="A1144" s="402"/>
      <c r="B1144" s="402"/>
      <c r="C1144" s="402"/>
      <c r="D1144" s="1302"/>
      <c r="E1144" s="1302"/>
      <c r="F1144" s="1302"/>
    </row>
    <row r="1145" spans="1:9">
      <c r="A1145" s="402"/>
      <c r="B1145" s="402"/>
      <c r="C1145" s="402"/>
      <c r="D1145" s="1302"/>
      <c r="E1145" s="1302"/>
      <c r="F1145" s="130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1"/>
      <c r="H1553" s="1311"/>
      <c r="I1553" s="1311"/>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271" zoomScale="90" zoomScaleNormal="90" workbookViewId="0">
      <selection activeCell="AA302" sqref="AA302:AK30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Northern (Butte, El Dorado, Placer, Sacramento, San Joaquin, Shasta, Solano, Sutter, Yuba, and Yolo Counties)</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87</v>
      </c>
    </row>
    <row r="8" spans="1:58" ht="26.25" customHeight="1">
      <c r="A8" s="1499" t="s">
        <v>100</v>
      </c>
      <c r="B8" s="1499"/>
      <c r="C8" s="1499"/>
      <c r="D8" s="1499"/>
      <c r="E8" s="1499"/>
      <c r="F8" s="1499"/>
      <c r="G8" s="1499"/>
      <c r="H8" s="1499"/>
      <c r="I8" s="1499"/>
      <c r="J8" s="1499"/>
      <c r="K8" s="1499"/>
      <c r="L8" s="1499"/>
      <c r="M8" s="1499"/>
      <c r="N8" s="1499"/>
      <c r="O8" s="1499"/>
      <c r="P8" s="1499"/>
      <c r="Q8" s="1499"/>
      <c r="R8" s="1499"/>
      <c r="S8" s="1499"/>
      <c r="T8" s="1499"/>
      <c r="U8" s="1499"/>
      <c r="V8" s="1499"/>
      <c r="W8" s="1499"/>
      <c r="X8" s="1499"/>
      <c r="Y8" s="1499"/>
      <c r="Z8" s="1499"/>
      <c r="AA8" s="1499"/>
      <c r="AB8" s="1499"/>
      <c r="AC8" s="1499"/>
      <c r="AD8" s="1499"/>
      <c r="AE8" s="1499"/>
      <c r="AF8" s="1499"/>
      <c r="AG8" s="1499"/>
      <c r="AH8" s="1499"/>
      <c r="AI8" s="1499"/>
      <c r="AJ8" s="1499"/>
      <c r="AK8" s="1499"/>
      <c r="AL8" s="1499"/>
      <c r="AM8" s="1499"/>
      <c r="AN8" s="1499"/>
      <c r="AO8" s="1499"/>
      <c r="AP8" s="1499"/>
      <c r="AQ8" s="1499"/>
      <c r="AR8" s="1499"/>
      <c r="AS8" s="1499"/>
      <c r="AT8" s="1499"/>
      <c r="AU8" s="894"/>
      <c r="AV8" s="894"/>
      <c r="AW8" s="894"/>
      <c r="AX8" s="894"/>
      <c r="AY8" s="894"/>
      <c r="BD8" s="3" t="s">
        <v>2442</v>
      </c>
      <c r="BE8" s="1183">
        <f>SUMIF($AC$726:$AC$760,"&lt;=35%",$G$726:G$760)-SUM($BE$5:BE7)</f>
        <v>0</v>
      </c>
    </row>
    <row r="9" spans="1:58" ht="12.95" customHeight="1">
      <c r="A9" s="1351" t="s">
        <v>2034</v>
      </c>
      <c r="B9" s="1351"/>
      <c r="C9" s="1351"/>
      <c r="D9" s="1351"/>
      <c r="E9" s="1351"/>
      <c r="F9" s="1351"/>
      <c r="G9" s="1351"/>
      <c r="H9" s="1351"/>
      <c r="I9" s="1351"/>
      <c r="J9" s="1351"/>
      <c r="K9" s="1351"/>
      <c r="L9" s="1351"/>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
      <c r="AV9" s="13"/>
      <c r="AW9" s="13"/>
      <c r="AX9" s="13"/>
      <c r="AY9" s="13"/>
      <c r="BD9" s="1182" t="s">
        <v>2434</v>
      </c>
      <c r="BE9" s="1183">
        <f>SUMIF($AC$726:$AC$760,"&lt;=40%",$G$726:G$760)-SUM($BE$5:BE8)</f>
        <v>0</v>
      </c>
    </row>
    <row r="10" spans="1:58" ht="12.95" customHeight="1">
      <c r="A10" s="1351" t="s">
        <v>2608</v>
      </c>
      <c r="B10" s="1351"/>
      <c r="C10" s="1351"/>
      <c r="D10" s="1351"/>
      <c r="E10" s="1351"/>
      <c r="F10" s="1351"/>
      <c r="G10" s="1351"/>
      <c r="H10" s="1351"/>
      <c r="I10" s="1351"/>
      <c r="J10" s="1351"/>
      <c r="K10" s="1351"/>
      <c r="L10" s="1351"/>
      <c r="M10" s="1351"/>
      <c r="N10" s="1351"/>
      <c r="O10" s="1351"/>
      <c r="P10" s="1351"/>
      <c r="Q10" s="1351"/>
      <c r="R10" s="1351"/>
      <c r="S10" s="1351"/>
      <c r="T10" s="1351"/>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
      <c r="AV10" s="13"/>
      <c r="AW10" s="13"/>
      <c r="AX10" s="13"/>
      <c r="AY10" s="13"/>
      <c r="BD10" s="3" t="s">
        <v>2443</v>
      </c>
      <c r="BE10" s="1183">
        <f>SUMIF($AC$726:$AC$760,"&lt;=45%",$G$726:G$760)-SUM($BE$5:BE9)</f>
        <v>0</v>
      </c>
    </row>
    <row r="11" spans="1:58" ht="12.95" customHeight="1">
      <c r="A11" s="1351" t="s">
        <v>2532</v>
      </c>
      <c r="B11" s="1351"/>
      <c r="C11" s="1351"/>
      <c r="D11" s="1351"/>
      <c r="E11" s="1351"/>
      <c r="F11" s="1351"/>
      <c r="G11" s="1351"/>
      <c r="H11" s="1351"/>
      <c r="I11" s="1351"/>
      <c r="J11" s="1351"/>
      <c r="K11" s="1351"/>
      <c r="L11" s="1351"/>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
      <c r="AV11" s="13"/>
      <c r="AW11" s="13"/>
      <c r="AX11" s="13"/>
      <c r="AY11" s="13"/>
      <c r="BD11" s="1181" t="s">
        <v>2435</v>
      </c>
      <c r="BE11" s="1183">
        <f>SUMIF($AC$726:$AC$760,"&lt;=50%",$G$726:G$760)-SUM($BE$5:BE10)</f>
        <v>84</v>
      </c>
    </row>
    <row r="12" spans="1:58" ht="12.95" customHeight="1">
      <c r="A12" s="1500" t="s">
        <v>2643</v>
      </c>
      <c r="B12" s="1500"/>
      <c r="C12" s="1500"/>
      <c r="D12" s="1500"/>
      <c r="E12" s="1500"/>
      <c r="F12" s="1500"/>
      <c r="G12" s="1500"/>
      <c r="H12" s="1500"/>
      <c r="I12" s="1500"/>
      <c r="J12" s="1500"/>
      <c r="K12" s="1500"/>
      <c r="L12" s="1500"/>
      <c r="M12" s="1500"/>
      <c r="N12" s="1500"/>
      <c r="O12" s="1500"/>
      <c r="P12" s="1500"/>
      <c r="Q12" s="1500"/>
      <c r="R12" s="1500"/>
      <c r="S12" s="1500"/>
      <c r="T12" s="1500"/>
      <c r="U12" s="1500"/>
      <c r="V12" s="1500"/>
      <c r="W12" s="1500"/>
      <c r="X12" s="1500"/>
      <c r="Y12" s="1500"/>
      <c r="Z12" s="1500"/>
      <c r="AA12" s="1500"/>
      <c r="AB12" s="1500"/>
      <c r="AC12" s="1500"/>
      <c r="AD12" s="1500"/>
      <c r="AE12" s="1500"/>
      <c r="AF12" s="1500"/>
      <c r="AG12" s="1500"/>
      <c r="AH12" s="1500"/>
      <c r="AI12" s="1500"/>
      <c r="AJ12" s="1500"/>
      <c r="AK12" s="1500"/>
      <c r="AL12" s="1500"/>
      <c r="AM12" s="1500"/>
      <c r="AN12" s="1500"/>
      <c r="AO12" s="1500"/>
      <c r="AP12" s="1500"/>
      <c r="AQ12" s="1500"/>
      <c r="AR12" s="1500"/>
      <c r="AS12" s="1500"/>
      <c r="AT12" s="1500"/>
      <c r="AU12" s="6"/>
      <c r="AV12" s="6"/>
      <c r="AW12" s="6"/>
      <c r="AX12" s="6"/>
      <c r="AY12" s="6"/>
      <c r="BD12" s="3" t="s">
        <v>2444</v>
      </c>
      <c r="BE12" s="1183">
        <f>SUMIF($AC$726:$AC$760,"&lt;=55%",$G$726:G$760)-SUM($BE$5:BE11)</f>
        <v>0</v>
      </c>
    </row>
    <row r="13" spans="1:58" ht="12.95" customHeight="1">
      <c r="A13" s="1268" t="s">
        <v>2035</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5"/>
      <c r="AV13" s="895"/>
      <c r="AW13" s="895"/>
      <c r="AX13" s="895"/>
      <c r="AY13" s="895"/>
      <c r="BD13" s="1182" t="s">
        <v>2436</v>
      </c>
      <c r="BE13" s="1183">
        <f>SUMIF($AC$726:$AC$760,"&lt;=60%",$G$726:G$760)-SUM($BE$5:BE12)</f>
        <v>173</v>
      </c>
    </row>
    <row r="14" spans="1:58"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5"/>
      <c r="AV14" s="895"/>
      <c r="AW14" s="895"/>
      <c r="AX14" s="895"/>
      <c r="AY14" s="895"/>
      <c r="BD14" s="1181" t="s">
        <v>2437</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508" t="s">
        <v>2644</v>
      </c>
      <c r="I16" s="1509"/>
      <c r="J16" s="1509"/>
      <c r="K16" s="1509"/>
      <c r="L16" s="1509"/>
      <c r="M16" s="1509"/>
      <c r="N16" s="1509"/>
      <c r="O16" s="1509"/>
      <c r="P16" s="1509"/>
      <c r="Q16" s="1509"/>
      <c r="R16" s="1509"/>
      <c r="S16" s="1509"/>
      <c r="T16" s="1509"/>
      <c r="U16" s="1509"/>
      <c r="V16" s="1509"/>
      <c r="W16" s="1509"/>
      <c r="X16" s="1509"/>
      <c r="Y16" s="1509"/>
      <c r="Z16" s="1509"/>
      <c r="AA16" s="1509"/>
      <c r="AB16" s="1509"/>
      <c r="AC16" s="1509"/>
      <c r="AD16" s="1509"/>
      <c r="AE16" s="1509"/>
      <c r="AF16" s="1509"/>
      <c r="AG16" s="1509"/>
      <c r="AH16" s="1509"/>
      <c r="AI16" s="1509"/>
      <c r="AJ16" s="1509"/>
      <c r="BD16" s="1182" t="s">
        <v>656</v>
      </c>
      <c r="BE16" s="1183" t="str">
        <f>Application!H18</f>
        <v xml:space="preserve">Clover Apartments </v>
      </c>
    </row>
    <row r="17" spans="1:58" ht="12.95" customHeight="1">
      <c r="BD17" s="1181" t="s">
        <v>2450</v>
      </c>
      <c r="BE17" s="1183">
        <f>Application!AA943</f>
        <v>0</v>
      </c>
    </row>
    <row r="18" spans="1:58" ht="12.95" customHeight="1">
      <c r="A18" s="57" t="s">
        <v>101</v>
      </c>
      <c r="C18" s="4"/>
      <c r="D18" s="4"/>
      <c r="E18" s="4"/>
      <c r="F18" s="4"/>
      <c r="G18" s="4"/>
      <c r="H18" s="1505" t="s">
        <v>2645</v>
      </c>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BD18" s="1182" t="s">
        <v>2451</v>
      </c>
      <c r="BE18" s="1183">
        <f>AA943</f>
        <v>0</v>
      </c>
    </row>
    <row r="19" spans="1:58" ht="12.95" customHeight="1">
      <c r="BD19" s="1181" t="s">
        <v>2452</v>
      </c>
      <c r="BE19" s="1183">
        <f>Application!M26</f>
        <v>6467338</v>
      </c>
    </row>
    <row r="20" spans="1:58" ht="12.95" customHeight="1">
      <c r="A20" s="1501" t="s">
        <v>873</v>
      </c>
      <c r="B20" s="1501"/>
      <c r="C20" s="1501"/>
      <c r="D20" s="1501"/>
      <c r="E20" s="1501"/>
      <c r="F20" s="1501"/>
      <c r="G20" s="1501"/>
      <c r="H20" s="1501"/>
      <c r="I20" s="1501"/>
      <c r="J20" s="1501"/>
      <c r="K20" s="1501"/>
      <c r="L20" s="1501"/>
      <c r="M20" s="1501"/>
      <c r="N20" s="1501"/>
      <c r="O20" s="1501"/>
      <c r="P20" s="1501"/>
      <c r="Q20" s="1501"/>
      <c r="R20" s="1501"/>
      <c r="S20" s="1501"/>
      <c r="T20" s="1501"/>
      <c r="U20" s="1501"/>
      <c r="V20" s="1501"/>
      <c r="W20" s="1501"/>
      <c r="X20" s="1501"/>
      <c r="Y20" s="1501"/>
      <c r="Z20" s="1501"/>
      <c r="AA20" s="1501"/>
      <c r="AB20" s="1501"/>
      <c r="AC20" s="1501"/>
      <c r="AD20" s="1501"/>
      <c r="AE20" s="1501"/>
      <c r="AF20" s="1501"/>
      <c r="AG20" s="1501"/>
      <c r="AH20" s="1501"/>
      <c r="AI20" s="1501"/>
      <c r="AJ20" s="1501"/>
      <c r="AK20" s="1501"/>
      <c r="AL20" s="1501"/>
      <c r="AM20" s="1501"/>
      <c r="AN20" s="1501"/>
      <c r="AO20" s="1501"/>
      <c r="AP20" s="1501"/>
      <c r="AQ20" s="1501"/>
      <c r="AR20" s="1501"/>
      <c r="AS20" s="1501"/>
      <c r="AT20" s="1501"/>
      <c r="AU20" s="896"/>
      <c r="AV20" s="896"/>
      <c r="AW20" s="896"/>
      <c r="AX20" s="896"/>
      <c r="AY20" s="896"/>
      <c r="BD20" s="1182" t="s">
        <v>2453</v>
      </c>
      <c r="BE20" s="1183">
        <f>Application!M27</f>
        <v>0</v>
      </c>
    </row>
    <row r="21" spans="1:58" ht="12.95" customHeight="1">
      <c r="A21" s="1416" t="s">
        <v>1009</v>
      </c>
      <c r="B21" s="1416"/>
      <c r="C21" s="1416"/>
      <c r="D21" s="1416"/>
      <c r="E21" s="1416"/>
      <c r="F21" s="1416"/>
      <c r="G21" s="1416"/>
      <c r="H21" s="1416"/>
      <c r="I21" s="1416"/>
      <c r="J21" s="1416"/>
      <c r="K21" s="1416"/>
      <c r="L21" s="1416"/>
      <c r="M21" s="1416"/>
      <c r="N21" s="1416"/>
      <c r="O21" s="1416"/>
      <c r="P21" s="1416"/>
      <c r="Q21" s="1416"/>
      <c r="R21" s="1416"/>
      <c r="S21" s="1416"/>
      <c r="T21" s="1416"/>
      <c r="U21" s="1416"/>
      <c r="V21" s="1416"/>
      <c r="W21" s="1416"/>
      <c r="X21" s="1416"/>
      <c r="Y21" s="1416"/>
      <c r="Z21" s="1416"/>
      <c r="AA21" s="1416"/>
      <c r="AB21" s="1416"/>
      <c r="AC21" s="1416"/>
      <c r="AD21" s="1416"/>
      <c r="AE21" s="1416"/>
      <c r="AF21" s="1416"/>
      <c r="AG21" s="1416"/>
      <c r="AH21" s="1416"/>
      <c r="AI21" s="1416"/>
      <c r="AJ21" s="1416"/>
      <c r="AK21" s="1416"/>
      <c r="AL21" s="1416"/>
      <c r="AM21" s="897"/>
      <c r="AN21" s="897"/>
      <c r="AO21" s="897"/>
      <c r="AP21" s="897"/>
      <c r="AQ21" s="897"/>
      <c r="AR21" s="897"/>
      <c r="AS21" s="897"/>
      <c r="AT21" s="897"/>
      <c r="AU21" s="897"/>
      <c r="AV21" s="897"/>
      <c r="AW21" s="897"/>
      <c r="AX21" s="897"/>
      <c r="AY21" s="897"/>
      <c r="BD21" s="1181" t="s">
        <v>2454</v>
      </c>
      <c r="BE21" s="1183">
        <f>Application!AM562</f>
        <v>39598317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142708832</v>
      </c>
      <c r="BF22" s="3" t="s">
        <v>2525</v>
      </c>
    </row>
    <row r="23" spans="1:58" ht="12.95" customHeight="1">
      <c r="A23" s="1303" t="s">
        <v>2102</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8"/>
      <c r="AV23" s="18"/>
      <c r="AW23" s="18"/>
      <c r="AX23" s="18"/>
      <c r="AY23" s="18"/>
      <c r="AZ23" s="18"/>
      <c r="BD23" s="1181" t="s">
        <v>2455</v>
      </c>
      <c r="BE23" s="1183">
        <f>'Sources and Uses Budget'!B4</f>
        <v>7622500</v>
      </c>
    </row>
    <row r="24" spans="1:58" ht="12.95"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8"/>
      <c r="AV24" s="18"/>
      <c r="AW24" s="18"/>
      <c r="AX24" s="18"/>
      <c r="AY24" s="18"/>
      <c r="AZ24" s="18"/>
      <c r="BD24" s="1182" t="s">
        <v>2456</v>
      </c>
      <c r="BE24" s="1183">
        <f>Application!AG459</f>
        <v>278721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2.95" customHeight="1">
      <c r="A26" s="4"/>
      <c r="C26" s="4"/>
      <c r="D26" s="4"/>
      <c r="E26" s="4"/>
      <c r="F26" s="4"/>
      <c r="G26" s="4"/>
      <c r="H26" s="4"/>
      <c r="I26" s="4"/>
      <c r="J26" s="4"/>
      <c r="K26" s="4"/>
      <c r="L26" s="4"/>
      <c r="M26" s="1507">
        <f>'Basis &amp; Credits'!AB56</f>
        <v>6467338</v>
      </c>
      <c r="N26" s="1507"/>
      <c r="O26" s="1507"/>
      <c r="P26" s="1507"/>
      <c r="Q26" s="1507"/>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17">
        <f>'Basis &amp; Credits'!AB78</f>
        <v>0</v>
      </c>
      <c r="N27" s="1417"/>
      <c r="O27" s="1417"/>
      <c r="P27" s="1417"/>
      <c r="Q27" s="1417"/>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502" t="s">
        <v>2103</v>
      </c>
      <c r="B29" s="1502"/>
      <c r="C29" s="1502"/>
      <c r="D29" s="15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c r="AD29" s="1502"/>
      <c r="AE29" s="1502"/>
      <c r="AF29" s="1502"/>
      <c r="AG29" s="1502"/>
      <c r="AH29" s="1502"/>
      <c r="AI29" s="1502"/>
      <c r="AJ29" s="1502"/>
      <c r="AK29" s="1502"/>
      <c r="AL29" s="1502"/>
      <c r="AM29" s="1502"/>
      <c r="AN29" s="1502"/>
      <c r="AO29" s="1502"/>
      <c r="AP29" s="1502"/>
      <c r="AQ29" s="1502"/>
      <c r="AR29" s="1502"/>
      <c r="AS29" s="1502"/>
      <c r="AT29" s="1502"/>
      <c r="BD29" s="1181" t="s">
        <v>2459</v>
      </c>
      <c r="BE29" s="1183" t="b">
        <f>Application!M367="Yes"</f>
        <v>0</v>
      </c>
    </row>
    <row r="30" spans="1:58" ht="12.95" customHeight="1">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502"/>
      <c r="AI30" s="1502"/>
      <c r="AJ30" s="1502"/>
      <c r="AK30" s="1502"/>
      <c r="AL30" s="1502"/>
      <c r="AM30" s="1502"/>
      <c r="AN30" s="1502"/>
      <c r="AO30" s="1502"/>
      <c r="AP30" s="1502"/>
      <c r="AQ30" s="1502"/>
      <c r="AR30" s="1502"/>
      <c r="AS30" s="1502"/>
      <c r="AT30" s="1502"/>
      <c r="AZ30" s="20"/>
      <c r="BD30" s="1182" t="s">
        <v>28</v>
      </c>
      <c r="BE30" s="1183" t="b">
        <f>Application!AJ364="Yes"</f>
        <v>0</v>
      </c>
    </row>
    <row r="31" spans="1:58" ht="12.95" customHeight="1">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AM31" s="1502"/>
      <c r="AN31" s="1502"/>
      <c r="AO31" s="1502"/>
      <c r="AP31" s="1502"/>
      <c r="AQ31" s="1502"/>
      <c r="AR31" s="1502"/>
      <c r="AS31" s="1502"/>
      <c r="AT31" s="1502"/>
      <c r="AU31" s="20"/>
      <c r="AV31" s="20"/>
      <c r="AW31" s="20"/>
      <c r="AX31" s="20"/>
      <c r="AY31" s="20"/>
      <c r="AZ31" s="20"/>
      <c r="BD31" s="1181" t="s">
        <v>2460</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47" t="s">
        <v>669</v>
      </c>
      <c r="P33" s="1347"/>
      <c r="Q33" s="1503" t="s">
        <v>2104</v>
      </c>
      <c r="R33" s="1503"/>
      <c r="S33" s="1503"/>
      <c r="T33" s="1503"/>
      <c r="U33" s="1503"/>
      <c r="V33" s="1503"/>
      <c r="W33" s="1503"/>
      <c r="X33" s="1503"/>
      <c r="Y33" s="1503"/>
      <c r="Z33" s="1503"/>
      <c r="AA33" s="1503"/>
      <c r="AB33" s="1503"/>
      <c r="AC33" s="1503"/>
      <c r="AD33" s="1503"/>
      <c r="AE33" s="1503"/>
      <c r="AF33" s="1503"/>
      <c r="AG33" s="1503"/>
      <c r="AH33" s="1503"/>
      <c r="AI33" s="1503"/>
      <c r="AJ33" s="1503"/>
      <c r="AK33" s="1503"/>
      <c r="AL33" s="1503"/>
      <c r="AM33" s="1503"/>
      <c r="AN33" s="1503"/>
      <c r="AO33" s="1503"/>
      <c r="AP33" s="1503"/>
      <c r="AQ33" s="1503"/>
      <c r="AR33" s="1503"/>
      <c r="AS33" s="1503"/>
      <c r="AT33" s="1503"/>
      <c r="AU33" s="20"/>
      <c r="AV33" s="20"/>
      <c r="AW33" s="20"/>
      <c r="AX33" s="20"/>
      <c r="AY33" s="20"/>
      <c r="BD33" s="1181" t="s">
        <v>2526</v>
      </c>
      <c r="BE33" s="1183" t="str">
        <f>Application!D220</f>
        <v>Capital Region: El Dorado, Placer, Sacramento, Sutter, Yuba, and Yolo Counties</v>
      </c>
    </row>
    <row r="34" spans="1:57" ht="12.95" hidden="1" customHeight="1">
      <c r="A34" s="1502" t="s">
        <v>2105</v>
      </c>
      <c r="B34" s="1502"/>
      <c r="C34" s="1502"/>
      <c r="D34" s="1502"/>
      <c r="E34" s="1502"/>
      <c r="F34" s="1502"/>
      <c r="G34" s="1502"/>
      <c r="H34" s="1502"/>
      <c r="I34" s="1502"/>
      <c r="J34" s="1502"/>
      <c r="K34" s="1502"/>
      <c r="L34" s="1502"/>
      <c r="M34" s="1502"/>
      <c r="N34" s="1502"/>
      <c r="O34" s="1502"/>
      <c r="P34" s="1502"/>
      <c r="Q34" s="1502"/>
      <c r="R34" s="1502"/>
      <c r="S34" s="1502"/>
      <c r="T34" s="1502"/>
      <c r="U34" s="1502"/>
      <c r="V34" s="1502"/>
      <c r="W34" s="1502"/>
      <c r="X34" s="1502"/>
      <c r="Y34" s="1502"/>
      <c r="Z34" s="1502"/>
      <c r="AA34" s="1502"/>
      <c r="AB34" s="1502"/>
      <c r="AC34" s="1502"/>
      <c r="AD34" s="1502"/>
      <c r="AE34" s="1502"/>
      <c r="AF34" s="1502"/>
      <c r="AG34" s="1502"/>
      <c r="AH34" s="1502"/>
      <c r="AI34" s="1502"/>
      <c r="AJ34" s="1502"/>
      <c r="AK34" s="1502"/>
      <c r="AL34" s="1502"/>
      <c r="AM34" s="1502"/>
      <c r="AN34" s="1502"/>
      <c r="AO34" s="1502"/>
      <c r="AP34" s="1502"/>
      <c r="AQ34" s="1502"/>
      <c r="AR34" s="1502"/>
      <c r="AS34" s="1502"/>
      <c r="AT34" s="1502"/>
      <c r="AU34" s="20"/>
      <c r="AV34" s="20"/>
      <c r="AW34" s="20"/>
      <c r="AX34" s="20"/>
      <c r="AY34" s="20"/>
      <c r="AZ34" s="20"/>
      <c r="BD34" s="1182" t="s">
        <v>2462</v>
      </c>
      <c r="BE34" s="1183" t="str">
        <f>Application!I185</f>
        <v>7543-7595 Wainscott Way</v>
      </c>
    </row>
    <row r="35" spans="1:57" ht="12.95" hidden="1" customHeight="1">
      <c r="A35" s="1502"/>
      <c r="B35" s="1502"/>
      <c r="C35" s="1502"/>
      <c r="D35" s="1502"/>
      <c r="E35" s="1502"/>
      <c r="F35" s="1502"/>
      <c r="G35" s="1502"/>
      <c r="H35" s="1502"/>
      <c r="I35" s="1502"/>
      <c r="J35" s="1502"/>
      <c r="K35" s="1502"/>
      <c r="L35" s="1502"/>
      <c r="M35" s="1502"/>
      <c r="N35" s="1502"/>
      <c r="O35" s="1502"/>
      <c r="P35" s="1502"/>
      <c r="Q35" s="1502"/>
      <c r="R35" s="1502"/>
      <c r="S35" s="1502"/>
      <c r="T35" s="1502"/>
      <c r="U35" s="1502"/>
      <c r="V35" s="1502"/>
      <c r="W35" s="1502"/>
      <c r="X35" s="1502"/>
      <c r="Y35" s="1502"/>
      <c r="Z35" s="1502"/>
      <c r="AA35" s="1502"/>
      <c r="AB35" s="1502"/>
      <c r="AC35" s="1502"/>
      <c r="AD35" s="1502"/>
      <c r="AE35" s="1502"/>
      <c r="AF35" s="1502"/>
      <c r="AG35" s="1502"/>
      <c r="AH35" s="1502"/>
      <c r="AI35" s="1502"/>
      <c r="AJ35" s="1502"/>
      <c r="AK35" s="1502"/>
      <c r="AL35" s="1502"/>
      <c r="AM35" s="1502"/>
      <c r="AN35" s="1502"/>
      <c r="AO35" s="1502"/>
      <c r="AP35" s="1502"/>
      <c r="AQ35" s="1502"/>
      <c r="AR35" s="1502"/>
      <c r="AS35" s="1502"/>
      <c r="AT35" s="1502"/>
      <c r="AU35" s="20"/>
      <c r="AV35" s="20"/>
      <c r="AW35" s="20"/>
      <c r="AX35" s="20"/>
      <c r="AY35" s="20"/>
      <c r="AZ35" s="20"/>
      <c r="BD35" s="1181" t="s">
        <v>2463</v>
      </c>
      <c r="BE35" s="1183" t="str">
        <f>IF(Application!E187="","",Application!E187)</f>
        <v/>
      </c>
    </row>
    <row r="36" spans="1:57" ht="12.95" hidden="1" customHeight="1">
      <c r="A36" s="1502"/>
      <c r="B36" s="1502"/>
      <c r="C36" s="1502"/>
      <c r="D36" s="1502"/>
      <c r="E36" s="1502"/>
      <c r="F36" s="1502"/>
      <c r="G36" s="1502"/>
      <c r="H36" s="1502"/>
      <c r="I36" s="1502"/>
      <c r="J36" s="1502"/>
      <c r="K36" s="1502"/>
      <c r="L36" s="1502"/>
      <c r="M36" s="1502"/>
      <c r="N36" s="1502"/>
      <c r="O36" s="1502"/>
      <c r="P36" s="1502"/>
      <c r="Q36" s="1502"/>
      <c r="R36" s="1502"/>
      <c r="S36" s="1502"/>
      <c r="T36" s="1502"/>
      <c r="U36" s="1502"/>
      <c r="V36" s="1502"/>
      <c r="W36" s="1502"/>
      <c r="X36" s="1502"/>
      <c r="Y36" s="1502"/>
      <c r="Z36" s="1502"/>
      <c r="AA36" s="1502"/>
      <c r="AB36" s="1502"/>
      <c r="AC36" s="1502"/>
      <c r="AD36" s="1502"/>
      <c r="AE36" s="1502"/>
      <c r="AF36" s="1502"/>
      <c r="AG36" s="1502"/>
      <c r="AH36" s="1502"/>
      <c r="AI36" s="1502"/>
      <c r="AJ36" s="1502"/>
      <c r="AK36" s="1502"/>
      <c r="AL36" s="1502"/>
      <c r="AM36" s="1502"/>
      <c r="AN36" s="1502"/>
      <c r="AO36" s="1502"/>
      <c r="AP36" s="1502"/>
      <c r="AQ36" s="1502"/>
      <c r="AR36" s="1502"/>
      <c r="AS36" s="1502"/>
      <c r="AT36" s="1502"/>
      <c r="AU36" s="20"/>
      <c r="AV36" s="20"/>
      <c r="AW36" s="20"/>
      <c r="AX36" s="20"/>
      <c r="AY36" s="20"/>
      <c r="AZ36" s="20"/>
      <c r="BD36" s="1182" t="s">
        <v>2464</v>
      </c>
      <c r="BE36" s="1183" t="str">
        <f>Application!I189</f>
        <v>Sacramento</v>
      </c>
    </row>
    <row r="37" spans="1:57" ht="12.95" hidden="1" customHeight="1">
      <c r="A37" s="1502"/>
      <c r="B37" s="1502"/>
      <c r="C37" s="1502"/>
      <c r="D37" s="1502"/>
      <c r="E37" s="1502"/>
      <c r="F37" s="1502"/>
      <c r="G37" s="1502"/>
      <c r="H37" s="1502"/>
      <c r="I37" s="1502"/>
      <c r="J37" s="1502"/>
      <c r="K37" s="1502"/>
      <c r="L37" s="1502"/>
      <c r="M37" s="1502"/>
      <c r="N37" s="1502"/>
      <c r="O37" s="1502"/>
      <c r="P37" s="1502"/>
      <c r="Q37" s="1502"/>
      <c r="R37" s="1502"/>
      <c r="S37" s="1502"/>
      <c r="T37" s="1502"/>
      <c r="U37" s="1502"/>
      <c r="V37" s="1502"/>
      <c r="W37" s="1502"/>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Z37" s="20"/>
      <c r="BD37" s="1181" t="s">
        <v>2465</v>
      </c>
      <c r="BE37" s="1183" t="str">
        <f>Application!T189</f>
        <v>Sacramento</v>
      </c>
    </row>
    <row r="38" spans="1:57" ht="12.95" hidden="1" customHeight="1">
      <c r="A38" s="3"/>
      <c r="AZ38" s="20"/>
      <c r="BD38" s="1182" t="s">
        <v>2466</v>
      </c>
      <c r="BE38" s="1183">
        <f>Application!I190</f>
        <v>95832</v>
      </c>
    </row>
    <row r="39" spans="1:57" ht="12.95" customHeight="1">
      <c r="A39" s="1270" t="s">
        <v>2106</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181" t="s">
        <v>2467</v>
      </c>
      <c r="BE39" s="1183">
        <f>Application!AG446</f>
        <v>348</v>
      </c>
    </row>
    <row r="40" spans="1:57"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182" t="s">
        <v>384</v>
      </c>
      <c r="BE40" s="1183">
        <f>Application!AG449</f>
        <v>344</v>
      </c>
    </row>
    <row r="41" spans="1:57"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181" t="s">
        <v>287</v>
      </c>
      <c r="BE41" s="1183">
        <f>Application!AG447</f>
        <v>0</v>
      </c>
    </row>
    <row r="42" spans="1:57"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182" t="s">
        <v>2468</v>
      </c>
      <c r="BE42" s="1185">
        <f>Application!AC761</f>
        <v>0.49970930232558136</v>
      </c>
    </row>
    <row r="43" spans="1:57"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181" t="s">
        <v>2469</v>
      </c>
      <c r="BE43" s="1185">
        <f>Application!AH761</f>
        <v>0.49327922736703073</v>
      </c>
    </row>
    <row r="44" spans="1:57"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182" t="s">
        <v>2470</v>
      </c>
      <c r="BE44" s="1183">
        <f>Application!AC463</f>
        <v>410082.85057471262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11</v>
      </c>
    </row>
    <row r="46" spans="1:57" ht="12.95" customHeight="1">
      <c r="A46" s="1303" t="s">
        <v>2107</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20"/>
      <c r="AV46" s="20"/>
      <c r="AW46" s="20"/>
      <c r="AX46" s="20"/>
      <c r="AY46" s="20"/>
      <c r="AZ46" s="20"/>
      <c r="BD46" s="1182" t="s">
        <v>2472</v>
      </c>
      <c r="BE46" s="1183" t="b">
        <f>Application!T195="Yes"</f>
        <v>0</v>
      </c>
    </row>
    <row r="47" spans="1:57" ht="12.95"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20"/>
      <c r="AV47" s="20"/>
      <c r="AW47" s="20"/>
      <c r="AX47" s="20"/>
      <c r="AY47" s="20"/>
      <c r="AZ47" s="20"/>
      <c r="BD47" s="1181" t="s">
        <v>2473</v>
      </c>
      <c r="BE47" s="1183" t="b">
        <f>Application!T196="Yes"</f>
        <v>1</v>
      </c>
    </row>
    <row r="48" spans="1:57" ht="12.95"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20"/>
      <c r="AV48" s="20"/>
      <c r="AW48" s="20"/>
      <c r="AX48" s="20"/>
      <c r="AY48" s="20"/>
      <c r="AZ48" s="20"/>
      <c r="BD48" s="1182" t="s">
        <v>2474</v>
      </c>
      <c r="BE48" s="1183" t="str">
        <f>Application!M252</f>
        <v>AMCAL Multi-Housing, Inc.</v>
      </c>
    </row>
    <row r="49" spans="1:57" ht="12.95"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20"/>
      <c r="AV49" s="20"/>
      <c r="AW49" s="20"/>
      <c r="AX49" s="20"/>
      <c r="AY49" s="20"/>
      <c r="AZ49" s="20"/>
      <c r="BD49" s="1181" t="s">
        <v>2475</v>
      </c>
      <c r="BE49" s="1183" t="str">
        <f>Application!M255</f>
        <v>Arjun Nagarkatti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f>Application!AA258</f>
        <v>0</v>
      </c>
    </row>
    <row r="51" spans="1:57" ht="12.95" customHeight="1">
      <c r="A51" s="1270" t="s">
        <v>2108</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181" t="s">
        <v>2477</v>
      </c>
      <c r="BE51" s="1183" t="str">
        <f>Application!M260</f>
        <v>Brandon Affordable Housing, LLC</v>
      </c>
    </row>
    <row r="52" spans="1:57"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182" t="s">
        <v>2478</v>
      </c>
      <c r="BE52" s="1183" t="str">
        <f>Application!M263</f>
        <v>Joseph M. Michaels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t="str">
        <f>Application!AA266</f>
        <v>Las Palmas Foundation</v>
      </c>
    </row>
    <row r="54" spans="1:57" ht="12.95" customHeight="1">
      <c r="A54" s="1270" t="s">
        <v>2109</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182" t="s">
        <v>2480</v>
      </c>
      <c r="BE54" s="1183">
        <f>Application!M268</f>
        <v>0</v>
      </c>
    </row>
    <row r="55" spans="1:57"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181" t="s">
        <v>2481</v>
      </c>
      <c r="BE55" s="1183">
        <f>Application!M271</f>
        <v>0</v>
      </c>
    </row>
    <row r="56" spans="1:57"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182" t="s">
        <v>2482</v>
      </c>
      <c r="BE56" s="1183">
        <f>Application!AA274</f>
        <v>0</v>
      </c>
    </row>
    <row r="57" spans="1:57"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181" t="s">
        <v>2483</v>
      </c>
      <c r="BE57" s="1183" t="str">
        <f>Application!H296</f>
        <v xml:space="preserve">AMCAL Enterprises, Inc. </v>
      </c>
    </row>
    <row r="58" spans="1:57"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182" t="s">
        <v>2484</v>
      </c>
      <c r="BE58" s="1183" t="str">
        <f>Application!H297</f>
        <v>30141 Agoura Rd Ste 100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Agoura Hills, CA 91301</v>
      </c>
    </row>
    <row r="60" spans="1:57" ht="12.95" customHeight="1">
      <c r="A60" s="1270" t="s">
        <v>2110</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182" t="s">
        <v>2486</v>
      </c>
      <c r="BE60" s="1183" t="str">
        <f>Application!H299</f>
        <v>Ramir Kianfar</v>
      </c>
    </row>
    <row r="61" spans="1:57"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181" t="s">
        <v>2487</v>
      </c>
      <c r="BE61" s="1183" t="str">
        <f>Application!H302</f>
        <v>rkianfar@amcalhousing.com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0.83991600562704471</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5" customHeight="1">
      <c r="A65" s="1504" t="s">
        <v>2112</v>
      </c>
      <c r="B65" s="1504"/>
      <c r="C65" s="1504"/>
      <c r="D65" s="1504"/>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c r="AI65" s="1504"/>
      <c r="AJ65" s="1504"/>
      <c r="AK65" s="1504"/>
      <c r="AL65" s="1504"/>
      <c r="AM65" s="1504"/>
      <c r="AN65" s="1504"/>
      <c r="AO65" s="1504"/>
      <c r="AP65" s="1504"/>
      <c r="AQ65" s="1504"/>
      <c r="AR65" s="1504"/>
      <c r="AS65" s="1504"/>
      <c r="AT65" s="1504"/>
      <c r="AU65" s="21"/>
      <c r="AV65" s="21"/>
      <c r="AW65" s="21"/>
      <c r="AX65" s="21"/>
      <c r="AY65" s="21"/>
      <c r="AZ65" s="20"/>
      <c r="BD65" s="1181" t="s">
        <v>2523</v>
      </c>
      <c r="BE65" s="1183" t="str">
        <f>Z205</f>
        <v>(select)</v>
      </c>
    </row>
    <row r="66" spans="1:57" ht="12.95" customHeight="1">
      <c r="A66" s="1504"/>
      <c r="B66" s="1504"/>
      <c r="C66" s="1504"/>
      <c r="D66" s="1504"/>
      <c r="E66" s="1504"/>
      <c r="F66" s="1504"/>
      <c r="G66" s="1504"/>
      <c r="H66" s="1504"/>
      <c r="I66" s="1504"/>
      <c r="J66" s="1504"/>
      <c r="K66" s="1504"/>
      <c r="L66" s="1504"/>
      <c r="M66" s="1504"/>
      <c r="N66" s="1504"/>
      <c r="O66" s="1504"/>
      <c r="P66" s="1504"/>
      <c r="Q66" s="1504"/>
      <c r="R66" s="1504"/>
      <c r="S66" s="1504"/>
      <c r="T66" s="1504"/>
      <c r="U66" s="1504"/>
      <c r="V66" s="1504"/>
      <c r="W66" s="1504"/>
      <c r="X66" s="1504"/>
      <c r="Y66" s="1504"/>
      <c r="Z66" s="1504"/>
      <c r="AA66" s="1504"/>
      <c r="AB66" s="1504"/>
      <c r="AC66" s="1504"/>
      <c r="AD66" s="1504"/>
      <c r="AE66" s="1504"/>
      <c r="AF66" s="1504"/>
      <c r="AG66" s="1504"/>
      <c r="AH66" s="1504"/>
      <c r="AI66" s="1504"/>
      <c r="AJ66" s="1504"/>
      <c r="AK66" s="1504"/>
      <c r="AL66" s="1504"/>
      <c r="AM66" s="1504"/>
      <c r="AN66" s="1504"/>
      <c r="AO66" s="1504"/>
      <c r="AP66" s="1504"/>
      <c r="AQ66" s="1504"/>
      <c r="AR66" s="1504"/>
      <c r="AS66" s="1504"/>
      <c r="AT66" s="1504"/>
      <c r="AU66" s="21"/>
      <c r="AV66" s="21"/>
      <c r="AW66" s="21"/>
      <c r="AX66" s="21"/>
      <c r="AY66" s="21"/>
      <c r="AZ66" s="20"/>
      <c r="BD66" s="1182" t="s">
        <v>2490</v>
      </c>
      <c r="BE66" s="1183" t="b">
        <f>Application!Z205="State Farmworker Credit"</f>
        <v>0</v>
      </c>
    </row>
    <row r="67" spans="1:57" ht="12.95" customHeight="1">
      <c r="A67" s="1504"/>
      <c r="B67" s="1504"/>
      <c r="C67" s="1504"/>
      <c r="D67" s="1504"/>
      <c r="E67" s="1504"/>
      <c r="F67" s="1504"/>
      <c r="G67" s="1504"/>
      <c r="H67" s="1504"/>
      <c r="I67" s="1504"/>
      <c r="J67" s="1504"/>
      <c r="K67" s="1504"/>
      <c r="L67" s="1504"/>
      <c r="M67" s="1504"/>
      <c r="N67" s="1504"/>
      <c r="O67" s="1504"/>
      <c r="P67" s="1504"/>
      <c r="Q67" s="1504"/>
      <c r="R67" s="1504"/>
      <c r="S67" s="1504"/>
      <c r="T67" s="1504"/>
      <c r="U67" s="1504"/>
      <c r="V67" s="1504"/>
      <c r="W67" s="1504"/>
      <c r="X67" s="1504"/>
      <c r="Y67" s="1504"/>
      <c r="Z67" s="1504"/>
      <c r="AA67" s="1504"/>
      <c r="AB67" s="1504"/>
      <c r="AC67" s="1504"/>
      <c r="AD67" s="1504"/>
      <c r="AE67" s="1504"/>
      <c r="AF67" s="1504"/>
      <c r="AG67" s="1504"/>
      <c r="AH67" s="1504"/>
      <c r="AI67" s="1504"/>
      <c r="AJ67" s="1504"/>
      <c r="AK67" s="1504"/>
      <c r="AL67" s="1504"/>
      <c r="AM67" s="1504"/>
      <c r="AN67" s="1504"/>
      <c r="AO67" s="1504"/>
      <c r="AP67" s="1504"/>
      <c r="AQ67" s="1504"/>
      <c r="AR67" s="1504"/>
      <c r="AS67" s="1504"/>
      <c r="AT67" s="1504"/>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504" t="s">
        <v>2113</v>
      </c>
      <c r="B69" s="1504"/>
      <c r="C69" s="1504"/>
      <c r="D69" s="1504"/>
      <c r="E69" s="1504"/>
      <c r="F69" s="1504"/>
      <c r="G69" s="1504"/>
      <c r="H69" s="1504"/>
      <c r="I69" s="1504"/>
      <c r="J69" s="1504"/>
      <c r="K69" s="1504"/>
      <c r="L69" s="1504"/>
      <c r="M69" s="1504"/>
      <c r="N69" s="1504"/>
      <c r="O69" s="1504"/>
      <c r="P69" s="1504"/>
      <c r="Q69" s="1504"/>
      <c r="R69" s="1504"/>
      <c r="S69" s="1504"/>
      <c r="T69" s="1504"/>
      <c r="U69" s="1504"/>
      <c r="V69" s="1504"/>
      <c r="W69" s="1504"/>
      <c r="X69" s="1504"/>
      <c r="Y69" s="1504"/>
      <c r="Z69" s="1504"/>
      <c r="AA69" s="1504"/>
      <c r="AB69" s="1504"/>
      <c r="AC69" s="1504"/>
      <c r="AD69" s="1504"/>
      <c r="AE69" s="1504"/>
      <c r="AF69" s="1504"/>
      <c r="AG69" s="1504"/>
      <c r="AH69" s="1504"/>
      <c r="AI69" s="1504"/>
      <c r="AJ69" s="1504"/>
      <c r="AK69" s="1504"/>
      <c r="AL69" s="1504"/>
      <c r="AM69" s="1504"/>
      <c r="AN69" s="1504"/>
      <c r="AO69" s="1504"/>
      <c r="AP69" s="1504"/>
      <c r="AQ69" s="1504"/>
      <c r="AR69" s="1504"/>
      <c r="AS69" s="1504"/>
      <c r="AT69" s="1504"/>
      <c r="AZ69" s="20"/>
      <c r="BD69" s="1181" t="s">
        <v>2493</v>
      </c>
      <c r="BE69" s="1183" t="str">
        <f>Application!W708</f>
        <v xml:space="preserve">CMFA </v>
      </c>
    </row>
    <row r="70" spans="1:57" ht="12.95" customHeight="1">
      <c r="A70" s="1504"/>
      <c r="B70" s="1504"/>
      <c r="C70" s="1504"/>
      <c r="D70" s="1504"/>
      <c r="E70" s="1504"/>
      <c r="F70" s="1504"/>
      <c r="G70" s="1504"/>
      <c r="H70" s="1504"/>
      <c r="I70" s="1504"/>
      <c r="J70" s="1504"/>
      <c r="K70" s="1504"/>
      <c r="L70" s="1504"/>
      <c r="M70" s="1504"/>
      <c r="N70" s="1504"/>
      <c r="O70" s="1504"/>
      <c r="P70" s="1504"/>
      <c r="Q70" s="1504"/>
      <c r="R70" s="1504"/>
      <c r="S70" s="1504"/>
      <c r="T70" s="1504"/>
      <c r="U70" s="1504"/>
      <c r="V70" s="1504"/>
      <c r="W70" s="1504"/>
      <c r="X70" s="1504"/>
      <c r="Y70" s="1504"/>
      <c r="Z70" s="1504"/>
      <c r="AA70" s="1504"/>
      <c r="AB70" s="1504"/>
      <c r="AC70" s="1504"/>
      <c r="AD70" s="1504"/>
      <c r="AE70" s="1504"/>
      <c r="AF70" s="1504"/>
      <c r="AG70" s="1504"/>
      <c r="AH70" s="1504"/>
      <c r="AI70" s="1504"/>
      <c r="AJ70" s="1504"/>
      <c r="AK70" s="1504"/>
      <c r="AL70" s="1504"/>
      <c r="AM70" s="1504"/>
      <c r="AN70" s="1504"/>
      <c r="AO70" s="1504"/>
      <c r="AP70" s="1504"/>
      <c r="AQ70" s="1504"/>
      <c r="AR70" s="1504"/>
      <c r="AS70" s="1504"/>
      <c r="AT70" s="1504"/>
      <c r="AU70" s="20"/>
      <c r="AV70" s="20"/>
      <c r="AW70" s="20"/>
      <c r="AX70" s="20"/>
      <c r="AY70" s="20"/>
      <c r="AZ70" s="20"/>
      <c r="BD70" s="1182" t="s">
        <v>2494</v>
      </c>
      <c r="BE70" s="1183">
        <f>'Points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5" customHeight="1">
      <c r="A72" s="1502" t="s">
        <v>2114</v>
      </c>
      <c r="B72" s="1502"/>
      <c r="C72" s="1502"/>
      <c r="D72" s="1502"/>
      <c r="E72" s="1502"/>
      <c r="F72" s="1502"/>
      <c r="G72" s="1502"/>
      <c r="H72" s="1502"/>
      <c r="I72" s="1502"/>
      <c r="J72" s="1502"/>
      <c r="K72" s="1502"/>
      <c r="L72" s="1502"/>
      <c r="M72" s="1502"/>
      <c r="N72" s="1502"/>
      <c r="O72" s="1502"/>
      <c r="P72" s="1502"/>
      <c r="Q72" s="1502"/>
      <c r="R72" s="1502"/>
      <c r="S72" s="1502"/>
      <c r="T72" s="1502"/>
      <c r="U72" s="1502"/>
      <c r="V72" s="1502"/>
      <c r="W72" s="1502"/>
      <c r="X72" s="1502"/>
      <c r="Y72" s="1502"/>
      <c r="Z72" s="1502"/>
      <c r="AA72" s="1502"/>
      <c r="AB72" s="1502"/>
      <c r="AC72" s="1502"/>
      <c r="AD72" s="1502"/>
      <c r="AE72" s="1502"/>
      <c r="AF72" s="1502"/>
      <c r="AG72" s="1502"/>
      <c r="AH72" s="1502"/>
      <c r="AI72" s="1502"/>
      <c r="AJ72" s="1502"/>
      <c r="AK72" s="1502"/>
      <c r="AL72" s="1502"/>
      <c r="AM72" s="1502"/>
      <c r="AN72" s="1502"/>
      <c r="AO72" s="1502"/>
      <c r="AP72" s="1502"/>
      <c r="AQ72" s="1502"/>
      <c r="AR72" s="1502"/>
      <c r="AS72" s="1502"/>
      <c r="AT72" s="1502"/>
      <c r="AU72" s="20"/>
      <c r="AV72" s="20"/>
      <c r="AW72" s="20"/>
      <c r="AX72" s="20"/>
      <c r="AY72" s="20"/>
      <c r="AZ72" s="20"/>
      <c r="BD72" s="1182" t="s">
        <v>2495</v>
      </c>
      <c r="BE72" s="1183">
        <f>'Points System'!AF827</f>
        <v>10</v>
      </c>
    </row>
    <row r="73" spans="1:57" ht="12.95" customHeight="1">
      <c r="A73" s="1502"/>
      <c r="B73" s="1502"/>
      <c r="C73" s="1502"/>
      <c r="D73" s="1502"/>
      <c r="E73" s="1502"/>
      <c r="F73" s="1502"/>
      <c r="G73" s="1502"/>
      <c r="H73" s="1502"/>
      <c r="I73" s="1502"/>
      <c r="J73" s="1502"/>
      <c r="K73" s="1502"/>
      <c r="L73" s="1502"/>
      <c r="M73" s="1502"/>
      <c r="N73" s="1502"/>
      <c r="O73" s="1502"/>
      <c r="P73" s="1502"/>
      <c r="Q73" s="1502"/>
      <c r="R73" s="1502"/>
      <c r="S73" s="1502"/>
      <c r="T73" s="1502"/>
      <c r="U73" s="1502"/>
      <c r="V73" s="1502"/>
      <c r="W73" s="1502"/>
      <c r="X73" s="1502"/>
      <c r="Y73" s="1502"/>
      <c r="Z73" s="1502"/>
      <c r="AA73" s="1502"/>
      <c r="AB73" s="1502"/>
      <c r="AC73" s="1502"/>
      <c r="AD73" s="1502"/>
      <c r="AE73" s="1502"/>
      <c r="AF73" s="1502"/>
      <c r="AG73" s="1502"/>
      <c r="AH73" s="1502"/>
      <c r="AI73" s="1502"/>
      <c r="AJ73" s="1502"/>
      <c r="AK73" s="1502"/>
      <c r="AL73" s="1502"/>
      <c r="AM73" s="1502"/>
      <c r="AN73" s="1502"/>
      <c r="AO73" s="1502"/>
      <c r="AP73" s="1502"/>
      <c r="AQ73" s="1502"/>
      <c r="AR73" s="1502"/>
      <c r="AS73" s="1502"/>
      <c r="AT73" s="1502"/>
      <c r="AU73" s="20"/>
      <c r="AV73" s="20"/>
      <c r="AW73" s="20"/>
      <c r="AX73" s="20"/>
      <c r="AY73" s="20"/>
      <c r="AZ73" s="20"/>
      <c r="BD73" s="1181" t="s">
        <v>2496</v>
      </c>
      <c r="BE73" s="1183">
        <f>'Points System'!AF828</f>
        <v>19.999999999999996</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796" t="s">
        <v>2115</v>
      </c>
      <c r="B75" s="1796"/>
      <c r="C75" s="1796"/>
      <c r="D75" s="1796"/>
      <c r="E75" s="1796"/>
      <c r="F75" s="1796"/>
      <c r="G75" s="1796"/>
      <c r="H75" s="1796"/>
      <c r="I75" s="1796"/>
      <c r="J75" s="1796"/>
      <c r="K75" s="1796"/>
      <c r="L75" s="1796"/>
      <c r="M75" s="1796"/>
      <c r="N75" s="1796"/>
      <c r="O75" s="1796"/>
      <c r="P75" s="1796"/>
      <c r="Q75" s="1796"/>
      <c r="R75" s="1796"/>
      <c r="S75" s="1796"/>
      <c r="T75" s="1796"/>
      <c r="U75" s="1796"/>
      <c r="V75" s="1796"/>
      <c r="W75" s="1796"/>
      <c r="X75" s="1796"/>
      <c r="Y75" s="1796"/>
      <c r="Z75" s="1796"/>
      <c r="AA75" s="1796"/>
      <c r="AB75" s="1796"/>
      <c r="AC75" s="1796"/>
      <c r="AD75" s="1796"/>
      <c r="AE75" s="1796"/>
      <c r="AF75" s="1796"/>
      <c r="AG75" s="1796"/>
      <c r="AH75" s="1796"/>
      <c r="AI75" s="1796"/>
      <c r="AJ75" s="1796"/>
      <c r="AK75" s="1796"/>
      <c r="AL75" s="1796"/>
      <c r="AM75" s="1796"/>
      <c r="AN75" s="1796"/>
      <c r="AO75" s="1796"/>
      <c r="AP75" s="1796"/>
      <c r="AQ75" s="1796"/>
      <c r="AR75" s="1796"/>
      <c r="AS75" s="1796"/>
      <c r="AT75" s="1796"/>
      <c r="AU75" s="20"/>
      <c r="AV75" s="20"/>
      <c r="AW75" s="20"/>
      <c r="AX75" s="20"/>
      <c r="AY75" s="20"/>
      <c r="AZ75" s="20"/>
      <c r="BD75" s="1181" t="s">
        <v>2498</v>
      </c>
      <c r="BE75" s="1183">
        <f>'Points System'!AF830</f>
        <v>10</v>
      </c>
    </row>
    <row r="76" spans="1:57" ht="12.95" customHeight="1">
      <c r="A76" s="1796"/>
      <c r="B76" s="1796"/>
      <c r="C76" s="1796"/>
      <c r="D76" s="1796"/>
      <c r="E76" s="1796"/>
      <c r="F76" s="1796"/>
      <c r="G76" s="1796"/>
      <c r="H76" s="1796"/>
      <c r="I76" s="1796"/>
      <c r="J76" s="1796"/>
      <c r="K76" s="1796"/>
      <c r="L76" s="1796"/>
      <c r="M76" s="1796"/>
      <c r="N76" s="1796"/>
      <c r="O76" s="1796"/>
      <c r="P76" s="1796"/>
      <c r="Q76" s="1796"/>
      <c r="R76" s="1796"/>
      <c r="S76" s="1796"/>
      <c r="T76" s="1796"/>
      <c r="U76" s="1796"/>
      <c r="V76" s="1796"/>
      <c r="W76" s="1796"/>
      <c r="X76" s="1796"/>
      <c r="Y76" s="1796"/>
      <c r="Z76" s="1796"/>
      <c r="AA76" s="1796"/>
      <c r="AB76" s="1796"/>
      <c r="AC76" s="1796"/>
      <c r="AD76" s="1796"/>
      <c r="AE76" s="1796"/>
      <c r="AF76" s="1796"/>
      <c r="AG76" s="1796"/>
      <c r="AH76" s="1796"/>
      <c r="AI76" s="1796"/>
      <c r="AJ76" s="1796"/>
      <c r="AK76" s="1796"/>
      <c r="AL76" s="1796"/>
      <c r="AM76" s="1796"/>
      <c r="AN76" s="1796"/>
      <c r="AO76" s="1796"/>
      <c r="AP76" s="1796"/>
      <c r="AQ76" s="1796"/>
      <c r="AR76" s="1796"/>
      <c r="AS76" s="1796"/>
      <c r="AT76" s="1796"/>
      <c r="AU76" s="20"/>
      <c r="AV76" s="20"/>
      <c r="AW76" s="20"/>
      <c r="AX76" s="20"/>
      <c r="AY76" s="20"/>
      <c r="AZ76" s="17"/>
      <c r="BD76" s="1182" t="s">
        <v>2499</v>
      </c>
      <c r="BE76" s="1183">
        <f>'Points System'!AF833</f>
        <v>10</v>
      </c>
    </row>
    <row r="77" spans="1:57" ht="12.95" customHeight="1">
      <c r="A77" s="1796"/>
      <c r="B77" s="1796"/>
      <c r="C77" s="1796"/>
      <c r="D77" s="1796"/>
      <c r="E77" s="1796"/>
      <c r="F77" s="1796"/>
      <c r="G77" s="1796"/>
      <c r="H77" s="1796"/>
      <c r="I77" s="1796"/>
      <c r="J77" s="1796"/>
      <c r="K77" s="1796"/>
      <c r="L77" s="1796"/>
      <c r="M77" s="1796"/>
      <c r="N77" s="1796"/>
      <c r="O77" s="1796"/>
      <c r="P77" s="1796"/>
      <c r="Q77" s="1796"/>
      <c r="R77" s="1796"/>
      <c r="S77" s="1796"/>
      <c r="T77" s="1796"/>
      <c r="U77" s="1796"/>
      <c r="V77" s="1796"/>
      <c r="W77" s="1796"/>
      <c r="X77" s="1796"/>
      <c r="Y77" s="1796"/>
      <c r="Z77" s="1796"/>
      <c r="AA77" s="1796"/>
      <c r="AB77" s="1796"/>
      <c r="AC77" s="1796"/>
      <c r="AD77" s="1796"/>
      <c r="AE77" s="1796"/>
      <c r="AF77" s="1796"/>
      <c r="AG77" s="1796"/>
      <c r="AH77" s="1796"/>
      <c r="AI77" s="1796"/>
      <c r="AJ77" s="1796"/>
      <c r="AK77" s="1796"/>
      <c r="AL77" s="1796"/>
      <c r="AM77" s="1796"/>
      <c r="AN77" s="1796"/>
      <c r="AO77" s="1796"/>
      <c r="AP77" s="1796"/>
      <c r="AQ77" s="1796"/>
      <c r="AR77" s="1796"/>
      <c r="AS77" s="1796"/>
      <c r="AT77" s="1796"/>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504" t="s">
        <v>2116</v>
      </c>
      <c r="B79" s="1504"/>
      <c r="C79" s="1504"/>
      <c r="D79" s="1504"/>
      <c r="E79" s="1504"/>
      <c r="F79" s="1504"/>
      <c r="G79" s="1504"/>
      <c r="H79" s="1504"/>
      <c r="I79" s="1504"/>
      <c r="J79" s="1504"/>
      <c r="K79" s="1504"/>
      <c r="L79" s="1504"/>
      <c r="M79" s="1504"/>
      <c r="N79" s="1504"/>
      <c r="O79" s="1504"/>
      <c r="P79" s="1504"/>
      <c r="Q79" s="1504"/>
      <c r="R79" s="1504"/>
      <c r="S79" s="1504"/>
      <c r="T79" s="1504"/>
      <c r="U79" s="1504"/>
      <c r="V79" s="1504"/>
      <c r="W79" s="1504"/>
      <c r="X79" s="1504"/>
      <c r="Y79" s="1504"/>
      <c r="Z79" s="1504"/>
      <c r="AA79" s="1504"/>
      <c r="AB79" s="1504"/>
      <c r="AC79" s="1504"/>
      <c r="AD79" s="1504"/>
      <c r="AE79" s="1504"/>
      <c r="AF79" s="1504"/>
      <c r="AG79" s="1504"/>
      <c r="AH79" s="1504"/>
      <c r="AI79" s="1504"/>
      <c r="AJ79" s="1504"/>
      <c r="AK79" s="1504"/>
      <c r="AL79" s="1504"/>
      <c r="AM79" s="1504"/>
      <c r="AN79" s="1504"/>
      <c r="AO79" s="1504"/>
      <c r="AP79" s="1504"/>
      <c r="AQ79" s="1504"/>
      <c r="AR79" s="1504"/>
      <c r="AS79" s="1504"/>
      <c r="AT79" s="1504"/>
      <c r="AU79" s="20"/>
      <c r="AV79" s="20"/>
      <c r="AW79" s="20"/>
      <c r="AX79" s="20"/>
      <c r="AY79" s="20"/>
      <c r="AZ79" s="20"/>
      <c r="BD79" s="1181" t="s">
        <v>2620</v>
      </c>
      <c r="BE79" s="1183">
        <f>'Points System'!AF837</f>
        <v>9</v>
      </c>
    </row>
    <row r="80" spans="1:57" ht="12.95" customHeight="1">
      <c r="A80" s="1504"/>
      <c r="B80" s="1504"/>
      <c r="C80" s="1504"/>
      <c r="D80" s="1504"/>
      <c r="E80" s="1504"/>
      <c r="F80" s="1504"/>
      <c r="G80" s="1504"/>
      <c r="H80" s="1504"/>
      <c r="I80" s="1504"/>
      <c r="J80" s="1504"/>
      <c r="K80" s="1504"/>
      <c r="L80" s="1504"/>
      <c r="M80" s="1504"/>
      <c r="N80" s="1504"/>
      <c r="O80" s="1504"/>
      <c r="P80" s="1504"/>
      <c r="Q80" s="1504"/>
      <c r="R80" s="1504"/>
      <c r="S80" s="1504"/>
      <c r="T80" s="1504"/>
      <c r="U80" s="1504"/>
      <c r="V80" s="1504"/>
      <c r="W80" s="1504"/>
      <c r="X80" s="1504"/>
      <c r="Y80" s="1504"/>
      <c r="Z80" s="1504"/>
      <c r="AA80" s="1504"/>
      <c r="AB80" s="1504"/>
      <c r="AC80" s="1504"/>
      <c r="AD80" s="1504"/>
      <c r="AE80" s="1504"/>
      <c r="AF80" s="1504"/>
      <c r="AG80" s="1504"/>
      <c r="AH80" s="1504"/>
      <c r="AI80" s="1504"/>
      <c r="AJ80" s="1504"/>
      <c r="AK80" s="1504"/>
      <c r="AL80" s="1504"/>
      <c r="AM80" s="1504"/>
      <c r="AN80" s="1504"/>
      <c r="AO80" s="1504"/>
      <c r="AP80" s="1504"/>
      <c r="AQ80" s="1504"/>
      <c r="AR80" s="1504"/>
      <c r="AS80" s="1504"/>
      <c r="AT80" s="1504"/>
      <c r="AU80" s="20"/>
      <c r="AV80" s="20"/>
      <c r="AW80" s="20"/>
      <c r="AX80" s="20"/>
      <c r="AY80" s="20"/>
      <c r="AZ80" s="20"/>
      <c r="BD80" s="1182" t="s">
        <v>2502</v>
      </c>
      <c r="BE80" s="1183">
        <f>'Points System'!AF839</f>
        <v>10</v>
      </c>
    </row>
    <row r="81" spans="1:57" ht="12.95" customHeight="1">
      <c r="A81" s="1504"/>
      <c r="B81" s="1504"/>
      <c r="C81" s="1504"/>
      <c r="D81" s="1504"/>
      <c r="E81" s="1504"/>
      <c r="F81" s="1504"/>
      <c r="G81" s="1504"/>
      <c r="H81" s="1504"/>
      <c r="I81" s="1504"/>
      <c r="J81" s="1504"/>
      <c r="K81" s="1504"/>
      <c r="L81" s="1504"/>
      <c r="M81" s="1504"/>
      <c r="N81" s="1504"/>
      <c r="O81" s="1504"/>
      <c r="P81" s="1504"/>
      <c r="Q81" s="1504"/>
      <c r="R81" s="1504"/>
      <c r="S81" s="1504"/>
      <c r="T81" s="1504"/>
      <c r="U81" s="1504"/>
      <c r="V81" s="1504"/>
      <c r="W81" s="1504"/>
      <c r="X81" s="1504"/>
      <c r="Y81" s="1504"/>
      <c r="Z81" s="1504"/>
      <c r="AA81" s="1504"/>
      <c r="AB81" s="1504"/>
      <c r="AC81" s="1504"/>
      <c r="AD81" s="1504"/>
      <c r="AE81" s="1504"/>
      <c r="AF81" s="1504"/>
      <c r="AG81" s="1504"/>
      <c r="AH81" s="1504"/>
      <c r="AI81" s="1504"/>
      <c r="AJ81" s="1504"/>
      <c r="AK81" s="1504"/>
      <c r="AL81" s="1504"/>
      <c r="AM81" s="1504"/>
      <c r="AN81" s="1504"/>
      <c r="AO81" s="1504"/>
      <c r="AP81" s="1504"/>
      <c r="AQ81" s="1504"/>
      <c r="AR81" s="1504"/>
      <c r="AS81" s="1504"/>
      <c r="AT81" s="1504"/>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70" t="s">
        <v>2117</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181" t="s">
        <v>2505</v>
      </c>
      <c r="BE83" s="1187">
        <f>'Tie Breaker'!H5</f>
        <v>2.6961935476178853</v>
      </c>
    </row>
    <row r="84" spans="1:57"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182" t="s">
        <v>2506</v>
      </c>
      <c r="BE84" s="1183" t="str">
        <f>Application!O153</f>
        <v>Sacramento Housing and Redevelopment Agency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Ms. Christina Weichert, Assistant Director</v>
      </c>
    </row>
    <row r="86" spans="1:57" ht="12.95" customHeight="1">
      <c r="A86" s="1270" t="s">
        <v>2118</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182" t="s">
        <v>2508</v>
      </c>
      <c r="BE86" s="1183" t="str">
        <f>Application!O155</f>
        <v>City Manager</v>
      </c>
    </row>
    <row r="87" spans="1:57"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181" t="s">
        <v>2509</v>
      </c>
      <c r="BE87" s="1183" t="str">
        <f>Application!O156</f>
        <v>801 12th St., 12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 xml:space="preserve">Sacramento   </v>
      </c>
    </row>
    <row r="89" spans="1:57" ht="12.95" customHeight="1">
      <c r="A89" s="1795" t="s">
        <v>2119</v>
      </c>
      <c r="B89" s="1795"/>
      <c r="C89" s="1795"/>
      <c r="D89" s="1795"/>
      <c r="E89" s="1795"/>
      <c r="F89" s="1795"/>
      <c r="G89" s="1795"/>
      <c r="H89" s="1795"/>
      <c r="I89" s="1795"/>
      <c r="J89" s="1795"/>
      <c r="K89" s="1795"/>
      <c r="L89" s="1795"/>
      <c r="M89" s="1795"/>
      <c r="N89" s="1795"/>
      <c r="O89" s="1795"/>
      <c r="P89" s="1795"/>
      <c r="Q89" s="1795"/>
      <c r="R89" s="1795"/>
      <c r="S89" s="1795"/>
      <c r="T89" s="1795"/>
      <c r="U89" s="1795"/>
      <c r="V89" s="1795"/>
      <c r="W89" s="1795"/>
      <c r="X89" s="1795"/>
      <c r="Y89" s="1795"/>
      <c r="Z89" s="1795"/>
      <c r="AA89" s="1795"/>
      <c r="AB89" s="1795"/>
      <c r="AC89" s="1795"/>
      <c r="AD89" s="1795"/>
      <c r="AE89" s="1795"/>
      <c r="AF89" s="1795"/>
      <c r="AG89" s="1795"/>
      <c r="AH89" s="1795"/>
      <c r="AI89" s="1795"/>
      <c r="AJ89" s="1795"/>
      <c r="AK89" s="1795"/>
      <c r="AL89" s="1795"/>
      <c r="AM89" s="1795"/>
      <c r="AN89" s="1795"/>
      <c r="AO89" s="1795"/>
      <c r="AP89" s="1795"/>
      <c r="AQ89" s="1795"/>
      <c r="AR89" s="1795"/>
      <c r="AS89" s="1795"/>
      <c r="AT89" s="1795"/>
      <c r="AU89" s="17"/>
      <c r="AV89" s="17"/>
      <c r="AW89" s="17"/>
      <c r="AX89" s="17"/>
      <c r="AY89" s="17"/>
      <c r="AZ89" s="20"/>
      <c r="BD89" s="1181" t="s">
        <v>2511</v>
      </c>
      <c r="BE89" s="1183">
        <f>Application!O158</f>
        <v>95814</v>
      </c>
    </row>
    <row r="90" spans="1:57" ht="12.95" customHeight="1">
      <c r="A90" s="1795"/>
      <c r="B90" s="1795"/>
      <c r="C90" s="1795"/>
      <c r="D90" s="1795"/>
      <c r="E90" s="1795"/>
      <c r="F90" s="1795"/>
      <c r="G90" s="1795"/>
      <c r="H90" s="1795"/>
      <c r="I90" s="1795"/>
      <c r="J90" s="1795"/>
      <c r="K90" s="1795"/>
      <c r="L90" s="1795"/>
      <c r="M90" s="1795"/>
      <c r="N90" s="1795"/>
      <c r="O90" s="1795"/>
      <c r="P90" s="1795"/>
      <c r="Q90" s="1795"/>
      <c r="R90" s="1795"/>
      <c r="S90" s="1795"/>
      <c r="T90" s="1795"/>
      <c r="U90" s="1795"/>
      <c r="V90" s="1795"/>
      <c r="W90" s="1795"/>
      <c r="X90" s="1795"/>
      <c r="Y90" s="1795"/>
      <c r="Z90" s="1795"/>
      <c r="AA90" s="1795"/>
      <c r="AB90" s="1795"/>
      <c r="AC90" s="1795"/>
      <c r="AD90" s="1795"/>
      <c r="AE90" s="1795"/>
      <c r="AF90" s="1795"/>
      <c r="AG90" s="1795"/>
      <c r="AH90" s="1795"/>
      <c r="AI90" s="1795"/>
      <c r="AJ90" s="1795"/>
      <c r="AK90" s="1795"/>
      <c r="AL90" s="1795"/>
      <c r="AM90" s="1795"/>
      <c r="AN90" s="1795"/>
      <c r="AO90" s="1795"/>
      <c r="AP90" s="1795"/>
      <c r="AQ90" s="1795"/>
      <c r="AR90" s="1795"/>
      <c r="AS90" s="1795"/>
      <c r="AT90" s="1795"/>
      <c r="AU90" s="17"/>
      <c r="AV90" s="17"/>
      <c r="AW90" s="17"/>
      <c r="AX90" s="17"/>
      <c r="AY90" s="17"/>
      <c r="AZ90" s="20"/>
      <c r="BD90" s="1182" t="s">
        <v>2512</v>
      </c>
      <c r="BE90" s="1183" t="str">
        <f>Application!H16</f>
        <v xml:space="preserve">AMCAL Clover Fund,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30141 Agoura Rd Ste 100</v>
      </c>
    </row>
    <row r="92" spans="1:57" ht="12.95" customHeight="1">
      <c r="A92" s="1796" t="s">
        <v>2120</v>
      </c>
      <c r="B92" s="1796"/>
      <c r="C92" s="1796"/>
      <c r="D92" s="1796"/>
      <c r="E92" s="1796"/>
      <c r="F92" s="1796"/>
      <c r="G92" s="1796"/>
      <c r="H92" s="1796"/>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1796"/>
      <c r="AF92" s="1796"/>
      <c r="AG92" s="1796"/>
      <c r="AH92" s="1796"/>
      <c r="AI92" s="1796"/>
      <c r="AJ92" s="1796"/>
      <c r="AK92" s="1796"/>
      <c r="AL92" s="1796"/>
      <c r="AM92" s="1796"/>
      <c r="AN92" s="1796"/>
      <c r="AO92" s="1796"/>
      <c r="AP92" s="1796"/>
      <c r="AQ92" s="1796"/>
      <c r="AR92" s="1796"/>
      <c r="AS92" s="1796"/>
      <c r="AT92" s="1796"/>
      <c r="AU92" s="20"/>
      <c r="AV92" s="20"/>
      <c r="AW92" s="20"/>
      <c r="AX92" s="20"/>
      <c r="AY92" s="20"/>
      <c r="AZ92" s="20"/>
      <c r="BD92" s="1182" t="s">
        <v>2514</v>
      </c>
      <c r="BE92" s="1183" t="str">
        <f>Application!M243</f>
        <v>Agoura</v>
      </c>
    </row>
    <row r="93" spans="1:57" ht="12.95" customHeight="1">
      <c r="A93" s="1796"/>
      <c r="B93" s="1796"/>
      <c r="C93" s="1796"/>
      <c r="D93" s="1796"/>
      <c r="E93" s="1796"/>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6"/>
      <c r="AK93" s="1796"/>
      <c r="AL93" s="1796"/>
      <c r="AM93" s="1796"/>
      <c r="AN93" s="1796"/>
      <c r="AO93" s="1796"/>
      <c r="AP93" s="1796"/>
      <c r="AQ93" s="1796"/>
      <c r="AR93" s="1796"/>
      <c r="AS93" s="1796"/>
      <c r="AT93" s="1796"/>
      <c r="AU93" s="20"/>
      <c r="AV93" s="20"/>
      <c r="AW93" s="20"/>
      <c r="AX93" s="20"/>
      <c r="AY93" s="20"/>
      <c r="AZ93" s="20"/>
      <c r="BD93" s="1181" t="s">
        <v>2515</v>
      </c>
      <c r="BE93" s="1183" t="str">
        <f>Application!W243</f>
        <v>CA</v>
      </c>
    </row>
    <row r="94" spans="1:57" ht="12.95" customHeight="1">
      <c r="A94" s="1796"/>
      <c r="B94" s="1796"/>
      <c r="C94" s="1796"/>
      <c r="D94" s="1796"/>
      <c r="E94" s="1796"/>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6"/>
      <c r="AK94" s="1796"/>
      <c r="AL94" s="1796"/>
      <c r="AM94" s="1796"/>
      <c r="AN94" s="1796"/>
      <c r="AO94" s="1796"/>
      <c r="AP94" s="1796"/>
      <c r="AQ94" s="1796"/>
      <c r="AR94" s="1796"/>
      <c r="AS94" s="1796"/>
      <c r="AT94" s="1796"/>
      <c r="AU94" s="20"/>
      <c r="AV94" s="20"/>
      <c r="AW94" s="20"/>
      <c r="AX94" s="20"/>
      <c r="AY94" s="20"/>
      <c r="AZ94" s="20"/>
      <c r="BD94" s="1182" t="s">
        <v>2516</v>
      </c>
      <c r="BE94" s="1183">
        <f>Application!AC243</f>
        <v>91301</v>
      </c>
    </row>
    <row r="95" spans="1:57" ht="12.95" customHeight="1">
      <c r="A95" s="1796"/>
      <c r="B95" s="1796"/>
      <c r="C95" s="1796"/>
      <c r="D95" s="1796"/>
      <c r="E95" s="1796"/>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6"/>
      <c r="AK95" s="1796"/>
      <c r="AL95" s="1796"/>
      <c r="AM95" s="1796"/>
      <c r="AN95" s="1796"/>
      <c r="AO95" s="1796"/>
      <c r="AP95" s="1796"/>
      <c r="AQ95" s="1796"/>
      <c r="AR95" s="1796"/>
      <c r="AS95" s="1796"/>
      <c r="AT95" s="1796"/>
      <c r="AU95" s="20"/>
      <c r="AV95" s="20"/>
      <c r="AW95" s="20"/>
      <c r="AX95" s="20"/>
      <c r="AY95" s="20"/>
      <c r="AZ95" s="20"/>
      <c r="BD95" s="1181" t="s">
        <v>2517</v>
      </c>
      <c r="BE95" s="1183" t="str">
        <f>Application!M244</f>
        <v>Arjun Nagarkatti</v>
      </c>
    </row>
    <row r="96" spans="1:57" ht="12.95" customHeight="1">
      <c r="A96" s="1796"/>
      <c r="B96" s="1796"/>
      <c r="C96" s="1796"/>
      <c r="D96" s="1796"/>
      <c r="E96" s="1796"/>
      <c r="F96" s="1796"/>
      <c r="G96" s="1796"/>
      <c r="H96" s="1796"/>
      <c r="I96" s="1796"/>
      <c r="J96" s="1796"/>
      <c r="K96" s="1796"/>
      <c r="L96" s="1796"/>
      <c r="M96" s="1796"/>
      <c r="N96" s="1796"/>
      <c r="O96" s="1796"/>
      <c r="P96" s="1796"/>
      <c r="Q96" s="1796"/>
      <c r="R96" s="1796"/>
      <c r="S96" s="1796"/>
      <c r="T96" s="1796"/>
      <c r="U96" s="1796"/>
      <c r="V96" s="1796"/>
      <c r="W96" s="1796"/>
      <c r="X96" s="1796"/>
      <c r="Y96" s="1796"/>
      <c r="Z96" s="1796"/>
      <c r="AA96" s="1796"/>
      <c r="AB96" s="1796"/>
      <c r="AC96" s="1796"/>
      <c r="AD96" s="1796"/>
      <c r="AE96" s="1796"/>
      <c r="AF96" s="1796"/>
      <c r="AG96" s="1796"/>
      <c r="AH96" s="1796"/>
      <c r="AI96" s="1796"/>
      <c r="AJ96" s="1796"/>
      <c r="AK96" s="1796"/>
      <c r="AL96" s="1796"/>
      <c r="AM96" s="1796"/>
      <c r="AN96" s="1796"/>
      <c r="AO96" s="1796"/>
      <c r="AP96" s="1796"/>
      <c r="AQ96" s="1796"/>
      <c r="AR96" s="1796"/>
      <c r="AS96" s="1796"/>
      <c r="AT96" s="1796"/>
      <c r="AU96" s="20"/>
      <c r="AV96" s="20"/>
      <c r="AW96" s="20"/>
      <c r="AX96" s="20"/>
      <c r="AY96" s="20"/>
      <c r="AZ96" s="20"/>
      <c r="BD96" s="1182" t="s">
        <v>2518</v>
      </c>
      <c r="BE96" s="1183" t="str">
        <f>Application!M246</f>
        <v>rkianfar@amcalhousing.com</v>
      </c>
    </row>
    <row r="97" spans="1:57" ht="12.95" customHeight="1">
      <c r="A97" s="1796"/>
      <c r="B97" s="1796"/>
      <c r="C97" s="1796"/>
      <c r="D97" s="1796"/>
      <c r="E97" s="1796"/>
      <c r="F97" s="1796"/>
      <c r="G97" s="1796"/>
      <c r="H97" s="1796"/>
      <c r="I97" s="1796"/>
      <c r="J97" s="1796"/>
      <c r="K97" s="1796"/>
      <c r="L97" s="1796"/>
      <c r="M97" s="1796"/>
      <c r="N97" s="1796"/>
      <c r="O97" s="1796"/>
      <c r="P97" s="1796"/>
      <c r="Q97" s="1796"/>
      <c r="R97" s="1796"/>
      <c r="S97" s="1796"/>
      <c r="T97" s="1796"/>
      <c r="U97" s="1796"/>
      <c r="V97" s="1796"/>
      <c r="W97" s="1796"/>
      <c r="X97" s="1796"/>
      <c r="Y97" s="1796"/>
      <c r="Z97" s="1796"/>
      <c r="AA97" s="1796"/>
      <c r="AB97" s="1796"/>
      <c r="AC97" s="1796"/>
      <c r="AD97" s="1796"/>
      <c r="AE97" s="1796"/>
      <c r="AF97" s="1796"/>
      <c r="AG97" s="1796"/>
      <c r="AH97" s="1796"/>
      <c r="AI97" s="1796"/>
      <c r="AJ97" s="1796"/>
      <c r="AK97" s="1796"/>
      <c r="AL97" s="1796"/>
      <c r="AM97" s="1796"/>
      <c r="AN97" s="1796"/>
      <c r="AO97" s="1796"/>
      <c r="AP97" s="1796"/>
      <c r="AQ97" s="1796"/>
      <c r="AR97" s="1796"/>
      <c r="AS97" s="1796"/>
      <c r="AT97" s="1796"/>
      <c r="AU97" s="20"/>
      <c r="AV97" s="20"/>
      <c r="AW97" s="20"/>
      <c r="AX97" s="20"/>
      <c r="AY97" s="20"/>
      <c r="AZ97" s="20"/>
      <c r="BD97" s="1181" t="s">
        <v>2519</v>
      </c>
      <c r="BE97" s="1183" t="str">
        <f>Application!M257</f>
        <v>rkianfar@amcalhousing.com</v>
      </c>
    </row>
    <row r="98" spans="1:57" ht="12.95" customHeight="1">
      <c r="A98" s="1796"/>
      <c r="B98" s="1796"/>
      <c r="C98" s="1796"/>
      <c r="D98" s="1796"/>
      <c r="E98" s="1796"/>
      <c r="F98" s="1796"/>
      <c r="G98" s="1796"/>
      <c r="H98" s="1796"/>
      <c r="I98" s="1796"/>
      <c r="J98" s="1796"/>
      <c r="K98" s="1796"/>
      <c r="L98" s="1796"/>
      <c r="M98" s="1796"/>
      <c r="N98" s="1796"/>
      <c r="O98" s="1796"/>
      <c r="P98" s="1796"/>
      <c r="Q98" s="1796"/>
      <c r="R98" s="1796"/>
      <c r="S98" s="1796"/>
      <c r="T98" s="1796"/>
      <c r="U98" s="1796"/>
      <c r="V98" s="1796"/>
      <c r="W98" s="1796"/>
      <c r="X98" s="1796"/>
      <c r="Y98" s="1796"/>
      <c r="Z98" s="1796"/>
      <c r="AA98" s="1796"/>
      <c r="AB98" s="1796"/>
      <c r="AC98" s="1796"/>
      <c r="AD98" s="1796"/>
      <c r="AE98" s="1796"/>
      <c r="AF98" s="1796"/>
      <c r="AG98" s="1796"/>
      <c r="AH98" s="1796"/>
      <c r="AI98" s="1796"/>
      <c r="AJ98" s="1796"/>
      <c r="AK98" s="1796"/>
      <c r="AL98" s="1796"/>
      <c r="AM98" s="1796"/>
      <c r="AN98" s="1796"/>
      <c r="AO98" s="1796"/>
      <c r="AP98" s="1796"/>
      <c r="AQ98" s="1796"/>
      <c r="AR98" s="1796"/>
      <c r="AS98" s="1796"/>
      <c r="AT98" s="1796"/>
      <c r="AU98" s="20"/>
      <c r="AV98" s="20"/>
      <c r="AW98" s="20"/>
      <c r="AX98" s="20"/>
      <c r="AY98" s="20"/>
      <c r="AZ98" s="20"/>
      <c r="BD98" s="1182" t="s">
        <v>2520</v>
      </c>
      <c r="BE98" s="1183" t="str">
        <f>Application!M265</f>
        <v>jmichaels@laspalmashousing.com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797" t="s">
        <v>2121</v>
      </c>
      <c r="B100" s="1797"/>
      <c r="C100" s="1797"/>
      <c r="D100" s="1797"/>
      <c r="E100" s="1797"/>
      <c r="F100" s="1797"/>
      <c r="G100" s="1797"/>
      <c r="H100" s="1797"/>
      <c r="I100" s="1797"/>
      <c r="J100" s="1797"/>
      <c r="K100" s="1797"/>
      <c r="L100" s="1797"/>
      <c r="M100" s="1797"/>
      <c r="N100" s="1797"/>
      <c r="O100" s="1797"/>
      <c r="P100" s="1797"/>
      <c r="Q100" s="1797"/>
      <c r="R100" s="1797"/>
      <c r="S100" s="1797"/>
      <c r="T100" s="1797"/>
      <c r="U100" s="1797"/>
      <c r="V100" s="1797"/>
      <c r="W100" s="1797"/>
      <c r="X100" s="1797"/>
      <c r="Y100" s="1797"/>
      <c r="Z100" s="1797"/>
      <c r="AA100" s="1797"/>
      <c r="AB100" s="1797"/>
      <c r="AC100" s="1797"/>
      <c r="AD100" s="1797"/>
      <c r="AE100" s="1797"/>
      <c r="AF100" s="1797"/>
      <c r="AG100" s="1797"/>
      <c r="AH100" s="1797"/>
      <c r="AI100" s="1797"/>
      <c r="AJ100" s="1797"/>
      <c r="AK100" s="1797"/>
      <c r="AL100" s="1797"/>
      <c r="AM100" s="1797"/>
      <c r="AN100" s="1797"/>
      <c r="AO100" s="1797"/>
      <c r="AP100" s="1797"/>
      <c r="AQ100" s="1797"/>
      <c r="AR100" s="1797"/>
      <c r="AS100" s="1797"/>
      <c r="AT100" s="1797"/>
      <c r="AU100" s="20"/>
      <c r="AV100" s="20"/>
      <c r="AW100" s="20"/>
      <c r="AX100" s="20"/>
      <c r="AY100" s="20"/>
      <c r="AZ100" s="20"/>
      <c r="BD100" s="1182" t="s">
        <v>2522</v>
      </c>
      <c r="BE100" s="1183" t="str">
        <f>Application!L288</f>
        <v>William@kingdomdevelopment.net</v>
      </c>
    </row>
    <row r="101" spans="1:57" ht="12.95" customHeight="1">
      <c r="A101" s="1797"/>
      <c r="B101" s="1797"/>
      <c r="C101" s="1797"/>
      <c r="D101" s="1797"/>
      <c r="E101" s="1797"/>
      <c r="F101" s="1797"/>
      <c r="G101" s="1797"/>
      <c r="H101" s="1797"/>
      <c r="I101" s="1797"/>
      <c r="J101" s="1797"/>
      <c r="K101" s="1797"/>
      <c r="L101" s="1797"/>
      <c r="M101" s="1797"/>
      <c r="N101" s="1797"/>
      <c r="O101" s="1797"/>
      <c r="P101" s="1797"/>
      <c r="Q101" s="1797"/>
      <c r="R101" s="1797"/>
      <c r="S101" s="1797"/>
      <c r="T101" s="1797"/>
      <c r="U101" s="1797"/>
      <c r="V101" s="1797"/>
      <c r="W101" s="1797"/>
      <c r="X101" s="1797"/>
      <c r="Y101" s="1797"/>
      <c r="Z101" s="1797"/>
      <c r="AA101" s="1797"/>
      <c r="AB101" s="1797"/>
      <c r="AC101" s="1797"/>
      <c r="AD101" s="1797"/>
      <c r="AE101" s="1797"/>
      <c r="AF101" s="1797"/>
      <c r="AG101" s="1797"/>
      <c r="AH101" s="1797"/>
      <c r="AI101" s="1797"/>
      <c r="AJ101" s="1797"/>
      <c r="AK101" s="1797"/>
      <c r="AL101" s="1797"/>
      <c r="AM101" s="1797"/>
      <c r="AN101" s="1797"/>
      <c r="AO101" s="1797"/>
      <c r="AP101" s="1797"/>
      <c r="AQ101" s="1797"/>
      <c r="AR101" s="1797"/>
      <c r="AS101" s="1797"/>
      <c r="AT101" s="1797"/>
      <c r="AU101" s="20"/>
      <c r="AV101" s="20"/>
      <c r="AW101" s="20"/>
      <c r="AX101" s="20"/>
      <c r="AY101" s="20"/>
      <c r="AZ101" s="20"/>
      <c r="BD101" s="3" t="s">
        <v>2527</v>
      </c>
      <c r="BE101">
        <f>'Sources and Uses Budget'!C105</f>
        <v>142708832</v>
      </c>
    </row>
    <row r="102" spans="1:57" ht="12.95" customHeight="1">
      <c r="A102" s="1797"/>
      <c r="B102" s="1797"/>
      <c r="C102" s="1797"/>
      <c r="D102" s="1797"/>
      <c r="E102" s="1797"/>
      <c r="F102" s="1797"/>
      <c r="G102" s="1797"/>
      <c r="H102" s="1797"/>
      <c r="I102" s="1797"/>
      <c r="J102" s="1797"/>
      <c r="K102" s="1797"/>
      <c r="L102" s="1797"/>
      <c r="M102" s="1797"/>
      <c r="N102" s="1797"/>
      <c r="O102" s="1797"/>
      <c r="P102" s="1797"/>
      <c r="Q102" s="1797"/>
      <c r="R102" s="1797"/>
      <c r="S102" s="1797"/>
      <c r="T102" s="1797"/>
      <c r="U102" s="1797"/>
      <c r="V102" s="1797"/>
      <c r="W102" s="1797"/>
      <c r="X102" s="1797"/>
      <c r="Y102" s="1797"/>
      <c r="Z102" s="1797"/>
      <c r="AA102" s="1797"/>
      <c r="AB102" s="1797"/>
      <c r="AC102" s="1797"/>
      <c r="AD102" s="1797"/>
      <c r="AE102" s="1797"/>
      <c r="AF102" s="1797"/>
      <c r="AG102" s="1797"/>
      <c r="AH102" s="1797"/>
      <c r="AI102" s="1797"/>
      <c r="AJ102" s="1797"/>
      <c r="AK102" s="1797"/>
      <c r="AL102" s="1797"/>
      <c r="AM102" s="1797"/>
      <c r="AN102" s="1797"/>
      <c r="AO102" s="1797"/>
      <c r="AP102" s="1797"/>
      <c r="AQ102" s="1797"/>
      <c r="AR102" s="1797"/>
      <c r="AS102" s="1797"/>
      <c r="AT102" s="1797"/>
      <c r="AU102" s="20"/>
      <c r="AV102" s="20"/>
      <c r="AW102" s="20"/>
      <c r="AX102" s="20"/>
      <c r="AY102" s="20"/>
      <c r="AZ102" s="20"/>
      <c r="BD102" s="3" t="s">
        <v>2528</v>
      </c>
      <c r="BE102" t="b">
        <f>T197="Yes"</f>
        <v>0</v>
      </c>
    </row>
    <row r="103" spans="1:57" ht="12.95" customHeight="1">
      <c r="A103" s="1797"/>
      <c r="B103" s="1797"/>
      <c r="C103" s="1797"/>
      <c r="D103" s="1797"/>
      <c r="E103" s="1797"/>
      <c r="F103" s="1797"/>
      <c r="G103" s="1797"/>
      <c r="H103" s="1797"/>
      <c r="I103" s="1797"/>
      <c r="J103" s="1797"/>
      <c r="K103" s="1797"/>
      <c r="L103" s="1797"/>
      <c r="M103" s="1797"/>
      <c r="N103" s="1797"/>
      <c r="O103" s="1797"/>
      <c r="P103" s="1797"/>
      <c r="Q103" s="1797"/>
      <c r="R103" s="1797"/>
      <c r="S103" s="1797"/>
      <c r="T103" s="1797"/>
      <c r="U103" s="1797"/>
      <c r="V103" s="1797"/>
      <c r="W103" s="1797"/>
      <c r="X103" s="1797"/>
      <c r="Y103" s="1797"/>
      <c r="Z103" s="1797"/>
      <c r="AA103" s="1797"/>
      <c r="AB103" s="1797"/>
      <c r="AC103" s="1797"/>
      <c r="AD103" s="1797"/>
      <c r="AE103" s="1797"/>
      <c r="AF103" s="1797"/>
      <c r="AG103" s="1797"/>
      <c r="AH103" s="1797"/>
      <c r="AI103" s="1797"/>
      <c r="AJ103" s="1797"/>
      <c r="AK103" s="1797"/>
      <c r="AL103" s="1797"/>
      <c r="AM103" s="1797"/>
      <c r="AN103" s="1797"/>
      <c r="AO103" s="1797"/>
      <c r="AP103" s="1797"/>
      <c r="AQ103" s="1797"/>
      <c r="AR103" s="1797"/>
      <c r="AS103" s="1797"/>
      <c r="AT103" s="1797"/>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797" t="s">
        <v>2122</v>
      </c>
      <c r="B105" s="1797"/>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7"/>
      <c r="AP105" s="1797"/>
      <c r="AQ105" s="1797"/>
      <c r="AR105" s="1797"/>
      <c r="AS105" s="1797"/>
      <c r="AT105" s="1797"/>
      <c r="AU105" s="20"/>
      <c r="AV105" s="20"/>
      <c r="AW105" s="20"/>
      <c r="AX105" s="20"/>
      <c r="AY105" s="20"/>
      <c r="BD105" s="3" t="s">
        <v>2544</v>
      </c>
      <c r="BE105" s="1183" t="b">
        <f>V224="Yes"</f>
        <v>0</v>
      </c>
    </row>
    <row r="106" spans="1:57" ht="12.95" customHeight="1">
      <c r="A106" s="1797"/>
      <c r="B106" s="1797"/>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7"/>
      <c r="AP106" s="1797"/>
      <c r="AQ106" s="1797"/>
      <c r="AR106" s="1797"/>
      <c r="AS106" s="1797"/>
      <c r="AT106" s="1797"/>
      <c r="AU106" s="20"/>
      <c r="AV106" s="20"/>
      <c r="AW106" s="20"/>
      <c r="AX106" s="20"/>
      <c r="AY106" s="20"/>
      <c r="BD106" s="3" t="s">
        <v>2545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8">
        <v>19</v>
      </c>
      <c r="H113" s="1788"/>
      <c r="I113" s="3" t="s">
        <v>182</v>
      </c>
      <c r="L113" s="1788" t="s">
        <v>2742</v>
      </c>
      <c r="M113" s="1788"/>
      <c r="N113" s="1788"/>
      <c r="O113" s="1788"/>
      <c r="P113" s="1789" t="s">
        <v>2612</v>
      </c>
      <c r="Q113" s="1789"/>
      <c r="R113" s="1789"/>
      <c r="S113" s="178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6" t="s">
        <v>2743</v>
      </c>
      <c r="D115" s="1806"/>
      <c r="E115" s="1806"/>
      <c r="F115" s="1806"/>
      <c r="G115" s="1806"/>
      <c r="H115" s="1806"/>
      <c r="I115" s="1806"/>
      <c r="J115" s="1806"/>
      <c r="K115" s="180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8"/>
      <c r="Z117" s="1788"/>
      <c r="AA117" s="1788"/>
      <c r="AB117" s="1788"/>
      <c r="AC117" s="1788"/>
      <c r="AD117" s="1788"/>
      <c r="AE117" s="1788"/>
      <c r="AF117" s="1788"/>
      <c r="AG117" s="1788"/>
      <c r="AH117" s="1788"/>
      <c r="AI117" s="1788"/>
      <c r="AJ117" s="1788"/>
      <c r="AK117" s="178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t="s">
        <v>2657</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7" t="s">
        <v>469</v>
      </c>
      <c r="CV122" s="1688"/>
      <c r="CW122" s="14"/>
      <c r="CX122" s="14" t="s">
        <v>634</v>
      </c>
      <c r="CY122" s="14"/>
      <c r="CZ122" s="14"/>
      <c r="DA122" s="14"/>
      <c r="DB122" s="14"/>
      <c r="DC122" s="14"/>
      <c r="DD122" s="14"/>
      <c r="DE122" s="14"/>
      <c r="DF122" s="14"/>
      <c r="DG122" s="1684" t="str">
        <f>T189</f>
        <v>Sacramento</v>
      </c>
      <c r="DH122" s="1685"/>
      <c r="DI122" s="1685"/>
      <c r="DJ122" s="1685"/>
      <c r="DK122" s="1685"/>
      <c r="DL122" s="1685"/>
      <c r="DM122" s="1686"/>
    </row>
    <row r="123" spans="1:117" ht="12.95" customHeight="1">
      <c r="A123" s="3"/>
      <c r="B123" s="3"/>
      <c r="T123" s="3"/>
      <c r="U123" s="3"/>
      <c r="V123" s="3"/>
      <c r="W123" s="3"/>
      <c r="X123" s="3"/>
      <c r="Y123" s="1788" t="s">
        <v>2744</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9"/>
      <c r="G150" s="1349"/>
      <c r="H150" s="1349"/>
      <c r="I150" s="1349"/>
      <c r="J150" s="1349"/>
      <c r="K150" s="1349"/>
      <c r="L150" s="1349"/>
      <c r="M150" s="1349"/>
      <c r="N150" s="1349"/>
      <c r="O150" s="1349"/>
      <c r="P150" s="1349"/>
      <c r="Q150" s="1349"/>
      <c r="R150" s="1349"/>
      <c r="S150" s="1349"/>
      <c r="T150" s="134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505" t="s">
        <v>2646</v>
      </c>
      <c r="P153" s="1506"/>
      <c r="Q153" s="1506"/>
      <c r="R153" s="1506"/>
      <c r="S153" s="1506"/>
      <c r="T153" s="1506"/>
      <c r="U153" s="1506"/>
      <c r="V153" s="1506"/>
      <c r="W153" s="1506"/>
      <c r="X153" s="1506"/>
      <c r="Y153" s="1506"/>
      <c r="Z153" s="1506"/>
      <c r="AA153" s="1506"/>
      <c r="AB153" s="1506"/>
      <c r="AC153" s="1506"/>
      <c r="AD153" s="1506"/>
      <c r="AE153" s="1506"/>
      <c r="AF153" s="1506"/>
      <c r="AG153" s="1506"/>
      <c r="AH153" s="1506"/>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390" t="s">
        <v>2647</v>
      </c>
      <c r="P154" s="1444"/>
      <c r="Q154" s="1444"/>
      <c r="R154" s="1444"/>
      <c r="S154" s="1444"/>
      <c r="T154" s="1444"/>
      <c r="U154" s="1444"/>
      <c r="V154" s="1444"/>
      <c r="W154" s="1444"/>
      <c r="X154" s="1444"/>
      <c r="Y154" s="1444"/>
      <c r="Z154" s="1444"/>
      <c r="AA154" s="1444"/>
      <c r="AB154" s="1444"/>
      <c r="AC154" s="1444"/>
      <c r="AD154" s="1444"/>
      <c r="AE154" s="1444"/>
      <c r="AF154" s="1444"/>
      <c r="AG154" s="1444"/>
      <c r="AH154" s="1444"/>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1" t="s">
        <v>440</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505" t="s">
        <v>2648</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05" t="s">
        <v>2649</v>
      </c>
      <c r="P157" s="1506"/>
      <c r="Q157" s="1506"/>
      <c r="R157" s="1506"/>
      <c r="S157" s="1506"/>
      <c r="T157" s="1506"/>
      <c r="U157" s="1506"/>
      <c r="V157" s="1506"/>
      <c r="W157" s="1506"/>
      <c r="X157" s="150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0">
        <v>95814</v>
      </c>
      <c r="P158" s="1800"/>
      <c r="Q158" s="1800"/>
      <c r="R158" s="180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v>9164401353</v>
      </c>
      <c r="P159" s="1782"/>
      <c r="Q159" s="1782"/>
      <c r="R159" s="1782"/>
      <c r="S159" s="1782"/>
      <c r="T159" s="1782"/>
      <c r="V159" s="97" t="s">
        <v>271</v>
      </c>
      <c r="W159" s="1801"/>
      <c r="X159" s="180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2">
        <v>9164981655</v>
      </c>
      <c r="P160" s="1782"/>
      <c r="Q160" s="1782"/>
      <c r="R160" s="1782"/>
      <c r="S160" s="1782"/>
      <c r="T160" s="178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86" t="s">
        <v>2650</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07" t="s">
        <v>2172</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7" t="s">
        <v>539</v>
      </c>
      <c r="B169" s="1527"/>
      <c r="C169" s="1527"/>
      <c r="D169" s="1527"/>
      <c r="E169" s="1527"/>
      <c r="F169" s="1527"/>
      <c r="G169" s="1527"/>
      <c r="H169" s="1527"/>
      <c r="I169" s="1527"/>
      <c r="J169" s="1527"/>
      <c r="K169" s="1527"/>
      <c r="L169" s="1527"/>
      <c r="M169" s="1527"/>
      <c r="N169" s="1527"/>
      <c r="O169" s="1527"/>
      <c r="P169" s="1527"/>
      <c r="Q169" s="1527"/>
      <c r="R169" s="1527"/>
      <c r="S169" s="1527"/>
      <c r="T169" s="1527"/>
      <c r="U169" s="1527"/>
      <c r="V169" s="1527"/>
      <c r="W169" s="1527"/>
      <c r="X169" s="1527"/>
      <c r="Y169" s="1527"/>
      <c r="Z169" s="1527"/>
      <c r="AA169" s="1527"/>
      <c r="AB169" s="1527"/>
      <c r="AC169" s="1527"/>
      <c r="AD169" s="1527"/>
      <c r="AE169" s="1527"/>
      <c r="AF169" s="1527"/>
      <c r="AG169" s="1527"/>
      <c r="AH169" s="1527"/>
      <c r="AI169" s="1527"/>
      <c r="AJ169" s="1527"/>
      <c r="AK169" s="1527"/>
      <c r="AL169" s="1527"/>
      <c r="AM169" s="1527"/>
      <c r="AN169" s="1527"/>
      <c r="AO169" s="1527"/>
      <c r="AP169" s="1527"/>
      <c r="AQ169" s="1527"/>
      <c r="AR169" s="1527"/>
      <c r="AS169" s="1527"/>
      <c r="AT169" s="152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7"/>
      <c r="B170" s="1527"/>
      <c r="C170" s="1527"/>
      <c r="D170" s="1527"/>
      <c r="E170" s="1527"/>
      <c r="F170" s="1527"/>
      <c r="G170" s="1527"/>
      <c r="H170" s="1527"/>
      <c r="I170" s="1527"/>
      <c r="J170" s="1527"/>
      <c r="K170" s="1527"/>
      <c r="L170" s="1527"/>
      <c r="M170" s="1527"/>
      <c r="N170" s="1527"/>
      <c r="O170" s="1527"/>
      <c r="P170" s="1527"/>
      <c r="Q170" s="1527"/>
      <c r="R170" s="1527"/>
      <c r="S170" s="1527"/>
      <c r="T170" s="1527"/>
      <c r="U170" s="1527"/>
      <c r="V170" s="1527"/>
      <c r="W170" s="1527"/>
      <c r="X170" s="1527"/>
      <c r="Y170" s="1527"/>
      <c r="Z170" s="1527"/>
      <c r="AA170" s="1527"/>
      <c r="AB170" s="1527"/>
      <c r="AC170" s="1527"/>
      <c r="AD170" s="1527"/>
      <c r="AE170" s="1527"/>
      <c r="AF170" s="1527"/>
      <c r="AG170" s="1527"/>
      <c r="AH170" s="1527"/>
      <c r="AI170" s="1527"/>
      <c r="AJ170" s="1527"/>
      <c r="AK170" s="1527"/>
      <c r="AL170" s="1527"/>
      <c r="AM170" s="1527"/>
      <c r="AN170" s="1527"/>
      <c r="AO170" s="1527"/>
      <c r="AP170" s="1527"/>
      <c r="AQ170" s="1527"/>
      <c r="AR170" s="1527"/>
      <c r="AS170" s="1527"/>
      <c r="AT170" s="152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99" t="s">
        <v>2058</v>
      </c>
      <c r="K174" s="1399"/>
      <c r="L174" s="1399"/>
      <c r="M174" s="1399"/>
      <c r="N174" s="1399"/>
      <c r="O174" s="1399"/>
      <c r="P174" s="1399"/>
      <c r="Q174" s="1399"/>
      <c r="R174" s="1399"/>
      <c r="S174" s="1399"/>
      <c r="T174" s="1399"/>
      <c r="U174" s="1399"/>
      <c r="V174" s="1399"/>
      <c r="W174" s="1399"/>
      <c r="X174" s="1399"/>
      <c r="Y174" s="1399"/>
      <c r="Z174" s="1399"/>
      <c r="AA174" s="1399"/>
      <c r="AB174" s="1399"/>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47" t="s">
        <v>669</v>
      </c>
      <c r="V175" s="1347"/>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480"/>
      <c r="V176" s="1480"/>
      <c r="W176" s="1" t="s">
        <v>306</v>
      </c>
      <c r="X176" s="1785"/>
      <c r="Y176" s="1785"/>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47" t="s">
        <v>669</v>
      </c>
      <c r="S177" s="1347"/>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784"/>
      <c r="AG178" s="1784"/>
      <c r="AH178" s="1" t="s">
        <v>306</v>
      </c>
      <c r="AI178" s="1790"/>
      <c r="AJ178" s="1790"/>
      <c r="AK178" s="1790"/>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347" t="s">
        <v>669</v>
      </c>
      <c r="Y180" s="1347"/>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89" t="str">
        <f>H18</f>
        <v xml:space="preserve">Clover Apartments </v>
      </c>
      <c r="J184" s="1489"/>
      <c r="K184" s="1489"/>
      <c r="L184" s="1489"/>
      <c r="M184" s="1489"/>
      <c r="N184" s="1489"/>
      <c r="O184" s="1489"/>
      <c r="P184" s="1489"/>
      <c r="Q184" s="1489"/>
      <c r="R184" s="1489"/>
      <c r="S184" s="1489"/>
      <c r="T184" s="1489"/>
      <c r="U184" s="1489"/>
      <c r="V184" s="1489"/>
      <c r="W184" s="1489"/>
      <c r="X184" s="1489"/>
      <c r="Y184" s="1489"/>
      <c r="Z184" s="1489"/>
      <c r="AA184" s="1489"/>
      <c r="AB184" s="1489"/>
      <c r="AC184" s="1489"/>
      <c r="AD184" s="1489"/>
      <c r="AE184" s="1489"/>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90" t="s">
        <v>2651</v>
      </c>
      <c r="J185" s="1454"/>
      <c r="K185" s="1454"/>
      <c r="L185" s="1454"/>
      <c r="M185" s="1454"/>
      <c r="N185" s="1454"/>
      <c r="O185" s="1454"/>
      <c r="P185" s="1454"/>
      <c r="Q185" s="1454"/>
      <c r="R185" s="1454"/>
      <c r="S185" s="1454"/>
      <c r="T185" s="1454"/>
      <c r="U185" s="1454"/>
      <c r="V185" s="1454"/>
      <c r="W185" s="1454"/>
      <c r="X185" s="1454"/>
      <c r="Y185" s="1454"/>
      <c r="Z185" s="1454"/>
      <c r="AA185" s="1454"/>
      <c r="AB185" s="1454"/>
      <c r="AC185" s="1454"/>
      <c r="AD185" s="1454"/>
      <c r="AE185" s="1454"/>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794"/>
      <c r="F187" s="1794"/>
      <c r="G187" s="1794"/>
      <c r="H187" s="1794"/>
      <c r="I187" s="1794"/>
      <c r="J187" s="1794"/>
      <c r="K187" s="1794"/>
      <c r="L187" s="1794"/>
      <c r="M187" s="1794"/>
      <c r="N187" s="1794"/>
      <c r="O187" s="1794"/>
      <c r="P187" s="1794"/>
      <c r="Q187" s="1794"/>
      <c r="R187" s="1794"/>
      <c r="S187" s="1794"/>
      <c r="T187" s="1794"/>
      <c r="U187" s="1794"/>
      <c r="V187" s="1794"/>
      <c r="W187" s="1794"/>
      <c r="X187" s="1794"/>
      <c r="Y187" s="1794"/>
      <c r="Z187" s="1794"/>
      <c r="AA187" s="1794"/>
      <c r="AB187" s="1794"/>
      <c r="AC187" s="1794"/>
      <c r="AD187" s="1794"/>
      <c r="AE187" s="1794"/>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5"/>
      <c r="F188" s="1755"/>
      <c r="G188" s="1755"/>
      <c r="H188" s="1755"/>
      <c r="I188" s="1755"/>
      <c r="J188" s="1755"/>
      <c r="K188" s="1755"/>
      <c r="L188" s="1755"/>
      <c r="M188" s="1755"/>
      <c r="N188" s="1755"/>
      <c r="O188" s="1755"/>
      <c r="P188" s="1755"/>
      <c r="Q188" s="1755"/>
      <c r="R188" s="1755"/>
      <c r="S188" s="1755"/>
      <c r="T188" s="1755"/>
      <c r="U188" s="1755"/>
      <c r="V188" s="1755"/>
      <c r="W188" s="1755"/>
      <c r="X188" s="1755"/>
      <c r="Y188" s="1755"/>
      <c r="Z188" s="1755"/>
      <c r="AA188" s="1755"/>
      <c r="AB188" s="1755"/>
      <c r="AC188" s="1755"/>
      <c r="AD188" s="1755"/>
      <c r="AE188" s="175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05" t="s">
        <v>68</v>
      </c>
      <c r="J189" s="1399"/>
      <c r="K189" s="1399"/>
      <c r="L189" s="1399"/>
      <c r="M189" s="1399"/>
      <c r="N189" s="1399"/>
      <c r="O189" s="1399"/>
      <c r="P189" s="1399"/>
      <c r="Q189" t="s">
        <v>582</v>
      </c>
      <c r="T189" s="1399" t="s">
        <v>68</v>
      </c>
      <c r="U189" s="1399"/>
      <c r="V189" s="1399"/>
      <c r="W189" s="1399"/>
      <c r="X189" s="1399"/>
      <c r="Y189" s="1399"/>
      <c r="Z189" s="1399"/>
      <c r="AA189" s="1399"/>
      <c r="AB189" s="1399"/>
      <c r="AC189" s="1399"/>
      <c r="AD189" s="1399"/>
      <c r="AE189" s="139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54">
        <v>95832</v>
      </c>
      <c r="J190" s="1454"/>
      <c r="K190" s="1454"/>
      <c r="L190" s="1454"/>
      <c r="M190" s="1454"/>
      <c r="N190" s="1454"/>
      <c r="O190" t="s">
        <v>585</v>
      </c>
      <c r="T190" s="1798">
        <v>42.03</v>
      </c>
      <c r="U190" s="1798"/>
      <c r="V190" s="1798"/>
      <c r="W190" s="1798"/>
      <c r="X190" s="1798"/>
      <c r="Y190" s="1798"/>
      <c r="Z190" s="1798"/>
      <c r="AA190" s="1798"/>
      <c r="AB190" s="1798"/>
      <c r="AC190" s="1798"/>
      <c r="AD190" s="1798"/>
      <c r="AE190" s="179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793" t="s">
        <v>2652</v>
      </c>
      <c r="O191" s="1794"/>
      <c r="P191" s="1794"/>
      <c r="Q191" s="1794"/>
      <c r="R191" s="1794"/>
      <c r="S191" s="1794"/>
      <c r="T191" s="1794"/>
      <c r="U191" s="1794"/>
      <c r="V191" s="1794"/>
      <c r="W191" s="1794"/>
      <c r="X191" s="1794"/>
      <c r="Y191" s="1794"/>
      <c r="Z191" s="1794"/>
      <c r="AA191" s="1794"/>
      <c r="AB191" s="1794"/>
      <c r="AC191" s="1794"/>
      <c r="AD191" s="1794"/>
      <c r="AE191" s="179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5"/>
      <c r="O192" s="1755"/>
      <c r="P192" s="1755"/>
      <c r="Q192" s="1755"/>
      <c r="R192" s="1755"/>
      <c r="S192" s="1755"/>
      <c r="T192" s="1755"/>
      <c r="U192" s="1755"/>
      <c r="V192" s="1755"/>
      <c r="W192" s="1755"/>
      <c r="X192" s="1755"/>
      <c r="Y192" s="1755"/>
      <c r="Z192" s="1755"/>
      <c r="AA192" s="1755"/>
      <c r="AB192" s="1755"/>
      <c r="AC192" s="1755"/>
      <c r="AD192" s="1755"/>
      <c r="AE192" s="1755"/>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787" t="s">
        <v>2169</v>
      </c>
      <c r="U193" s="1787"/>
      <c r="V193" s="1787"/>
      <c r="W193" s="1787"/>
      <c r="X193" s="1787"/>
      <c r="Y193" s="1787"/>
      <c r="Z193" s="1787"/>
      <c r="AA193" s="1787"/>
      <c r="AB193" s="1787"/>
      <c r="AC193" s="1787"/>
      <c r="AD193" s="1787"/>
      <c r="AE193" s="1787"/>
      <c r="AF193" s="1787"/>
      <c r="AG193" s="1787"/>
      <c r="AH193" s="1787"/>
      <c r="AI193" s="178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47" t="s">
        <v>669</v>
      </c>
      <c r="AI194" s="1347"/>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47" t="s">
        <v>669</v>
      </c>
      <c r="U195" s="1347"/>
      <c r="W195" t="s">
        <v>684</v>
      </c>
      <c r="AH195" s="1347">
        <v>7</v>
      </c>
      <c r="AI195" s="1347"/>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84" t="s">
        <v>545</v>
      </c>
      <c r="U196" s="1384"/>
      <c r="W196" t="s">
        <v>685</v>
      </c>
      <c r="AH196" s="1347">
        <v>10</v>
      </c>
      <c r="AI196" s="1347"/>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84" t="s">
        <v>669</v>
      </c>
      <c r="U197" s="1384"/>
      <c r="W197" t="s">
        <v>686</v>
      </c>
      <c r="AH197" s="1347">
        <v>8</v>
      </c>
      <c r="AI197" s="1347"/>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84">
        <v>0</v>
      </c>
      <c r="U198" s="1384"/>
      <c r="V198"/>
      <c r="X198" s="1502" t="s">
        <v>2446</v>
      </c>
      <c r="Y198" s="1502"/>
      <c r="Z198" s="1502"/>
      <c r="AA198" s="1502"/>
      <c r="AB198" s="1502"/>
      <c r="AC198" s="1502"/>
      <c r="AD198" s="1502"/>
      <c r="AE198" s="1502"/>
      <c r="AF198" s="1502"/>
      <c r="AG198" s="1502"/>
      <c r="AH198" s="1502"/>
      <c r="AI198" s="1502"/>
      <c r="AJ198" s="1502"/>
      <c r="AK198" s="1502"/>
      <c r="AL198" s="1502"/>
      <c r="AM198" s="1502"/>
      <c r="AN198" s="1502"/>
      <c r="AO198" s="1502"/>
      <c r="AP198" s="1502"/>
      <c r="AQ198" s="1502"/>
      <c r="AR198" s="1502"/>
      <c r="AS198" s="1502"/>
      <c r="AT198" s="150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347" t="s">
        <v>669</v>
      </c>
      <c r="U199" s="1347"/>
      <c r="V199"/>
      <c r="W199"/>
      <c r="X199" s="1502"/>
      <c r="Y199" s="1502"/>
      <c r="Z199" s="1502"/>
      <c r="AA199" s="1502"/>
      <c r="AB199" s="1502"/>
      <c r="AC199" s="1502"/>
      <c r="AD199" s="1502"/>
      <c r="AE199" s="1502"/>
      <c r="AF199" s="1502"/>
      <c r="AG199" s="1502"/>
      <c r="AH199" s="1502"/>
      <c r="AI199" s="1502"/>
      <c r="AJ199" s="1502"/>
      <c r="AK199" s="1502"/>
      <c r="AL199" s="1502"/>
      <c r="AM199" s="1502"/>
      <c r="AN199" s="1502"/>
      <c r="AO199" s="1502"/>
      <c r="AP199" s="1502"/>
      <c r="AQ199" s="1502"/>
      <c r="AR199" s="1502"/>
      <c r="AS199" s="1502"/>
      <c r="AT199" s="150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347" t="s">
        <v>669</v>
      </c>
      <c r="U200" s="1347"/>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89" t="s">
        <v>385</v>
      </c>
      <c r="E204" s="1489"/>
      <c r="F204" s="1489"/>
      <c r="G204" s="1489"/>
      <c r="H204" s="1489"/>
      <c r="I204" s="1489"/>
      <c r="J204" s="1489"/>
      <c r="K204" s="1489"/>
      <c r="L204" s="1489"/>
      <c r="M204" s="1489"/>
      <c r="P204" s="1808">
        <f>M26</f>
        <v>6467338</v>
      </c>
      <c r="Q204" s="1783"/>
      <c r="R204" s="1783"/>
      <c r="S204" s="1783"/>
      <c r="T204" s="1783"/>
      <c r="U204" s="1783"/>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04" t="s">
        <v>1247</v>
      </c>
      <c r="E205" s="1489"/>
      <c r="F205" s="1489"/>
      <c r="G205" s="1489"/>
      <c r="H205" s="1489"/>
      <c r="I205" s="1489"/>
      <c r="J205" s="1489"/>
      <c r="K205" s="1489"/>
      <c r="L205" s="1489"/>
      <c r="M205" s="1489"/>
      <c r="P205" s="1783">
        <f>M27</f>
        <v>0</v>
      </c>
      <c r="Q205" s="1783"/>
      <c r="R205" s="1783"/>
      <c r="S205" s="1783"/>
      <c r="T205" s="1783"/>
      <c r="U205" s="1783"/>
      <c r="V205" s="28"/>
      <c r="W205" s="3" t="s">
        <v>1709</v>
      </c>
      <c r="Z205" s="1809" t="s">
        <v>1184</v>
      </c>
      <c r="AA205" s="1809"/>
      <c r="AB205" s="1809"/>
      <c r="AC205" s="1809"/>
      <c r="AD205" s="1809"/>
      <c r="AE205" s="1809"/>
      <c r="AF205" s="1809"/>
      <c r="AG205" s="1809"/>
      <c r="AH205" s="1809"/>
      <c r="AI205" s="1809"/>
      <c r="AJ205" s="1809"/>
      <c r="AK205" s="1809"/>
      <c r="AL205" s="1809"/>
      <c r="AM205" s="1809"/>
      <c r="AN205" s="1809"/>
      <c r="AP205" s="1349"/>
      <c r="AQ205" s="134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06" t="s">
        <v>2653</v>
      </c>
      <c r="E208" s="1506"/>
      <c r="F208" s="1506"/>
      <c r="G208" s="1506"/>
      <c r="H208" s="1506"/>
      <c r="I208" s="1506"/>
      <c r="J208" s="1506"/>
      <c r="K208" s="1506"/>
      <c r="L208" s="1506"/>
      <c r="M208" s="1506"/>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06" t="s">
        <v>1041</v>
      </c>
      <c r="E211" s="1506"/>
      <c r="F211" s="1506"/>
      <c r="G211" s="1506"/>
      <c r="H211" s="1506"/>
      <c r="I211" s="1506"/>
      <c r="J211" s="1506"/>
      <c r="K211" s="1506"/>
      <c r="L211" s="1506"/>
      <c r="M211" s="150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347">
        <v>0</v>
      </c>
      <c r="R212" s="1347"/>
      <c r="T212" s="1791">
        <f>IFERROR(Q212/AG449,0)</f>
        <v>0</v>
      </c>
      <c r="U212" s="1792"/>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5" t="s">
        <v>591</v>
      </c>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66"/>
      <c r="AC215" s="1766"/>
      <c r="AD215" s="1766"/>
      <c r="AE215" s="1766"/>
      <c r="AF215" s="1766"/>
      <c r="AG215" s="1766"/>
      <c r="AH215" s="1766"/>
      <c r="AI215" s="1766"/>
      <c r="AJ215" s="1766"/>
      <c r="AK215" s="1766"/>
      <c r="AL215" s="1766"/>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66"/>
      <c r="AC216" s="1766"/>
      <c r="AD216" s="1766"/>
      <c r="AE216" s="1766"/>
      <c r="AF216" s="1766"/>
      <c r="AG216" s="1766"/>
      <c r="AH216" s="1766"/>
      <c r="AI216" s="1766"/>
      <c r="AJ216" s="1766"/>
      <c r="AK216" s="1766"/>
      <c r="AL216" s="1766"/>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506" t="s">
        <v>1064</v>
      </c>
      <c r="E220" s="1506"/>
      <c r="F220" s="1506"/>
      <c r="G220" s="1506"/>
      <c r="H220" s="1506"/>
      <c r="I220" s="1506"/>
      <c r="J220" s="1506"/>
      <c r="K220" s="1506"/>
      <c r="L220" s="1506"/>
      <c r="M220" s="1506"/>
      <c r="N220" s="1506"/>
      <c r="O220" s="1506"/>
      <c r="P220" s="1506"/>
      <c r="Q220" s="1506"/>
      <c r="R220" s="1506"/>
      <c r="S220" s="1506"/>
      <c r="T220" s="1506"/>
      <c r="U220" s="1506"/>
      <c r="V220" s="1506"/>
      <c r="W220" s="1506"/>
      <c r="X220" s="1506"/>
      <c r="Y220" s="1506"/>
      <c r="Z220" s="1506"/>
      <c r="AC220" s="1803" t="s">
        <v>2400</v>
      </c>
      <c r="AD220" s="1803"/>
      <c r="AE220" s="1803"/>
      <c r="AF220" s="1803"/>
      <c r="AG220" s="1803"/>
      <c r="AH220" s="1803"/>
      <c r="AI220" s="1803"/>
      <c r="AJ220" s="1803"/>
      <c r="AK220" s="1803"/>
      <c r="AL220" s="1803"/>
      <c r="AM220" s="1803"/>
      <c r="AN220" s="1803"/>
      <c r="AO220" s="1803"/>
      <c r="AP220" s="1803"/>
      <c r="AQ220" s="1803"/>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347" t="s">
        <v>669</v>
      </c>
      <c r="W224" s="1347"/>
      <c r="Y224" s="1193"/>
      <c r="BA224" s="3"/>
    </row>
    <row r="225" spans="1:69" ht="12.95" customHeight="1">
      <c r="A225" s="2"/>
      <c r="B225" s="14"/>
      <c r="C225" s="2"/>
      <c r="E225" s="3" t="s">
        <v>2545</v>
      </c>
      <c r="V225" s="1347" t="s">
        <v>669</v>
      </c>
      <c r="W225" s="134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84" t="s">
        <v>669</v>
      </c>
      <c r="W226" s="1384"/>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84" t="s">
        <v>669</v>
      </c>
      <c r="W227" s="1384"/>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84" t="s">
        <v>545</v>
      </c>
      <c r="W228" s="1384"/>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84" t="s">
        <v>669</v>
      </c>
      <c r="W229" s="1384"/>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7" t="s">
        <v>540</v>
      </c>
      <c r="B231" s="1527"/>
      <c r="C231" s="1527"/>
      <c r="D231" s="1527"/>
      <c r="E231" s="1527"/>
      <c r="F231" s="1527"/>
      <c r="G231" s="1527"/>
      <c r="H231" s="1527"/>
      <c r="I231" s="1527"/>
      <c r="J231" s="1527"/>
      <c r="K231" s="1527"/>
      <c r="L231" s="1527"/>
      <c r="M231" s="1527"/>
      <c r="N231" s="1527"/>
      <c r="O231" s="1527"/>
      <c r="P231" s="1527"/>
      <c r="Q231" s="1527"/>
      <c r="R231" s="1527"/>
      <c r="S231" s="1527"/>
      <c r="T231" s="1527"/>
      <c r="U231" s="1527"/>
      <c r="V231" s="1527"/>
      <c r="W231" s="1527"/>
      <c r="X231" s="1527"/>
      <c r="Y231" s="1527"/>
      <c r="Z231" s="1527"/>
      <c r="AA231" s="1527"/>
      <c r="AB231" s="1527"/>
      <c r="AC231" s="1527"/>
      <c r="AD231" s="1527"/>
      <c r="AE231" s="1527"/>
      <c r="AF231" s="1527"/>
      <c r="AG231" s="1527"/>
      <c r="AH231" s="1527"/>
      <c r="AI231" s="1527"/>
      <c r="AJ231" s="1527"/>
      <c r="AK231" s="1527"/>
      <c r="AL231" s="1527"/>
      <c r="AM231" s="1527"/>
      <c r="AN231" s="1527"/>
      <c r="AO231" s="1527"/>
      <c r="AP231" s="1527"/>
      <c r="AQ231" s="1527"/>
      <c r="AR231" s="1527"/>
      <c r="AS231" s="1527"/>
      <c r="AT231" s="1527"/>
      <c r="AU231" s="95"/>
      <c r="AV231" s="95"/>
      <c r="AW231" s="95"/>
      <c r="AX231" s="95"/>
      <c r="AY231" s="95"/>
      <c r="AZ231" s="3"/>
      <c r="BA231" s="3"/>
      <c r="BP231" s="34"/>
    </row>
    <row r="232" spans="1:69" ht="12.95" customHeight="1">
      <c r="A232" s="1527"/>
      <c r="B232" s="1527"/>
      <c r="C232" s="1527"/>
      <c r="D232" s="1527"/>
      <c r="E232" s="1527"/>
      <c r="F232" s="1527"/>
      <c r="G232" s="1527"/>
      <c r="H232" s="1527"/>
      <c r="I232" s="1527"/>
      <c r="J232" s="1527"/>
      <c r="K232" s="1527"/>
      <c r="L232" s="1527"/>
      <c r="M232" s="1527"/>
      <c r="N232" s="1527"/>
      <c r="O232" s="1527"/>
      <c r="P232" s="1527"/>
      <c r="Q232" s="1527"/>
      <c r="R232" s="1527"/>
      <c r="S232" s="1527"/>
      <c r="T232" s="1527"/>
      <c r="U232" s="1527"/>
      <c r="V232" s="1527"/>
      <c r="W232" s="1527"/>
      <c r="X232" s="1527"/>
      <c r="Y232" s="1527"/>
      <c r="Z232" s="1527"/>
      <c r="AA232" s="1527"/>
      <c r="AB232" s="1527"/>
      <c r="AC232" s="1527"/>
      <c r="AD232" s="1527"/>
      <c r="AE232" s="1527"/>
      <c r="AF232" s="1527"/>
      <c r="AG232" s="1527"/>
      <c r="AH232" s="1527"/>
      <c r="AI232" s="1527"/>
      <c r="AJ232" s="1527"/>
      <c r="AK232" s="1527"/>
      <c r="AL232" s="1527"/>
      <c r="AM232" s="1527"/>
      <c r="AN232" s="1527"/>
      <c r="AO232" s="1527"/>
      <c r="AP232" s="1527"/>
      <c r="AQ232" s="1527"/>
      <c r="AR232" s="1527"/>
      <c r="AS232" s="1527"/>
      <c r="AT232" s="1527"/>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7" t="s">
        <v>545</v>
      </c>
      <c r="AJ235" s="1347"/>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7" t="s">
        <v>591</v>
      </c>
      <c r="AJ236" s="1347"/>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7" t="s">
        <v>591</v>
      </c>
      <c r="AJ237" s="1347"/>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7" t="s">
        <v>591</v>
      </c>
      <c r="AJ238" s="1347"/>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9" t="str">
        <f>H16</f>
        <v xml:space="preserve">AMCAL Clover Fund, LP </v>
      </c>
      <c r="N241" s="1799"/>
      <c r="O241" s="1799"/>
      <c r="P241" s="1799"/>
      <c r="Q241" s="1799"/>
      <c r="R241" s="1799"/>
      <c r="S241" s="1799"/>
      <c r="T241" s="1799"/>
      <c r="U241" s="1799"/>
      <c r="V241" s="1799"/>
      <c r="W241" s="1799"/>
      <c r="X241" s="1799"/>
      <c r="Y241" s="1799"/>
      <c r="Z241" s="1799"/>
      <c r="AA241" s="1799"/>
      <c r="AB241" s="1799"/>
      <c r="AC241" s="1799"/>
      <c r="AD241" s="1799"/>
      <c r="AE241" s="1799"/>
      <c r="AF241" s="1799"/>
      <c r="AG241" s="1799"/>
      <c r="AH241" s="1799"/>
      <c r="AI241" s="1799"/>
      <c r="AJ241" s="1799"/>
      <c r="AK241" s="1799"/>
      <c r="AZ241" s="4"/>
      <c r="BA241" s="3"/>
      <c r="BB241" s="205" t="s">
        <v>538</v>
      </c>
      <c r="BG241" s="241">
        <f>IF(AND(AND($M$258="nonprofit",$M$266="nonprofit",$M$274="for profit")),2,0)</f>
        <v>0</v>
      </c>
    </row>
    <row r="242" spans="1:67" ht="12.95" customHeight="1">
      <c r="D242" s="4" t="s">
        <v>85</v>
      </c>
      <c r="E242" s="4"/>
      <c r="F242" s="4"/>
      <c r="G242" s="4"/>
      <c r="H242" s="4"/>
      <c r="I242" s="4"/>
      <c r="J242" s="4"/>
      <c r="K242" s="4"/>
      <c r="M242" s="1505" t="s">
        <v>2654</v>
      </c>
      <c r="N242" s="1506"/>
      <c r="O242" s="1506"/>
      <c r="P242" s="1506"/>
      <c r="Q242" s="1506"/>
      <c r="R242" s="1506"/>
      <c r="S242" s="1506"/>
      <c r="T242" s="1506"/>
      <c r="U242" s="1506"/>
      <c r="V242" s="1506"/>
      <c r="W242" s="1506"/>
      <c r="X242" s="1506"/>
      <c r="Y242" s="1506"/>
      <c r="Z242" s="1506"/>
      <c r="AA242" s="1506"/>
      <c r="AB242" s="1506"/>
      <c r="AC242" s="1506"/>
      <c r="AD242" s="1506"/>
      <c r="AE242" s="1506"/>
      <c r="BB242" s="205" t="s">
        <v>538</v>
      </c>
      <c r="BG242" s="241">
        <f>IF(AND(AND($M$258="nonprofit",$M$266="for profit",$M$274="nonprofit")),2,0)</f>
        <v>0</v>
      </c>
    </row>
    <row r="243" spans="1:67" ht="12.95" customHeight="1">
      <c r="D243" s="4" t="s">
        <v>580</v>
      </c>
      <c r="E243" s="4"/>
      <c r="M243" s="1505" t="s">
        <v>2655</v>
      </c>
      <c r="N243" s="1506"/>
      <c r="O243" s="1506"/>
      <c r="P243" s="1506"/>
      <c r="Q243" s="1506"/>
      <c r="R243" s="1506"/>
      <c r="S243" s="1506"/>
      <c r="T243" s="1506"/>
      <c r="V243" s="33" t="s">
        <v>86</v>
      </c>
      <c r="W243" s="1390" t="s">
        <v>2656</v>
      </c>
      <c r="X243" s="1444"/>
      <c r="Y243" s="4" t="s">
        <v>583</v>
      </c>
      <c r="AC243" s="1506">
        <v>91301</v>
      </c>
      <c r="AD243" s="1506"/>
      <c r="AE243" s="1506"/>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05" t="s">
        <v>2657</v>
      </c>
      <c r="N244" s="1506"/>
      <c r="O244" s="1506"/>
      <c r="P244" s="1506"/>
      <c r="Q244" s="1506"/>
      <c r="R244" s="1506"/>
      <c r="S244" s="1506"/>
      <c r="T244" s="1506"/>
      <c r="U244" s="1506"/>
      <c r="V244" s="1506"/>
      <c r="W244" s="1506"/>
      <c r="X244" s="1506"/>
      <c r="Y244" s="1506"/>
      <c r="Z244" s="1506"/>
      <c r="AA244" s="1506"/>
      <c r="AB244" s="1506"/>
      <c r="AC244" s="1506"/>
      <c r="AD244" s="1506"/>
      <c r="AE244" s="1506"/>
      <c r="AI244" s="4"/>
      <c r="AJ244" s="4"/>
      <c r="AK244" s="4"/>
      <c r="AL244" s="4"/>
      <c r="AM244" s="4"/>
      <c r="AN244" s="4"/>
      <c r="AO244" s="4"/>
      <c r="AP244" s="4"/>
      <c r="AQ244" s="4"/>
      <c r="AR244" s="4"/>
      <c r="AS244" s="4"/>
      <c r="AT244" s="4"/>
      <c r="BB244" s="205"/>
      <c r="BG244" s="204"/>
    </row>
    <row r="245" spans="1:67" ht="12.95" customHeight="1">
      <c r="D245" s="4" t="s">
        <v>88</v>
      </c>
      <c r="E245" s="4"/>
      <c r="F245" s="4"/>
      <c r="M245" s="1473">
        <v>8187060694</v>
      </c>
      <c r="N245" s="1473"/>
      <c r="O245" s="1473"/>
      <c r="P245" s="1473"/>
      <c r="Q245" s="1473"/>
      <c r="R245" s="1473"/>
      <c r="S245" s="4" t="s">
        <v>206</v>
      </c>
      <c r="T245" s="4"/>
      <c r="U245" s="1444">
        <v>106</v>
      </c>
      <c r="V245" s="1444"/>
      <c r="W245" s="1444"/>
      <c r="X245" s="4" t="s">
        <v>89</v>
      </c>
      <c r="Z245" s="1473"/>
      <c r="AA245" s="1473"/>
      <c r="AB245" s="1473"/>
      <c r="AC245" s="1473"/>
      <c r="AD245" s="1473"/>
      <c r="AE245" s="1473"/>
      <c r="AU245" s="4"/>
      <c r="AV245" s="4"/>
      <c r="AW245" s="4"/>
      <c r="AX245" s="4"/>
      <c r="AY245" s="4"/>
      <c r="AZ245" s="4"/>
      <c r="BB245" s="204" t="s">
        <v>537</v>
      </c>
      <c r="BG245" s="241">
        <f>IF(AND(AND($M$258="nonprofit",$M$266="nonprofit",$M$274="(select one)")),1,0)</f>
        <v>0</v>
      </c>
    </row>
    <row r="246" spans="1:67" ht="12.95" customHeight="1">
      <c r="D246" s="4" t="s">
        <v>90</v>
      </c>
      <c r="E246" s="4"/>
      <c r="F246" s="4"/>
      <c r="M246" s="1786" t="s">
        <v>2658</v>
      </c>
      <c r="N246" s="1786"/>
      <c r="O246" s="1786"/>
      <c r="P246" s="1786"/>
      <c r="Q246" s="1786"/>
      <c r="R246" s="1786"/>
      <c r="S246" s="1786"/>
      <c r="T246" s="1786"/>
      <c r="U246" s="1786"/>
      <c r="V246" s="1786"/>
      <c r="W246" s="1786"/>
      <c r="X246" s="1786"/>
      <c r="Y246" s="1786"/>
      <c r="Z246" s="1786"/>
      <c r="AA246" s="1786"/>
      <c r="AB246" s="1786"/>
      <c r="AC246" s="1786"/>
      <c r="AD246" s="1786"/>
      <c r="AE246" s="1786"/>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54" t="s">
        <v>526</v>
      </c>
      <c r="N247" s="1454"/>
      <c r="O247" s="1454"/>
      <c r="P247" s="1454"/>
      <c r="Q247" s="1454"/>
      <c r="R247" s="1454"/>
      <c r="S247" s="1454"/>
      <c r="T247" s="1454"/>
      <c r="U247" s="204" t="s">
        <v>906</v>
      </c>
      <c r="V247" s="204"/>
      <c r="W247" s="204"/>
      <c r="X247" s="204"/>
      <c r="Y247" s="204"/>
      <c r="Z247" s="204"/>
      <c r="AA247" s="1779"/>
      <c r="AB247" s="1779"/>
      <c r="AC247" s="1779"/>
      <c r="AD247" s="1779"/>
      <c r="AE247" s="1779"/>
      <c r="AF247" s="1779"/>
      <c r="AG247" s="1779"/>
      <c r="AH247" s="1779"/>
      <c r="AI247" s="1779"/>
      <c r="AJ247" s="1779"/>
      <c r="AK247" s="1779"/>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99" t="s">
        <v>2738</v>
      </c>
      <c r="N248" s="1399"/>
      <c r="O248" s="1399"/>
      <c r="P248" s="1399"/>
      <c r="Q248" s="1399"/>
      <c r="R248" s="1399"/>
      <c r="S248" s="1399"/>
      <c r="T248" s="1399"/>
      <c r="U248" s="1399"/>
      <c r="V248" s="1399"/>
      <c r="W248" s="1399"/>
      <c r="X248" s="1399"/>
      <c r="Y248" s="1399"/>
      <c r="Z248" s="1399"/>
      <c r="AA248" s="1399"/>
      <c r="AB248" s="1399"/>
      <c r="AC248" s="1399"/>
      <c r="AD248" s="1399"/>
      <c r="AE248" s="1399"/>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08" t="s">
        <v>2659</v>
      </c>
      <c r="N252" s="1509"/>
      <c r="O252" s="1509"/>
      <c r="P252" s="1509"/>
      <c r="Q252" s="1509"/>
      <c r="R252" s="1509"/>
      <c r="S252" s="1509"/>
      <c r="T252" s="1509"/>
      <c r="U252" s="1509"/>
      <c r="V252" s="1509"/>
      <c r="W252" s="1509"/>
      <c r="X252" s="1509"/>
      <c r="Y252" s="1509"/>
      <c r="Z252" s="1509"/>
      <c r="AA252" s="1509"/>
      <c r="AB252" s="1509"/>
      <c r="AC252" s="1509"/>
      <c r="AD252" s="1509"/>
      <c r="AE252" s="1509"/>
      <c r="AF252" s="1509" t="s">
        <v>2660</v>
      </c>
      <c r="AG252" s="1509"/>
      <c r="AH252" s="1509"/>
      <c r="AI252" s="1509"/>
      <c r="AJ252" s="1509"/>
      <c r="AK252" s="1509"/>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06" t="str">
        <f>M242</f>
        <v>30141 Agoura Rd Ste 100</v>
      </c>
      <c r="N253" s="1506"/>
      <c r="O253" s="1506"/>
      <c r="P253" s="1506"/>
      <c r="Q253" s="1506"/>
      <c r="R253" s="1506"/>
      <c r="S253" s="1506"/>
      <c r="T253" s="1506"/>
      <c r="U253" s="1506"/>
      <c r="V253" s="1506"/>
      <c r="W253" s="1506"/>
      <c r="X253" s="1506"/>
      <c r="Y253" s="1506"/>
      <c r="Z253" s="1506"/>
      <c r="AA253" s="1506"/>
      <c r="AB253" s="1506"/>
      <c r="AC253" s="1506"/>
      <c r="AD253" s="1506"/>
      <c r="AE253" s="1506"/>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05" t="s">
        <v>2655</v>
      </c>
      <c r="N254" s="1506"/>
      <c r="O254" s="1506"/>
      <c r="P254" s="1506"/>
      <c r="Q254" s="1506"/>
      <c r="R254" s="1506"/>
      <c r="S254" s="1506"/>
      <c r="T254" s="1506"/>
      <c r="V254" s="33" t="s">
        <v>86</v>
      </c>
      <c r="W254" s="1390" t="s">
        <v>2656</v>
      </c>
      <c r="X254" s="1444"/>
      <c r="Y254" s="4" t="s">
        <v>583</v>
      </c>
      <c r="AC254" s="1506">
        <v>91301</v>
      </c>
      <c r="AD254" s="1506"/>
      <c r="AE254" s="1506"/>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06" t="str">
        <f>M244</f>
        <v>Arjun Nagarkatti</v>
      </c>
      <c r="N255" s="1506"/>
      <c r="O255" s="1506"/>
      <c r="P255" s="1506"/>
      <c r="Q255" s="1506"/>
      <c r="R255" s="1506"/>
      <c r="S255" s="1506"/>
      <c r="T255" s="1506"/>
      <c r="U255" s="1506"/>
      <c r="V255" s="1506"/>
      <c r="W255" s="1506"/>
      <c r="X255" s="1506"/>
      <c r="Y255" s="1506"/>
      <c r="Z255" s="1506"/>
      <c r="AA255" s="1506"/>
      <c r="AB255" s="1506"/>
      <c r="AC255" s="1506"/>
      <c r="AD255" s="1506"/>
      <c r="AE255" s="1506"/>
      <c r="AH255" s="1781">
        <v>8.9999999999999993E-3</v>
      </c>
      <c r="AI255" s="1781"/>
      <c r="AJ255" s="1781"/>
      <c r="AK255" s="1781"/>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73">
        <f>M245</f>
        <v>8187060694</v>
      </c>
      <c r="N256" s="1473"/>
      <c r="O256" s="1473"/>
      <c r="P256" s="1473"/>
      <c r="Q256" s="1473"/>
      <c r="R256" s="1473"/>
      <c r="S256" s="4" t="s">
        <v>206</v>
      </c>
      <c r="T256" s="4"/>
      <c r="U256" s="1444">
        <v>106</v>
      </c>
      <c r="V256" s="1444"/>
      <c r="W256" s="1444"/>
      <c r="X256" s="4" t="s">
        <v>89</v>
      </c>
      <c r="Z256" s="1473"/>
      <c r="AA256" s="1473"/>
      <c r="AB256" s="1473"/>
      <c r="AC256" s="1473"/>
      <c r="AD256" s="1473"/>
      <c r="AE256" s="1473"/>
      <c r="AU256" s="4"/>
      <c r="AV256" s="4"/>
      <c r="AW256" s="4"/>
      <c r="AX256" s="4"/>
      <c r="AY256" s="4"/>
      <c r="BG256">
        <v>0</v>
      </c>
      <c r="BH256" s="3" t="str">
        <f>""</f>
        <v/>
      </c>
      <c r="BN256" s="34"/>
    </row>
    <row r="257" spans="1:66" ht="12.95" customHeight="1">
      <c r="A257" s="19"/>
      <c r="B257" s="4"/>
      <c r="C257" s="4"/>
      <c r="D257" s="4" t="s">
        <v>90</v>
      </c>
      <c r="E257" s="4"/>
      <c r="F257" s="4"/>
      <c r="M257" s="1786" t="str">
        <f>M246</f>
        <v>rkianfar@amcalhousing.com</v>
      </c>
      <c r="N257" s="1786"/>
      <c r="O257" s="1786"/>
      <c r="P257" s="1786"/>
      <c r="Q257" s="1786"/>
      <c r="R257" s="1786"/>
      <c r="S257" s="1786"/>
      <c r="T257" s="1786"/>
      <c r="U257" s="1786"/>
      <c r="V257" s="1786"/>
      <c r="W257" s="1786"/>
      <c r="X257" s="1786"/>
      <c r="Y257" s="1786"/>
      <c r="Z257" s="1786"/>
      <c r="AA257" s="1786"/>
      <c r="AB257" s="1786"/>
      <c r="AC257" s="1786"/>
      <c r="AD257" s="1786"/>
      <c r="AE257" s="1786"/>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54" t="s">
        <v>536</v>
      </c>
      <c r="N258" s="1454"/>
      <c r="O258" s="1454"/>
      <c r="P258" s="1454"/>
      <c r="Q258" s="1454"/>
      <c r="R258" s="1454"/>
      <c r="S258" s="1454"/>
      <c r="T258" s="1454"/>
      <c r="U258" s="204" t="s">
        <v>906</v>
      </c>
      <c r="V258" s="204"/>
      <c r="W258" s="204"/>
      <c r="X258" s="204"/>
      <c r="Y258" s="204"/>
      <c r="Z258" s="204"/>
      <c r="AA258" s="1779"/>
      <c r="AB258" s="1779"/>
      <c r="AC258" s="1779"/>
      <c r="AD258" s="1779"/>
      <c r="AE258" s="1779"/>
      <c r="AF258" s="1779"/>
      <c r="AG258" s="1779"/>
      <c r="AH258" s="1779"/>
      <c r="AI258" s="1779"/>
      <c r="AJ258" s="1779"/>
      <c r="AK258" s="1779"/>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08" t="s">
        <v>2661</v>
      </c>
      <c r="N260" s="1509"/>
      <c r="O260" s="1509"/>
      <c r="P260" s="1509"/>
      <c r="Q260" s="1509"/>
      <c r="R260" s="1509"/>
      <c r="S260" s="1509"/>
      <c r="T260" s="1509"/>
      <c r="U260" s="1509"/>
      <c r="V260" s="1509"/>
      <c r="W260" s="1509"/>
      <c r="X260" s="1509"/>
      <c r="Y260" s="1509"/>
      <c r="Z260" s="1509"/>
      <c r="AA260" s="1509"/>
      <c r="AB260" s="1509"/>
      <c r="AC260" s="1509"/>
      <c r="AD260" s="1509"/>
      <c r="AE260" s="1509"/>
      <c r="AF260" s="1509" t="s">
        <v>2662</v>
      </c>
      <c r="AG260" s="1509"/>
      <c r="AH260" s="1509"/>
      <c r="AI260" s="1509"/>
      <c r="AJ260" s="1509"/>
      <c r="AK260" s="1509"/>
      <c r="AU260" s="4"/>
      <c r="AV260" s="4"/>
      <c r="AW260" s="4"/>
      <c r="AX260" s="4"/>
      <c r="AY260" s="4"/>
      <c r="BN260" s="34"/>
    </row>
    <row r="261" spans="1:66" ht="12.95" customHeight="1">
      <c r="A261" s="19"/>
      <c r="B261" s="4"/>
      <c r="C261" s="4"/>
      <c r="D261" s="4" t="s">
        <v>85</v>
      </c>
      <c r="E261" s="4"/>
      <c r="F261" s="4"/>
      <c r="G261" s="4"/>
      <c r="H261" s="4"/>
      <c r="I261" s="4"/>
      <c r="J261" s="4"/>
      <c r="K261" s="4"/>
      <c r="L261" s="4"/>
      <c r="M261" s="1505" t="s">
        <v>2663</v>
      </c>
      <c r="N261" s="1506"/>
      <c r="O261" s="1506"/>
      <c r="P261" s="1506"/>
      <c r="Q261" s="1506"/>
      <c r="R261" s="1506"/>
      <c r="S261" s="1506"/>
      <c r="T261" s="1506"/>
      <c r="U261" s="1506"/>
      <c r="V261" s="1506"/>
      <c r="W261" s="1506"/>
      <c r="X261" s="1506"/>
      <c r="Y261" s="1506"/>
      <c r="Z261" s="1506"/>
      <c r="AA261" s="1506"/>
      <c r="AB261" s="1506"/>
      <c r="AC261" s="1506"/>
      <c r="AD261" s="1506"/>
      <c r="AE261" s="1506"/>
      <c r="AF261" s="3" t="s">
        <v>1179</v>
      </c>
      <c r="AL261" s="4"/>
      <c r="AM261" s="4"/>
      <c r="AN261" s="4"/>
      <c r="AO261" s="4"/>
      <c r="AP261" s="4"/>
      <c r="AQ261" s="4"/>
      <c r="AR261" s="4"/>
      <c r="AS261" s="4"/>
      <c r="AT261" s="4"/>
      <c r="BN261" s="34"/>
    </row>
    <row r="262" spans="1:66" ht="12.95" customHeight="1">
      <c r="A262" s="19"/>
      <c r="B262" s="4"/>
      <c r="C262" s="4"/>
      <c r="D262" s="4" t="s">
        <v>580</v>
      </c>
      <c r="E262" s="4"/>
      <c r="M262" s="1505" t="s">
        <v>2664</v>
      </c>
      <c r="N262" s="1506"/>
      <c r="O262" s="1506"/>
      <c r="P262" s="1506"/>
      <c r="Q262" s="1506"/>
      <c r="R262" s="1506"/>
      <c r="S262" s="1506"/>
      <c r="T262" s="1506"/>
      <c r="V262" s="33" t="s">
        <v>86</v>
      </c>
      <c r="W262" s="1390" t="s">
        <v>2656</v>
      </c>
      <c r="X262" s="1444"/>
      <c r="Y262" s="4" t="s">
        <v>583</v>
      </c>
      <c r="AC262" s="1506">
        <v>92024</v>
      </c>
      <c r="AD262" s="1506"/>
      <c r="AE262" s="1506"/>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05" t="s">
        <v>2665</v>
      </c>
      <c r="N263" s="1506"/>
      <c r="O263" s="1506"/>
      <c r="P263" s="1506"/>
      <c r="Q263" s="1506"/>
      <c r="R263" s="1506"/>
      <c r="S263" s="1506"/>
      <c r="T263" s="1506"/>
      <c r="U263" s="1506"/>
      <c r="V263" s="1506"/>
      <c r="W263" s="1506"/>
      <c r="X263" s="1506"/>
      <c r="Y263" s="1506"/>
      <c r="Z263" s="1506"/>
      <c r="AA263" s="1506"/>
      <c r="AB263" s="1506"/>
      <c r="AC263" s="1506"/>
      <c r="AD263" s="1506"/>
      <c r="AE263" s="1506"/>
      <c r="AH263" s="1781">
        <v>1E-3</v>
      </c>
      <c r="AI263" s="1781"/>
      <c r="AJ263" s="1781"/>
      <c r="AK263" s="1781"/>
      <c r="AL263" s="4"/>
      <c r="AM263" s="4"/>
      <c r="AN263" s="4"/>
      <c r="AO263" s="4"/>
      <c r="AP263" s="4"/>
      <c r="AQ263" s="4"/>
      <c r="AR263" s="4"/>
      <c r="AS263" s="4"/>
      <c r="AT263" s="4"/>
    </row>
    <row r="264" spans="1:66" ht="12.95" customHeight="1">
      <c r="A264" s="19"/>
      <c r="B264" s="4"/>
      <c r="C264" s="4"/>
      <c r="D264" s="4" t="s">
        <v>88</v>
      </c>
      <c r="E264" s="4"/>
      <c r="F264" s="4"/>
      <c r="M264" s="1473">
        <v>7609449050</v>
      </c>
      <c r="N264" s="1473"/>
      <c r="O264" s="1473"/>
      <c r="P264" s="1473"/>
      <c r="Q264" s="1473"/>
      <c r="R264" s="1473"/>
      <c r="S264" s="4" t="s">
        <v>206</v>
      </c>
      <c r="T264" s="4"/>
      <c r="U264" s="1444"/>
      <c r="V264" s="1444"/>
      <c r="W264" s="1444"/>
      <c r="X264" s="4" t="s">
        <v>89</v>
      </c>
      <c r="Z264" s="1473"/>
      <c r="AA264" s="1473"/>
      <c r="AB264" s="1473"/>
      <c r="AC264" s="1473"/>
      <c r="AD264" s="1473"/>
      <c r="AE264" s="1473"/>
      <c r="AU264" s="4"/>
      <c r="AV264" s="4"/>
      <c r="AW264" s="4"/>
      <c r="AX264" s="4"/>
      <c r="AY264" s="4"/>
      <c r="BN264" s="34"/>
    </row>
    <row r="265" spans="1:66" ht="12.95" customHeight="1">
      <c r="A265" s="19"/>
      <c r="B265" s="4"/>
      <c r="C265" s="4"/>
      <c r="D265" s="4" t="s">
        <v>90</v>
      </c>
      <c r="E265" s="4"/>
      <c r="F265" s="4"/>
      <c r="M265" s="1786" t="s">
        <v>2666</v>
      </c>
      <c r="N265" s="1786"/>
      <c r="O265" s="1786"/>
      <c r="P265" s="1786"/>
      <c r="Q265" s="1786"/>
      <c r="R265" s="1786"/>
      <c r="S265" s="1786"/>
      <c r="T265" s="1786"/>
      <c r="U265" s="1786"/>
      <c r="V265" s="1786"/>
      <c r="W265" s="1786"/>
      <c r="X265" s="1786"/>
      <c r="Y265" s="1786"/>
      <c r="Z265" s="1786"/>
      <c r="AA265" s="1786"/>
      <c r="AB265" s="1786"/>
      <c r="AC265" s="1786"/>
      <c r="AD265" s="1786"/>
      <c r="AE265" s="1786"/>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54" t="s">
        <v>534</v>
      </c>
      <c r="N266" s="1454"/>
      <c r="O266" s="1454"/>
      <c r="P266" s="1454"/>
      <c r="Q266" s="1454"/>
      <c r="R266" s="1454"/>
      <c r="S266" s="1454"/>
      <c r="T266" s="1454"/>
      <c r="U266" s="204" t="s">
        <v>906</v>
      </c>
      <c r="V266" s="204"/>
      <c r="W266" s="204"/>
      <c r="X266" s="204"/>
      <c r="Y266" s="204"/>
      <c r="Z266" s="204"/>
      <c r="AA266" s="1778" t="s">
        <v>2747</v>
      </c>
      <c r="AB266" s="1779"/>
      <c r="AC266" s="1779"/>
      <c r="AD266" s="1779"/>
      <c r="AE266" s="1779"/>
      <c r="AF266" s="1779"/>
      <c r="AG266" s="1779"/>
      <c r="AH266" s="1779"/>
      <c r="AI266" s="1779"/>
      <c r="AJ266" s="1779"/>
      <c r="AK266" s="1779"/>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09"/>
      <c r="N268" s="1509"/>
      <c r="O268" s="1509"/>
      <c r="P268" s="1509"/>
      <c r="Q268" s="1509"/>
      <c r="R268" s="1509"/>
      <c r="S268" s="1509"/>
      <c r="T268" s="1509"/>
      <c r="U268" s="1509"/>
      <c r="V268" s="1509"/>
      <c r="W268" s="1509"/>
      <c r="X268" s="1509"/>
      <c r="Y268" s="1509"/>
      <c r="Z268" s="1509"/>
      <c r="AA268" s="1509"/>
      <c r="AB268" s="1509"/>
      <c r="AC268" s="1509"/>
      <c r="AD268" s="1509"/>
      <c r="AE268" s="1509"/>
      <c r="AF268" s="1509" t="s">
        <v>307</v>
      </c>
      <c r="AG268" s="1509"/>
      <c r="AH268" s="1509"/>
      <c r="AI268" s="1509"/>
      <c r="AJ268" s="1509"/>
      <c r="AK268" s="1509"/>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06"/>
      <c r="N269" s="1506"/>
      <c r="O269" s="1506"/>
      <c r="P269" s="1506"/>
      <c r="Q269" s="1506"/>
      <c r="R269" s="1506"/>
      <c r="S269" s="1506"/>
      <c r="T269" s="1506"/>
      <c r="U269" s="1506"/>
      <c r="V269" s="1506"/>
      <c r="W269" s="1506"/>
      <c r="X269" s="1506"/>
      <c r="Y269" s="1506"/>
      <c r="Z269" s="1506"/>
      <c r="AA269" s="1506"/>
      <c r="AB269" s="1506"/>
      <c r="AC269" s="1506"/>
      <c r="AD269" s="1506"/>
      <c r="AE269" s="1506"/>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06"/>
      <c r="N270" s="1506"/>
      <c r="O270" s="1506"/>
      <c r="P270" s="1506"/>
      <c r="Q270" s="1506"/>
      <c r="R270" s="1506"/>
      <c r="S270" s="1506"/>
      <c r="T270" s="1506"/>
      <c r="V270" s="33" t="s">
        <v>86</v>
      </c>
      <c r="W270" s="1444"/>
      <c r="X270" s="1444"/>
      <c r="Y270" s="4" t="s">
        <v>583</v>
      </c>
      <c r="AC270" s="1506"/>
      <c r="AD270" s="1506"/>
      <c r="AE270" s="1506"/>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06"/>
      <c r="N271" s="1506"/>
      <c r="O271" s="1506"/>
      <c r="P271" s="1506"/>
      <c r="Q271" s="1506"/>
      <c r="R271" s="1506"/>
      <c r="S271" s="1506"/>
      <c r="T271" s="1506"/>
      <c r="U271" s="1506"/>
      <c r="V271" s="1506"/>
      <c r="W271" s="1506"/>
      <c r="X271" s="1506"/>
      <c r="Y271" s="1506"/>
      <c r="Z271" s="1506"/>
      <c r="AA271" s="1506"/>
      <c r="AB271" s="1506"/>
      <c r="AC271" s="1506"/>
      <c r="AD271" s="1506"/>
      <c r="AE271" s="1506"/>
      <c r="AH271" s="1781"/>
      <c r="AI271" s="1781"/>
      <c r="AJ271" s="1781"/>
      <c r="AK271" s="1781"/>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73"/>
      <c r="N272" s="1473"/>
      <c r="O272" s="1473"/>
      <c r="P272" s="1473"/>
      <c r="Q272" s="1473"/>
      <c r="R272" s="1473"/>
      <c r="S272" s="4" t="s">
        <v>206</v>
      </c>
      <c r="T272" s="4"/>
      <c r="U272" s="1444"/>
      <c r="V272" s="1444"/>
      <c r="W272" s="1444"/>
      <c r="X272" s="4" t="s">
        <v>89</v>
      </c>
      <c r="Z272" s="1473"/>
      <c r="AA272" s="1473"/>
      <c r="AB272" s="1473"/>
      <c r="AC272" s="1473"/>
      <c r="AD272" s="1473"/>
      <c r="AE272" s="147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86"/>
      <c r="N273" s="1786"/>
      <c r="O273" s="1786"/>
      <c r="P273" s="1786"/>
      <c r="Q273" s="1786"/>
      <c r="R273" s="1786"/>
      <c r="S273" s="1786"/>
      <c r="T273" s="1786"/>
      <c r="U273" s="1786"/>
      <c r="V273" s="1786"/>
      <c r="W273" s="1786"/>
      <c r="X273" s="1786"/>
      <c r="Y273" s="1786"/>
      <c r="Z273" s="1786"/>
      <c r="AA273" s="1812"/>
      <c r="AB273" s="1812"/>
      <c r="AC273" s="1812"/>
      <c r="AD273" s="1812"/>
      <c r="AE273" s="1812"/>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54" t="s">
        <v>307</v>
      </c>
      <c r="N274" s="1454"/>
      <c r="O274" s="1454"/>
      <c r="P274" s="1454"/>
      <c r="Q274" s="1454"/>
      <c r="R274" s="1454"/>
      <c r="S274" s="1454"/>
      <c r="T274" s="1454"/>
      <c r="U274" s="204" t="s">
        <v>906</v>
      </c>
      <c r="V274" s="204"/>
      <c r="W274" s="204"/>
      <c r="X274" s="204"/>
      <c r="Y274" s="204"/>
      <c r="Z274" s="204"/>
      <c r="AA274" s="1780"/>
      <c r="AB274" s="1780"/>
      <c r="AC274" s="1780"/>
      <c r="AD274" s="1780"/>
      <c r="AE274" s="1780"/>
      <c r="AF274" s="1780"/>
      <c r="AG274" s="1780"/>
      <c r="AH274" s="1780"/>
      <c r="AI274" s="1780"/>
      <c r="AJ274" s="1780"/>
      <c r="AK274" s="178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802" t="str">
        <f>IFERROR(BO254,"")</f>
        <v>Joint Venture</v>
      </c>
      <c r="U276" s="1802"/>
      <c r="V276" s="1802"/>
      <c r="W276" s="1802"/>
      <c r="X276" s="1802"/>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05" t="s">
        <v>280</v>
      </c>
      <c r="E279" s="1506"/>
      <c r="F279" s="1506"/>
      <c r="G279" s="1506"/>
      <c r="H279" s="1506"/>
      <c r="J279" t="s">
        <v>279</v>
      </c>
      <c r="X279" s="1694"/>
      <c r="Y279" s="1694"/>
      <c r="Z279" s="1694"/>
      <c r="AA279" s="1694"/>
      <c r="AB279" s="1694"/>
      <c r="AC279" s="1694"/>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08" t="s">
        <v>2667</v>
      </c>
      <c r="M283" s="1509"/>
      <c r="N283" s="1509"/>
      <c r="O283" s="1509"/>
      <c r="P283" s="1509"/>
      <c r="Q283" s="1509"/>
      <c r="R283" s="1509"/>
      <c r="S283" s="1509"/>
      <c r="T283" s="1509"/>
      <c r="U283" s="1509"/>
      <c r="V283" s="1509"/>
      <c r="W283" s="1509"/>
      <c r="X283" s="1509"/>
      <c r="Y283" s="1509"/>
      <c r="Z283" s="1509"/>
      <c r="AA283" s="1509"/>
      <c r="AB283" s="1509"/>
      <c r="AC283" s="1509"/>
      <c r="AD283" s="1509"/>
      <c r="AE283" s="1509"/>
      <c r="AF283" s="1509"/>
      <c r="AG283" s="1509"/>
      <c r="AH283" s="1509"/>
      <c r="AI283" s="1509"/>
      <c r="AJ283" s="1509"/>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5" t="s">
        <v>2668</v>
      </c>
      <c r="M284" s="1506"/>
      <c r="N284" s="1506"/>
      <c r="O284" s="1506"/>
      <c r="P284" s="1506"/>
      <c r="Q284" s="1506"/>
      <c r="R284" s="1506"/>
      <c r="S284" s="1506"/>
      <c r="T284" s="1506"/>
      <c r="U284" s="1506"/>
      <c r="V284" s="1506"/>
      <c r="W284" s="1506"/>
      <c r="X284" s="1506"/>
      <c r="Y284" s="1506"/>
      <c r="Z284" s="1506"/>
      <c r="AA284" s="1506"/>
      <c r="AB284" s="1506"/>
      <c r="AC284" s="1506"/>
      <c r="AD284" s="1506"/>
      <c r="AK284" s="3"/>
      <c r="AL284" s="3"/>
      <c r="AM284" s="3"/>
      <c r="AN284" s="3"/>
      <c r="AO284" s="3"/>
      <c r="AP284" s="3"/>
      <c r="AQ284" s="3"/>
      <c r="AR284" s="3"/>
      <c r="AS284" s="3"/>
      <c r="AT284" s="3"/>
      <c r="AU284" s="3"/>
      <c r="AV284" s="3"/>
      <c r="AW284" s="3"/>
      <c r="AX284" s="3"/>
      <c r="AY284" s="3"/>
    </row>
    <row r="285" spans="1:51" ht="12.95" customHeight="1">
      <c r="D285" s="4" t="s">
        <v>580</v>
      </c>
      <c r="E285" s="4"/>
      <c r="L285" s="1505" t="s">
        <v>67</v>
      </c>
      <c r="M285" s="1506"/>
      <c r="N285" s="1506"/>
      <c r="O285" s="1506"/>
      <c r="P285" s="1506"/>
      <c r="Q285" s="1506"/>
      <c r="R285" s="1506"/>
      <c r="S285" s="1506"/>
      <c r="U285" s="33" t="s">
        <v>86</v>
      </c>
      <c r="V285" s="1390" t="s">
        <v>2656</v>
      </c>
      <c r="W285" s="1444"/>
      <c r="X285" s="4" t="s">
        <v>583</v>
      </c>
      <c r="AB285" s="1506">
        <v>92507</v>
      </c>
      <c r="AC285" s="1506"/>
      <c r="AD285" s="150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5" t="s">
        <v>2669</v>
      </c>
      <c r="M286" s="1506"/>
      <c r="N286" s="1506"/>
      <c r="O286" s="1506"/>
      <c r="P286" s="1506"/>
      <c r="Q286" s="1506"/>
      <c r="R286" s="1506"/>
      <c r="S286" s="1506"/>
      <c r="T286" s="1506"/>
      <c r="U286" s="1506"/>
      <c r="V286" s="1506"/>
      <c r="W286" s="1506"/>
      <c r="X286" s="1506"/>
      <c r="Y286" s="1506"/>
      <c r="Z286" s="1506"/>
      <c r="AA286" s="1506"/>
      <c r="AB286" s="1506"/>
      <c r="AC286" s="1506"/>
      <c r="AD286" s="1506"/>
      <c r="AI286" s="4"/>
      <c r="AJ286" s="4"/>
      <c r="AK286" s="3"/>
      <c r="AL286" s="3"/>
      <c r="AM286" s="3"/>
      <c r="AN286" s="3"/>
      <c r="AO286" s="3"/>
      <c r="AP286" s="3"/>
      <c r="AQ286" s="3"/>
      <c r="AR286" s="3"/>
      <c r="AS286" s="3"/>
      <c r="AT286" s="3"/>
    </row>
    <row r="287" spans="1:51" ht="12.95" customHeight="1">
      <c r="D287" s="4" t="s">
        <v>88</v>
      </c>
      <c r="E287" s="4"/>
      <c r="F287" s="4"/>
      <c r="L287" s="1473">
        <v>9515386244</v>
      </c>
      <c r="M287" s="1473"/>
      <c r="N287" s="1473"/>
      <c r="O287" s="1473"/>
      <c r="P287" s="1473"/>
      <c r="Q287" s="1473"/>
      <c r="R287" s="4" t="s">
        <v>206</v>
      </c>
      <c r="S287" s="4"/>
      <c r="T287" s="1444"/>
      <c r="U287" s="1444"/>
      <c r="V287" s="1444"/>
      <c r="W287" s="4" t="s">
        <v>89</v>
      </c>
      <c r="Y287" s="1473"/>
      <c r="Z287" s="1473"/>
      <c r="AA287" s="1473"/>
      <c r="AB287" s="1473"/>
      <c r="AC287" s="1473"/>
      <c r="AD287" s="1473"/>
    </row>
    <row r="288" spans="1:51" ht="12.95" customHeight="1">
      <c r="D288" s="4" t="s">
        <v>90</v>
      </c>
      <c r="E288" s="4"/>
      <c r="F288" s="4"/>
      <c r="L288" s="1786" t="s">
        <v>2670</v>
      </c>
      <c r="M288" s="1786"/>
      <c r="N288" s="1786"/>
      <c r="O288" s="1786"/>
      <c r="P288" s="1786"/>
      <c r="Q288" s="1786"/>
      <c r="R288" s="1786"/>
      <c r="S288" s="1786"/>
      <c r="T288" s="1786"/>
      <c r="U288" s="1786"/>
      <c r="V288" s="1786"/>
      <c r="W288" s="1786"/>
      <c r="X288" s="1786"/>
      <c r="Y288" s="1786"/>
      <c r="Z288" s="1786"/>
      <c r="AA288" s="1786"/>
      <c r="AB288" s="1786"/>
      <c r="AC288" s="1786"/>
      <c r="AD288" s="1786"/>
      <c r="AF288" s="4"/>
      <c r="AG288" s="4"/>
      <c r="AH288" s="4"/>
      <c r="AI288" s="4"/>
      <c r="AJ288" s="4"/>
      <c r="AU288" s="3"/>
      <c r="AV288" s="3"/>
      <c r="AW288" s="3"/>
      <c r="AX288" s="3"/>
      <c r="AY288" s="3"/>
    </row>
    <row r="289" spans="1:51" ht="12.95" customHeight="1">
      <c r="D289" s="3" t="s">
        <v>623</v>
      </c>
      <c r="E289" s="3"/>
      <c r="F289" s="3"/>
      <c r="G289" s="3"/>
      <c r="H289" s="3"/>
      <c r="I289" s="3"/>
      <c r="L289" s="1390" t="s">
        <v>2671</v>
      </c>
      <c r="M289" s="1390"/>
      <c r="N289" s="1390"/>
      <c r="O289" s="1390"/>
      <c r="P289" s="1390"/>
      <c r="Q289" s="1390"/>
      <c r="R289" s="1390"/>
      <c r="S289" s="1390"/>
      <c r="T289" s="1390"/>
      <c r="U289" s="1390"/>
      <c r="V289" s="1390"/>
      <c r="W289" s="1390"/>
      <c r="X289" s="1390"/>
      <c r="Y289" s="1390"/>
      <c r="Z289" s="1390"/>
      <c r="AA289" s="1390"/>
      <c r="AB289" s="1390"/>
      <c r="AC289" s="1390"/>
      <c r="AD289" s="1390"/>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7" t="s">
        <v>541</v>
      </c>
      <c r="B291" s="1527"/>
      <c r="C291" s="1527"/>
      <c r="D291" s="1527"/>
      <c r="E291" s="1527"/>
      <c r="F291" s="1527"/>
      <c r="G291" s="1527"/>
      <c r="H291" s="1527"/>
      <c r="I291" s="1527"/>
      <c r="J291" s="1527"/>
      <c r="K291" s="1527"/>
      <c r="L291" s="1527"/>
      <c r="M291" s="1527"/>
      <c r="N291" s="1527"/>
      <c r="O291" s="1527"/>
      <c r="P291" s="1527"/>
      <c r="Q291" s="1527"/>
      <c r="R291" s="1527"/>
      <c r="S291" s="1527"/>
      <c r="T291" s="1527"/>
      <c r="U291" s="1527"/>
      <c r="V291" s="1527"/>
      <c r="W291" s="1527"/>
      <c r="X291" s="1527"/>
      <c r="Y291" s="1527"/>
      <c r="Z291" s="1527"/>
      <c r="AA291" s="1527"/>
      <c r="AB291" s="1527"/>
      <c r="AC291" s="1527"/>
      <c r="AD291" s="1527"/>
      <c r="AE291" s="1527"/>
      <c r="AF291" s="1527"/>
      <c r="AG291" s="1527"/>
      <c r="AH291" s="1527"/>
      <c r="AI291" s="1527"/>
      <c r="AJ291" s="1527"/>
      <c r="AK291" s="1527"/>
      <c r="AL291" s="1527"/>
      <c r="AM291" s="1527"/>
      <c r="AN291" s="1527"/>
      <c r="AO291" s="1527"/>
      <c r="AP291" s="1527"/>
      <c r="AQ291" s="1527"/>
      <c r="AR291" s="1527"/>
      <c r="AS291" s="1527"/>
      <c r="AT291" s="1527"/>
      <c r="AU291" s="95"/>
      <c r="AV291" s="95"/>
      <c r="AW291" s="95"/>
      <c r="AX291" s="95"/>
      <c r="AY291" s="95"/>
    </row>
    <row r="292" spans="1:51" ht="12.95" customHeight="1">
      <c r="A292" s="1527"/>
      <c r="B292" s="1527"/>
      <c r="C292" s="1527"/>
      <c r="D292" s="1527"/>
      <c r="E292" s="1527"/>
      <c r="F292" s="1527"/>
      <c r="G292" s="1527"/>
      <c r="H292" s="1527"/>
      <c r="I292" s="1527"/>
      <c r="J292" s="1527"/>
      <c r="K292" s="1527"/>
      <c r="L292" s="1527"/>
      <c r="M292" s="1527"/>
      <c r="N292" s="1527"/>
      <c r="O292" s="1527"/>
      <c r="P292" s="1527"/>
      <c r="Q292" s="1527"/>
      <c r="R292" s="1527"/>
      <c r="S292" s="1527"/>
      <c r="T292" s="1527"/>
      <c r="U292" s="1527"/>
      <c r="V292" s="1527"/>
      <c r="W292" s="1527"/>
      <c r="X292" s="1527"/>
      <c r="Y292" s="1527"/>
      <c r="Z292" s="1527"/>
      <c r="AA292" s="1527"/>
      <c r="AB292" s="1527"/>
      <c r="AC292" s="1527"/>
      <c r="AD292" s="1527"/>
      <c r="AE292" s="1527"/>
      <c r="AF292" s="1527"/>
      <c r="AG292" s="1527"/>
      <c r="AH292" s="1527"/>
      <c r="AI292" s="1527"/>
      <c r="AJ292" s="1527"/>
      <c r="AK292" s="1527"/>
      <c r="AL292" s="1527"/>
      <c r="AM292" s="1527"/>
      <c r="AN292" s="1527"/>
      <c r="AO292" s="1527"/>
      <c r="AP292" s="1527"/>
      <c r="AQ292" s="1527"/>
      <c r="AR292" s="1527"/>
      <c r="AS292" s="1527"/>
      <c r="AT292" s="1527"/>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505" t="s">
        <v>2672</v>
      </c>
      <c r="I296" s="1399"/>
      <c r="J296" s="1399"/>
      <c r="K296" s="1399"/>
      <c r="L296" s="1399"/>
      <c r="M296" s="1399"/>
      <c r="N296" s="1399"/>
      <c r="O296" s="1399"/>
      <c r="P296" s="1399"/>
      <c r="Q296" s="1399"/>
      <c r="R296" s="1399"/>
      <c r="T296" s="3" t="s">
        <v>567</v>
      </c>
      <c r="V296" s="3"/>
      <c r="W296" s="3"/>
      <c r="X296" s="3"/>
      <c r="Y296" s="3"/>
      <c r="AA296" s="1505" t="s">
        <v>2673</v>
      </c>
      <c r="AB296" s="1399"/>
      <c r="AC296" s="1399"/>
      <c r="AD296" s="1399"/>
      <c r="AE296" s="1399"/>
      <c r="AF296" s="1399"/>
      <c r="AG296" s="1399"/>
      <c r="AH296" s="1399"/>
      <c r="AI296" s="1399"/>
      <c r="AJ296" s="1399"/>
      <c r="AK296" s="1399"/>
    </row>
    <row r="297" spans="1:51" ht="12.95" customHeight="1">
      <c r="B297" s="3" t="s">
        <v>471</v>
      </c>
      <c r="C297" s="3"/>
      <c r="D297" s="3"/>
      <c r="E297" s="3"/>
      <c r="F297" s="3"/>
      <c r="H297" s="1454" t="str">
        <f>M253</f>
        <v>30141 Agoura Rd Ste 100</v>
      </c>
      <c r="I297" s="1454"/>
      <c r="J297" s="1454"/>
      <c r="K297" s="1454"/>
      <c r="L297" s="1454"/>
      <c r="M297" s="1454"/>
      <c r="N297" s="1454"/>
      <c r="O297" s="1454"/>
      <c r="P297" s="1454"/>
      <c r="Q297" s="1454"/>
      <c r="R297" s="1454"/>
      <c r="T297" s="3" t="s">
        <v>471</v>
      </c>
      <c r="V297" s="3"/>
      <c r="W297" s="3"/>
      <c r="X297" s="3"/>
      <c r="Y297" s="3"/>
      <c r="AA297" s="1390" t="s">
        <v>2674</v>
      </c>
      <c r="AB297" s="1454"/>
      <c r="AC297" s="1454"/>
      <c r="AD297" s="1454"/>
      <c r="AE297" s="1454"/>
      <c r="AF297" s="1454"/>
      <c r="AG297" s="1454"/>
      <c r="AH297" s="1454"/>
      <c r="AI297" s="1454"/>
      <c r="AJ297" s="1454"/>
      <c r="AK297" s="1454"/>
    </row>
    <row r="298" spans="1:51" ht="12.95" customHeight="1">
      <c r="B298" s="3" t="s">
        <v>472</v>
      </c>
      <c r="C298" s="3"/>
      <c r="D298" s="3"/>
      <c r="E298" s="3"/>
      <c r="F298" s="3"/>
      <c r="H298" s="1390" t="s">
        <v>2675</v>
      </c>
      <c r="I298" s="1454"/>
      <c r="J298" s="1454"/>
      <c r="K298" s="1454"/>
      <c r="L298" s="1454"/>
      <c r="M298" s="1454"/>
      <c r="N298" s="1454"/>
      <c r="O298" s="1454"/>
      <c r="P298" s="1454"/>
      <c r="Q298" s="1454"/>
      <c r="R298" s="1454"/>
      <c r="T298" s="3" t="s">
        <v>75</v>
      </c>
      <c r="V298" s="3"/>
      <c r="W298" s="3"/>
      <c r="X298" s="3"/>
      <c r="Y298" s="3"/>
      <c r="AA298" s="1390" t="s">
        <v>2676</v>
      </c>
      <c r="AB298" s="1454"/>
      <c r="AC298" s="1454"/>
      <c r="AD298" s="1454"/>
      <c r="AE298" s="1454"/>
      <c r="AF298" s="1454"/>
      <c r="AG298" s="1454"/>
      <c r="AH298" s="1454"/>
      <c r="AI298" s="1454"/>
      <c r="AJ298" s="1454"/>
      <c r="AK298" s="1454"/>
    </row>
    <row r="299" spans="1:51" ht="12.95" customHeight="1">
      <c r="B299" s="3" t="s">
        <v>87</v>
      </c>
      <c r="C299" s="3"/>
      <c r="D299" s="3"/>
      <c r="E299" s="3"/>
      <c r="F299" s="3"/>
      <c r="H299" s="1390" t="s">
        <v>2677</v>
      </c>
      <c r="I299" s="1454"/>
      <c r="J299" s="1454"/>
      <c r="K299" s="1454"/>
      <c r="L299" s="1454"/>
      <c r="M299" s="1454"/>
      <c r="N299" s="1454"/>
      <c r="O299" s="1454"/>
      <c r="P299" s="1454"/>
      <c r="Q299" s="1454"/>
      <c r="R299" s="1454"/>
      <c r="T299" s="3" t="s">
        <v>87</v>
      </c>
      <c r="V299" s="3"/>
      <c r="W299" s="3"/>
      <c r="X299" s="3"/>
      <c r="Y299" s="3"/>
      <c r="AA299" s="1390" t="s">
        <v>2678</v>
      </c>
      <c r="AB299" s="1454"/>
      <c r="AC299" s="1454"/>
      <c r="AD299" s="1454"/>
      <c r="AE299" s="1454"/>
      <c r="AF299" s="1454"/>
      <c r="AG299" s="1454"/>
      <c r="AH299" s="1454"/>
      <c r="AI299" s="1454"/>
      <c r="AJ299" s="1454"/>
      <c r="AK299" s="1454"/>
    </row>
    <row r="300" spans="1:51" ht="12.95" customHeight="1">
      <c r="B300" s="3" t="s">
        <v>88</v>
      </c>
      <c r="C300" s="3"/>
      <c r="D300" s="3"/>
      <c r="E300" s="3"/>
      <c r="F300" s="3"/>
      <c r="G300" s="3"/>
      <c r="H300" s="1523">
        <v>8187060694</v>
      </c>
      <c r="I300" s="1523"/>
      <c r="J300" s="1523"/>
      <c r="K300" s="1523"/>
      <c r="L300" s="1523"/>
      <c r="M300" s="1523"/>
      <c r="N300" s="4" t="s">
        <v>206</v>
      </c>
      <c r="O300" s="4"/>
      <c r="P300" s="1506">
        <v>106</v>
      </c>
      <c r="Q300" s="1506"/>
      <c r="R300" s="1506"/>
      <c r="S300" s="3"/>
      <c r="T300" s="3" t="s">
        <v>88</v>
      </c>
      <c r="V300" s="3"/>
      <c r="W300" s="3"/>
      <c r="X300" s="3"/>
      <c r="Y300" s="3"/>
      <c r="AA300" s="1523">
        <v>3102178895</v>
      </c>
      <c r="AB300" s="1523"/>
      <c r="AC300" s="1523"/>
      <c r="AD300" s="1523"/>
      <c r="AE300" s="1523"/>
      <c r="AF300" s="1523"/>
      <c r="AG300" s="4" t="s">
        <v>206</v>
      </c>
      <c r="AH300" s="4"/>
      <c r="AI300" s="1506"/>
      <c r="AJ300" s="1506"/>
      <c r="AK300" s="1506"/>
    </row>
    <row r="301" spans="1:51" ht="12.95" customHeight="1">
      <c r="B301" s="3" t="s">
        <v>89</v>
      </c>
      <c r="C301" s="3"/>
      <c r="D301" s="3"/>
      <c r="E301" s="3"/>
      <c r="F301" s="3"/>
      <c r="G301" s="3"/>
      <c r="H301" s="1715" t="s">
        <v>2738</v>
      </c>
      <c r="I301" s="1473"/>
      <c r="J301" s="1473"/>
      <c r="K301" s="1473"/>
      <c r="L301" s="1473"/>
      <c r="M301" s="1473"/>
      <c r="N301" s="4"/>
      <c r="O301" s="4"/>
      <c r="P301" s="35"/>
      <c r="Q301" s="35"/>
      <c r="R301" s="35"/>
      <c r="S301" s="3"/>
      <c r="T301" s="3" t="s">
        <v>89</v>
      </c>
      <c r="V301" s="3"/>
      <c r="W301" s="3"/>
      <c r="X301" s="3"/>
      <c r="Y301" s="3"/>
      <c r="AA301" s="1473">
        <v>3102170425</v>
      </c>
      <c r="AB301" s="1473"/>
      <c r="AC301" s="1473"/>
      <c r="AD301" s="1473"/>
      <c r="AE301" s="1473"/>
      <c r="AF301" s="1473"/>
      <c r="AG301" s="4"/>
      <c r="AH301" s="4"/>
      <c r="AI301" s="35"/>
      <c r="AJ301" s="35"/>
      <c r="AK301" s="35"/>
    </row>
    <row r="302" spans="1:51" ht="12.95" customHeight="1">
      <c r="B302" s="3" t="s">
        <v>76</v>
      </c>
      <c r="C302" s="3"/>
      <c r="D302" s="3"/>
      <c r="E302" s="3"/>
      <c r="F302" s="3"/>
      <c r="G302" s="3"/>
      <c r="H302" s="1390" t="s">
        <v>2658</v>
      </c>
      <c r="I302" s="1454"/>
      <c r="J302" s="1454"/>
      <c r="K302" s="1454"/>
      <c r="L302" s="1454"/>
      <c r="M302" s="1454"/>
      <c r="N302" s="1399"/>
      <c r="O302" s="1399"/>
      <c r="P302" s="1399"/>
      <c r="Q302" s="1399"/>
      <c r="R302" s="1399"/>
      <c r="S302" s="3"/>
      <c r="T302" s="3" t="s">
        <v>76</v>
      </c>
      <c r="V302" s="3"/>
      <c r="W302" s="3"/>
      <c r="X302" s="3"/>
      <c r="Y302" s="3"/>
      <c r="AA302" s="1390" t="s">
        <v>2749</v>
      </c>
      <c r="AB302" s="1454"/>
      <c r="AC302" s="1454"/>
      <c r="AD302" s="1454"/>
      <c r="AE302" s="1454"/>
      <c r="AF302" s="1454"/>
      <c r="AG302" s="1399"/>
      <c r="AH302" s="1399"/>
      <c r="AI302" s="1399"/>
      <c r="AJ302" s="1399"/>
      <c r="AK302" s="1399"/>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505" t="s">
        <v>2679</v>
      </c>
      <c r="I304" s="1399"/>
      <c r="J304" s="1399"/>
      <c r="K304" s="1399"/>
      <c r="L304" s="1399"/>
      <c r="M304" s="1399"/>
      <c r="N304" s="1399"/>
      <c r="O304" s="1399"/>
      <c r="P304" s="1399"/>
      <c r="Q304" s="1399"/>
      <c r="R304" s="1399"/>
      <c r="T304" s="3" t="s">
        <v>364</v>
      </c>
      <c r="V304" s="3"/>
      <c r="W304" s="3"/>
      <c r="X304" s="3"/>
      <c r="Y304" s="3"/>
      <c r="AA304" s="1505" t="s">
        <v>2680</v>
      </c>
      <c r="AB304" s="1399"/>
      <c r="AC304" s="1399"/>
      <c r="AD304" s="1399"/>
      <c r="AE304" s="1399"/>
      <c r="AF304" s="1399"/>
      <c r="AG304" s="1399"/>
      <c r="AH304" s="1399"/>
      <c r="AI304" s="1399"/>
      <c r="AJ304" s="1399"/>
      <c r="AK304" s="1399"/>
    </row>
    <row r="305" spans="2:72" ht="12.95" customHeight="1">
      <c r="B305" s="3" t="s">
        <v>471</v>
      </c>
      <c r="C305" s="3"/>
      <c r="D305" s="3"/>
      <c r="E305" s="3"/>
      <c r="F305" s="3"/>
      <c r="H305" s="1390" t="s">
        <v>2681</v>
      </c>
      <c r="I305" s="1454"/>
      <c r="J305" s="1454"/>
      <c r="K305" s="1454"/>
      <c r="L305" s="1454"/>
      <c r="M305" s="1454"/>
      <c r="N305" s="1454"/>
      <c r="O305" s="1454"/>
      <c r="P305" s="1454"/>
      <c r="Q305" s="1454"/>
      <c r="R305" s="1454"/>
      <c r="T305" s="3" t="s">
        <v>471</v>
      </c>
      <c r="V305" s="3"/>
      <c r="W305" s="3"/>
      <c r="X305" s="3"/>
      <c r="Y305" s="3"/>
      <c r="AA305" s="1454" t="str">
        <f>H297</f>
        <v>30141 Agoura Rd Ste 100</v>
      </c>
      <c r="AB305" s="1454"/>
      <c r="AC305" s="1454"/>
      <c r="AD305" s="1454"/>
      <c r="AE305" s="1454"/>
      <c r="AF305" s="1454"/>
      <c r="AG305" s="1454"/>
      <c r="AH305" s="1454"/>
      <c r="AI305" s="1454"/>
      <c r="AJ305" s="1454"/>
      <c r="AK305" s="1454"/>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90" t="s">
        <v>2682</v>
      </c>
      <c r="I306" s="1454"/>
      <c r="J306" s="1454"/>
      <c r="K306" s="1454"/>
      <c r="L306" s="1454"/>
      <c r="M306" s="1454"/>
      <c r="N306" s="1454"/>
      <c r="O306" s="1454"/>
      <c r="P306" s="1454"/>
      <c r="Q306" s="1454"/>
      <c r="R306" s="1454"/>
      <c r="T306" s="3" t="s">
        <v>75</v>
      </c>
      <c r="V306" s="3"/>
      <c r="W306" s="3"/>
      <c r="X306" s="3"/>
      <c r="Y306" s="3"/>
      <c r="AA306" s="1454" t="str">
        <f>H298</f>
        <v>Agoura Hills, CA 91301</v>
      </c>
      <c r="AB306" s="1454"/>
      <c r="AC306" s="1454"/>
      <c r="AD306" s="1454"/>
      <c r="AE306" s="1454"/>
      <c r="AF306" s="1454"/>
      <c r="AG306" s="1454"/>
      <c r="AH306" s="1454"/>
      <c r="AI306" s="1454"/>
      <c r="AJ306" s="1454"/>
      <c r="AK306" s="1454"/>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90" t="s">
        <v>2683</v>
      </c>
      <c r="I307" s="1454"/>
      <c r="J307" s="1454"/>
      <c r="K307" s="1454"/>
      <c r="L307" s="1454"/>
      <c r="M307" s="1454"/>
      <c r="N307" s="1454"/>
      <c r="O307" s="1454"/>
      <c r="P307" s="1454"/>
      <c r="Q307" s="1454"/>
      <c r="R307" s="1454"/>
      <c r="T307" s="3" t="s">
        <v>87</v>
      </c>
      <c r="V307" s="3"/>
      <c r="W307" s="3"/>
      <c r="X307" s="3"/>
      <c r="Y307" s="3"/>
      <c r="AA307" s="1454" t="str">
        <f>H299</f>
        <v>Ramir Kianfar</v>
      </c>
      <c r="AB307" s="1454"/>
      <c r="AC307" s="1454"/>
      <c r="AD307" s="1454"/>
      <c r="AE307" s="1454"/>
      <c r="AF307" s="1454"/>
      <c r="AG307" s="1454"/>
      <c r="AH307" s="1454"/>
      <c r="AI307" s="1454"/>
      <c r="AJ307" s="1454"/>
      <c r="AK307" s="1454"/>
    </row>
    <row r="308" spans="2:72" ht="12.95" customHeight="1">
      <c r="B308" s="3" t="s">
        <v>88</v>
      </c>
      <c r="C308" s="3"/>
      <c r="D308" s="3"/>
      <c r="E308" s="3"/>
      <c r="F308" s="3"/>
      <c r="G308" s="3"/>
      <c r="H308" s="1523">
        <v>2132398048</v>
      </c>
      <c r="I308" s="1523"/>
      <c r="J308" s="1523"/>
      <c r="K308" s="1523"/>
      <c r="L308" s="1523"/>
      <c r="M308" s="1523"/>
      <c r="N308" s="4" t="s">
        <v>206</v>
      </c>
      <c r="O308" s="4"/>
      <c r="P308" s="1506"/>
      <c r="Q308" s="1506"/>
      <c r="R308" s="1506"/>
      <c r="S308" s="3"/>
      <c r="T308" s="3" t="s">
        <v>88</v>
      </c>
      <c r="V308" s="3"/>
      <c r="W308" s="3"/>
      <c r="X308" s="3"/>
      <c r="Y308" s="3"/>
      <c r="AA308" s="1523">
        <v>8187060694</v>
      </c>
      <c r="AB308" s="1523"/>
      <c r="AC308" s="1523"/>
      <c r="AD308" s="1523"/>
      <c r="AE308" s="1523"/>
      <c r="AF308" s="1523"/>
      <c r="AG308" s="4" t="s">
        <v>206</v>
      </c>
      <c r="AH308" s="4"/>
      <c r="AI308" s="1506">
        <v>106</v>
      </c>
      <c r="AJ308" s="1506"/>
      <c r="AK308" s="1506"/>
    </row>
    <row r="309" spans="2:72" ht="12.95" customHeight="1">
      <c r="B309" s="3" t="s">
        <v>89</v>
      </c>
      <c r="C309" s="3"/>
      <c r="D309" s="3"/>
      <c r="E309" s="3"/>
      <c r="F309" s="3"/>
      <c r="G309" s="3"/>
      <c r="H309" s="1715" t="s">
        <v>2738</v>
      </c>
      <c r="I309" s="1473"/>
      <c r="J309" s="1473"/>
      <c r="K309" s="1473"/>
      <c r="L309" s="1473"/>
      <c r="M309" s="1473"/>
      <c r="N309" s="4"/>
      <c r="O309" s="4"/>
      <c r="P309" s="35"/>
      <c r="Q309" s="35"/>
      <c r="R309" s="35"/>
      <c r="S309" s="3"/>
      <c r="T309" s="3" t="s">
        <v>89</v>
      </c>
      <c r="V309" s="3"/>
      <c r="W309" s="3"/>
      <c r="X309" s="3"/>
      <c r="Y309" s="3"/>
      <c r="AA309" s="1715" t="s">
        <v>2738</v>
      </c>
      <c r="AB309" s="1473"/>
      <c r="AC309" s="1473"/>
      <c r="AD309" s="1473"/>
      <c r="AE309" s="1473"/>
      <c r="AF309" s="1473"/>
      <c r="AG309" s="4"/>
      <c r="AH309" s="4"/>
      <c r="AI309" s="35"/>
      <c r="AJ309" s="35"/>
      <c r="AK309" s="35"/>
    </row>
    <row r="310" spans="2:72" ht="12.95" customHeight="1">
      <c r="B310" s="3" t="s">
        <v>76</v>
      </c>
      <c r="C310" s="3"/>
      <c r="D310" s="3"/>
      <c r="E310" s="3"/>
      <c r="F310" s="3"/>
      <c r="G310" s="3"/>
      <c r="H310" s="1390" t="s">
        <v>2684</v>
      </c>
      <c r="I310" s="1454"/>
      <c r="J310" s="1454"/>
      <c r="K310" s="1454"/>
      <c r="L310" s="1454"/>
      <c r="M310" s="1454"/>
      <c r="N310" s="1399"/>
      <c r="O310" s="1399"/>
      <c r="P310" s="1399"/>
      <c r="Q310" s="1399"/>
      <c r="R310" s="1399"/>
      <c r="S310" s="3"/>
      <c r="T310" s="3" t="s">
        <v>76</v>
      </c>
      <c r="V310" s="3"/>
      <c r="W310" s="3"/>
      <c r="X310" s="3"/>
      <c r="Y310" s="3"/>
      <c r="AA310" s="1390" t="s">
        <v>2658</v>
      </c>
      <c r="AB310" s="1454"/>
      <c r="AC310" s="1454"/>
      <c r="AD310" s="1454"/>
      <c r="AE310" s="1454"/>
      <c r="AF310" s="1454"/>
      <c r="AG310" s="1399"/>
      <c r="AH310" s="1399"/>
      <c r="AI310" s="1399"/>
      <c r="AJ310" s="1399"/>
      <c r="AK310" s="1399"/>
    </row>
    <row r="311" spans="2:72" ht="12.95" customHeight="1"/>
    <row r="312" spans="2:72" ht="12.95" customHeight="1">
      <c r="B312" s="3" t="s">
        <v>77</v>
      </c>
      <c r="C312" s="3"/>
      <c r="D312" s="3"/>
      <c r="E312" s="3"/>
      <c r="F312" s="3"/>
      <c r="H312" s="1505" t="s">
        <v>2685</v>
      </c>
      <c r="I312" s="1399"/>
      <c r="J312" s="1399"/>
      <c r="K312" s="1399"/>
      <c r="L312" s="1399"/>
      <c r="M312" s="1399"/>
      <c r="N312" s="1399"/>
      <c r="O312" s="1399"/>
      <c r="P312" s="1399"/>
      <c r="Q312" s="1399"/>
      <c r="R312" s="1399"/>
      <c r="T312" s="4" t="s">
        <v>878</v>
      </c>
      <c r="V312" s="3"/>
      <c r="W312" s="3"/>
      <c r="X312" s="3"/>
      <c r="Y312" s="3"/>
      <c r="AA312" s="1399" t="s">
        <v>2738</v>
      </c>
      <c r="AB312" s="1399"/>
      <c r="AC312" s="1399"/>
      <c r="AD312" s="1399"/>
      <c r="AE312" s="1399"/>
      <c r="AF312" s="1399"/>
      <c r="AG312" s="1399"/>
      <c r="AH312" s="1399"/>
      <c r="AI312" s="1399"/>
      <c r="AJ312" s="1399"/>
      <c r="AK312" s="1399"/>
    </row>
    <row r="313" spans="2:72" ht="12.95" customHeight="1">
      <c r="B313" s="3" t="s">
        <v>471</v>
      </c>
      <c r="C313" s="3"/>
      <c r="D313" s="3"/>
      <c r="E313" s="3"/>
      <c r="F313" s="3"/>
      <c r="H313" s="1454" t="s">
        <v>2686</v>
      </c>
      <c r="I313" s="1454"/>
      <c r="J313" s="1454"/>
      <c r="K313" s="1454"/>
      <c r="L313" s="1454"/>
      <c r="M313" s="1454"/>
      <c r="N313" s="1454"/>
      <c r="O313" s="1454"/>
      <c r="P313" s="1454"/>
      <c r="Q313" s="1454"/>
      <c r="R313" s="1454"/>
      <c r="T313" s="3" t="s">
        <v>471</v>
      </c>
      <c r="V313" s="3"/>
      <c r="W313" s="3"/>
      <c r="X313" s="3"/>
      <c r="Y313" s="3"/>
      <c r="AA313" s="1454" t="s">
        <v>2738</v>
      </c>
      <c r="AB313" s="1454"/>
      <c r="AC313" s="1454"/>
      <c r="AD313" s="1454"/>
      <c r="AE313" s="1454"/>
      <c r="AF313" s="1454"/>
      <c r="AG313" s="1454"/>
      <c r="AH313" s="1454"/>
      <c r="AI313" s="1454"/>
      <c r="AJ313" s="1454"/>
      <c r="AK313" s="1454"/>
    </row>
    <row r="314" spans="2:72" ht="12.95" customHeight="1">
      <c r="B314" s="3" t="s">
        <v>472</v>
      </c>
      <c r="C314" s="3"/>
      <c r="D314" s="3"/>
      <c r="E314" s="3"/>
      <c r="F314" s="3"/>
      <c r="H314" s="1454" t="s">
        <v>2687</v>
      </c>
      <c r="I314" s="1454"/>
      <c r="J314" s="1454"/>
      <c r="K314" s="1454"/>
      <c r="L314" s="1454"/>
      <c r="M314" s="1454"/>
      <c r="N314" s="1454"/>
      <c r="O314" s="1454"/>
      <c r="P314" s="1454"/>
      <c r="Q314" s="1454"/>
      <c r="R314" s="1454"/>
      <c r="T314" s="3" t="s">
        <v>75</v>
      </c>
      <c r="V314" s="3"/>
      <c r="W314" s="3"/>
      <c r="X314" s="3"/>
      <c r="Y314" s="3"/>
      <c r="AA314" s="1454" t="s">
        <v>2738</v>
      </c>
      <c r="AB314" s="1454"/>
      <c r="AC314" s="1454"/>
      <c r="AD314" s="1454"/>
      <c r="AE314" s="1454"/>
      <c r="AF314" s="1454"/>
      <c r="AG314" s="1454"/>
      <c r="AH314" s="1454"/>
      <c r="AI314" s="1454"/>
      <c r="AJ314" s="1454"/>
      <c r="AK314" s="1454"/>
    </row>
    <row r="315" spans="2:72" ht="12.95" customHeight="1">
      <c r="B315" s="3" t="s">
        <v>87</v>
      </c>
      <c r="C315" s="3"/>
      <c r="D315" s="3"/>
      <c r="E315" s="3"/>
      <c r="F315" s="3"/>
      <c r="H315" s="1454" t="s">
        <v>2688</v>
      </c>
      <c r="I315" s="1454"/>
      <c r="J315" s="1454"/>
      <c r="K315" s="1454"/>
      <c r="L315" s="1454"/>
      <c r="M315" s="1454"/>
      <c r="N315" s="1454"/>
      <c r="O315" s="1454"/>
      <c r="P315" s="1454"/>
      <c r="Q315" s="1454"/>
      <c r="R315" s="1454"/>
      <c r="T315" s="3" t="s">
        <v>87</v>
      </c>
      <c r="V315" s="3"/>
      <c r="W315" s="3"/>
      <c r="X315" s="3"/>
      <c r="Y315" s="3"/>
      <c r="AA315" s="1454" t="s">
        <v>2738</v>
      </c>
      <c r="AB315" s="1454"/>
      <c r="AC315" s="1454"/>
      <c r="AD315" s="1454"/>
      <c r="AE315" s="1454"/>
      <c r="AF315" s="1454"/>
      <c r="AG315" s="1454"/>
      <c r="AH315" s="1454"/>
      <c r="AI315" s="1454"/>
      <c r="AJ315" s="1454"/>
      <c r="AK315" s="1454"/>
    </row>
    <row r="316" spans="2:72" ht="12.95" customHeight="1">
      <c r="B316" s="3" t="s">
        <v>88</v>
      </c>
      <c r="C316" s="3"/>
      <c r="D316" s="3"/>
      <c r="E316" s="3"/>
      <c r="F316" s="3"/>
      <c r="G316" s="3"/>
      <c r="H316" s="1767">
        <v>5622563555</v>
      </c>
      <c r="I316" s="1523"/>
      <c r="J316" s="1523"/>
      <c r="K316" s="1523"/>
      <c r="L316" s="1523"/>
      <c r="M316" s="1523"/>
      <c r="N316" s="4" t="s">
        <v>206</v>
      </c>
      <c r="O316" s="4"/>
      <c r="P316" s="1506"/>
      <c r="Q316" s="1506"/>
      <c r="R316" s="1506"/>
      <c r="S316" s="3"/>
      <c r="T316" s="3" t="s">
        <v>88</v>
      </c>
      <c r="V316" s="3"/>
      <c r="W316" s="3"/>
      <c r="X316" s="3"/>
      <c r="Y316" s="3"/>
      <c r="AA316" s="1767" t="s">
        <v>2738</v>
      </c>
      <c r="AB316" s="1523"/>
      <c r="AC316" s="1523"/>
      <c r="AD316" s="1523"/>
      <c r="AE316" s="1523"/>
      <c r="AF316" s="1523"/>
      <c r="AG316" s="4" t="s">
        <v>206</v>
      </c>
      <c r="AH316" s="4"/>
      <c r="AI316" s="1506"/>
      <c r="AJ316" s="1506"/>
      <c r="AK316" s="1506"/>
    </row>
    <row r="317" spans="2:72" ht="12.95" customHeight="1">
      <c r="B317" s="3" t="s">
        <v>89</v>
      </c>
      <c r="C317" s="3"/>
      <c r="D317" s="3"/>
      <c r="E317" s="3"/>
      <c r="F317" s="3"/>
      <c r="G317" s="3"/>
      <c r="H317" s="1715" t="s">
        <v>2738</v>
      </c>
      <c r="I317" s="1473"/>
      <c r="J317" s="1473"/>
      <c r="K317" s="1473"/>
      <c r="L317" s="1473"/>
      <c r="M317" s="1473"/>
      <c r="N317" s="4"/>
      <c r="O317" s="4"/>
      <c r="P317" s="35"/>
      <c r="Q317" s="35"/>
      <c r="R317" s="35"/>
      <c r="S317" s="3"/>
      <c r="T317" s="3" t="s">
        <v>89</v>
      </c>
      <c r="V317" s="3"/>
      <c r="W317" s="3"/>
      <c r="X317" s="3"/>
      <c r="Y317" s="3"/>
      <c r="AA317" s="1715" t="s">
        <v>2738</v>
      </c>
      <c r="AB317" s="1473"/>
      <c r="AC317" s="1473"/>
      <c r="AD317" s="1473"/>
      <c r="AE317" s="1473"/>
      <c r="AF317" s="1473"/>
      <c r="AG317" s="4"/>
      <c r="AH317" s="4"/>
      <c r="AI317" s="35"/>
      <c r="AJ317" s="35"/>
      <c r="AK317" s="35"/>
    </row>
    <row r="318" spans="2:72" ht="12.95" customHeight="1">
      <c r="B318" s="3" t="s">
        <v>76</v>
      </c>
      <c r="C318" s="3"/>
      <c r="D318" s="3"/>
      <c r="E318" s="3"/>
      <c r="F318" s="3"/>
      <c r="G318" s="3"/>
      <c r="H318" s="1454" t="s">
        <v>2689</v>
      </c>
      <c r="I318" s="1454"/>
      <c r="J318" s="1454"/>
      <c r="K318" s="1454"/>
      <c r="L318" s="1454"/>
      <c r="M318" s="1454"/>
      <c r="N318" s="1399"/>
      <c r="O318" s="1399"/>
      <c r="P318" s="1399"/>
      <c r="Q318" s="1399"/>
      <c r="R318" s="1399"/>
      <c r="S318" s="3"/>
      <c r="T318" s="3" t="s">
        <v>76</v>
      </c>
      <c r="V318" s="3"/>
      <c r="W318" s="3"/>
      <c r="X318" s="3"/>
      <c r="Y318" s="3"/>
      <c r="AA318" s="1454" t="s">
        <v>2738</v>
      </c>
      <c r="AB318" s="1454"/>
      <c r="AC318" s="1454"/>
      <c r="AD318" s="1454"/>
      <c r="AE318" s="1454"/>
      <c r="AF318" s="1454"/>
      <c r="AG318" s="1399"/>
      <c r="AH318" s="1399"/>
      <c r="AI318" s="1399"/>
      <c r="AJ318" s="1399"/>
      <c r="AK318" s="1399"/>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505" t="s">
        <v>2685</v>
      </c>
      <c r="I320" s="1399"/>
      <c r="J320" s="1399"/>
      <c r="K320" s="1399"/>
      <c r="L320" s="1399"/>
      <c r="M320" s="1399"/>
      <c r="N320" s="1399"/>
      <c r="O320" s="1399"/>
      <c r="P320" s="1399"/>
      <c r="Q320" s="1399"/>
      <c r="R320" s="1399"/>
      <c r="S320" s="3"/>
      <c r="T320" s="3" t="s">
        <v>365</v>
      </c>
      <c r="V320" s="3"/>
      <c r="W320" s="3"/>
      <c r="X320" s="3"/>
      <c r="Y320" s="3"/>
      <c r="AA320" s="1505" t="s">
        <v>2690</v>
      </c>
      <c r="AB320" s="1399"/>
      <c r="AC320" s="1399"/>
      <c r="AD320" s="1399"/>
      <c r="AE320" s="1399"/>
      <c r="AF320" s="1399"/>
      <c r="AG320" s="1399"/>
      <c r="AH320" s="1399"/>
      <c r="AI320" s="1399"/>
      <c r="AJ320" s="1399"/>
      <c r="AK320" s="1399"/>
    </row>
    <row r="321" spans="2:37" ht="12.95" customHeight="1">
      <c r="B321" s="3" t="s">
        <v>471</v>
      </c>
      <c r="C321" s="3"/>
      <c r="D321" s="3"/>
      <c r="E321" s="3"/>
      <c r="F321" s="3"/>
      <c r="H321" s="1390" t="s">
        <v>2686</v>
      </c>
      <c r="I321" s="1454"/>
      <c r="J321" s="1454"/>
      <c r="K321" s="1454"/>
      <c r="L321" s="1454"/>
      <c r="M321" s="1454"/>
      <c r="N321" s="1454"/>
      <c r="O321" s="1454"/>
      <c r="P321" s="1454"/>
      <c r="Q321" s="1454"/>
      <c r="R321" s="1454"/>
      <c r="S321" s="3"/>
      <c r="T321" s="3" t="s">
        <v>471</v>
      </c>
      <c r="V321" s="3"/>
      <c r="W321" s="3"/>
      <c r="X321" s="3"/>
      <c r="Y321" s="3"/>
      <c r="AA321" s="1390" t="s">
        <v>2691</v>
      </c>
      <c r="AB321" s="1454"/>
      <c r="AC321" s="1454"/>
      <c r="AD321" s="1454"/>
      <c r="AE321" s="1454"/>
      <c r="AF321" s="1454"/>
      <c r="AG321" s="1454"/>
      <c r="AH321" s="1454"/>
      <c r="AI321" s="1454"/>
      <c r="AJ321" s="1454"/>
      <c r="AK321" s="1454"/>
    </row>
    <row r="322" spans="2:37" ht="12.95" customHeight="1">
      <c r="B322" s="3" t="s">
        <v>472</v>
      </c>
      <c r="C322" s="3"/>
      <c r="D322" s="3"/>
      <c r="E322" s="3"/>
      <c r="F322" s="3"/>
      <c r="H322" s="1390" t="s">
        <v>2687</v>
      </c>
      <c r="I322" s="1454"/>
      <c r="J322" s="1454"/>
      <c r="K322" s="1454"/>
      <c r="L322" s="1454"/>
      <c r="M322" s="1454"/>
      <c r="N322" s="1454"/>
      <c r="O322" s="1454"/>
      <c r="P322" s="1454"/>
      <c r="Q322" s="1454"/>
      <c r="R322" s="1454"/>
      <c r="S322" s="3"/>
      <c r="T322" s="3" t="s">
        <v>75</v>
      </c>
      <c r="V322" s="3"/>
      <c r="W322" s="3"/>
      <c r="X322" s="3"/>
      <c r="Y322" s="3"/>
      <c r="AA322" s="1390" t="s">
        <v>2692</v>
      </c>
      <c r="AB322" s="1454"/>
      <c r="AC322" s="1454"/>
      <c r="AD322" s="1454"/>
      <c r="AE322" s="1454"/>
      <c r="AF322" s="1454"/>
      <c r="AG322" s="1454"/>
      <c r="AH322" s="1454"/>
      <c r="AI322" s="1454"/>
      <c r="AJ322" s="1454"/>
      <c r="AK322" s="1454"/>
    </row>
    <row r="323" spans="2:37" ht="12.95" customHeight="1">
      <c r="B323" s="3" t="s">
        <v>87</v>
      </c>
      <c r="C323" s="3"/>
      <c r="D323" s="3"/>
      <c r="E323" s="3"/>
      <c r="F323" s="3"/>
      <c r="H323" s="1390" t="s">
        <v>2688</v>
      </c>
      <c r="I323" s="1454"/>
      <c r="J323" s="1454"/>
      <c r="K323" s="1454"/>
      <c r="L323" s="1454"/>
      <c r="M323" s="1454"/>
      <c r="N323" s="1454"/>
      <c r="O323" s="1454"/>
      <c r="P323" s="1454"/>
      <c r="Q323" s="1454"/>
      <c r="R323" s="1454"/>
      <c r="S323" s="3"/>
      <c r="T323" s="3" t="s">
        <v>87</v>
      </c>
      <c r="V323" s="3"/>
      <c r="W323" s="3"/>
      <c r="X323" s="3"/>
      <c r="Y323" s="3"/>
      <c r="AA323" s="1390" t="s">
        <v>2693</v>
      </c>
      <c r="AB323" s="1454"/>
      <c r="AC323" s="1454"/>
      <c r="AD323" s="1454"/>
      <c r="AE323" s="1454"/>
      <c r="AF323" s="1454"/>
      <c r="AG323" s="1454"/>
      <c r="AH323" s="1454"/>
      <c r="AI323" s="1454"/>
      <c r="AJ323" s="1454"/>
      <c r="AK323" s="1454"/>
    </row>
    <row r="324" spans="2:37" ht="12.95" customHeight="1">
      <c r="B324" s="3" t="s">
        <v>88</v>
      </c>
      <c r="C324" s="3"/>
      <c r="D324" s="3"/>
      <c r="E324" s="3"/>
      <c r="F324" s="3"/>
      <c r="G324" s="3"/>
      <c r="H324" s="1523">
        <v>5622563555</v>
      </c>
      <c r="I324" s="1523"/>
      <c r="J324" s="1523"/>
      <c r="K324" s="1523"/>
      <c r="L324" s="1523"/>
      <c r="M324" s="1523"/>
      <c r="N324" s="4" t="s">
        <v>206</v>
      </c>
      <c r="O324" s="4"/>
      <c r="P324" s="1506"/>
      <c r="Q324" s="1506"/>
      <c r="R324" s="1506"/>
      <c r="S324" s="3"/>
      <c r="T324" s="3" t="s">
        <v>88</v>
      </c>
      <c r="V324" s="3"/>
      <c r="W324" s="3"/>
      <c r="X324" s="3"/>
      <c r="Y324" s="3"/>
      <c r="AA324" s="1523">
        <v>9493399585</v>
      </c>
      <c r="AB324" s="1523"/>
      <c r="AC324" s="1523"/>
      <c r="AD324" s="1523"/>
      <c r="AE324" s="1523"/>
      <c r="AF324" s="1523"/>
      <c r="AG324" s="4" t="s">
        <v>206</v>
      </c>
      <c r="AH324" s="4"/>
      <c r="AI324" s="1506"/>
      <c r="AJ324" s="1506"/>
      <c r="AK324" s="1506"/>
    </row>
    <row r="325" spans="2:37" ht="12.95" customHeight="1">
      <c r="B325" s="3" t="s">
        <v>89</v>
      </c>
      <c r="C325" s="3"/>
      <c r="D325" s="3"/>
      <c r="E325" s="3"/>
      <c r="F325" s="3"/>
      <c r="G325" s="3"/>
      <c r="H325" s="1715" t="s">
        <v>2738</v>
      </c>
      <c r="I325" s="1473"/>
      <c r="J325" s="1473"/>
      <c r="K325" s="1473"/>
      <c r="L325" s="1473"/>
      <c r="M325" s="1473"/>
      <c r="N325" s="4"/>
      <c r="O325" s="4"/>
      <c r="P325" s="35"/>
      <c r="Q325" s="35"/>
      <c r="R325" s="35"/>
      <c r="S325" s="3"/>
      <c r="T325" s="3" t="s">
        <v>89</v>
      </c>
      <c r="V325" s="3"/>
      <c r="W325" s="3"/>
      <c r="X325" s="3"/>
      <c r="Y325" s="3"/>
      <c r="AA325" s="1715" t="s">
        <v>2738</v>
      </c>
      <c r="AB325" s="1473"/>
      <c r="AC325" s="1473"/>
      <c r="AD325" s="1473"/>
      <c r="AE325" s="1473"/>
      <c r="AF325" s="1473"/>
      <c r="AG325" s="4"/>
      <c r="AH325" s="4"/>
      <c r="AI325" s="35"/>
      <c r="AJ325" s="35"/>
      <c r="AK325" s="35"/>
    </row>
    <row r="326" spans="2:37" ht="12.95" customHeight="1">
      <c r="B326" s="3" t="s">
        <v>76</v>
      </c>
      <c r="C326" s="3"/>
      <c r="D326" s="3"/>
      <c r="E326" s="3"/>
      <c r="F326" s="3"/>
      <c r="G326" s="3"/>
      <c r="H326" s="1390" t="s">
        <v>2689</v>
      </c>
      <c r="I326" s="1454"/>
      <c r="J326" s="1454"/>
      <c r="K326" s="1454"/>
      <c r="L326" s="1454"/>
      <c r="M326" s="1454"/>
      <c r="N326" s="1399"/>
      <c r="O326" s="1399"/>
      <c r="P326" s="1399"/>
      <c r="Q326" s="1399"/>
      <c r="R326" s="1399"/>
      <c r="S326" s="3"/>
      <c r="T326" s="3" t="s">
        <v>76</v>
      </c>
      <c r="V326" s="3"/>
      <c r="W326" s="3"/>
      <c r="X326" s="3"/>
      <c r="Y326" s="3"/>
      <c r="AA326" s="1390" t="s">
        <v>2694</v>
      </c>
      <c r="AB326" s="1454"/>
      <c r="AC326" s="1454"/>
      <c r="AD326" s="1454"/>
      <c r="AE326" s="1454"/>
      <c r="AF326" s="1454"/>
      <c r="AG326" s="1399"/>
      <c r="AH326" s="1399"/>
      <c r="AI326" s="1399"/>
      <c r="AJ326" s="1399"/>
      <c r="AK326" s="1399"/>
    </row>
    <row r="327" spans="2:37" ht="12.95" customHeight="1"/>
    <row r="328" spans="2:37" ht="12.95" customHeight="1">
      <c r="B328" s="4" t="s">
        <v>908</v>
      </c>
      <c r="C328" s="3"/>
      <c r="D328" s="3"/>
      <c r="E328" s="3"/>
      <c r="F328" s="3"/>
      <c r="H328" s="1399" t="str">
        <f>L283</f>
        <v xml:space="preserve">Kingdom Development, Inc. </v>
      </c>
      <c r="I328" s="1399"/>
      <c r="J328" s="1399"/>
      <c r="K328" s="1399"/>
      <c r="L328" s="1399"/>
      <c r="M328" s="1399"/>
      <c r="N328" s="1399"/>
      <c r="O328" s="1399"/>
      <c r="P328" s="1399"/>
      <c r="Q328" s="1399"/>
      <c r="R328" s="1399"/>
      <c r="T328" s="3" t="s">
        <v>366</v>
      </c>
      <c r="V328" s="3"/>
      <c r="W328" s="3"/>
      <c r="X328" s="3"/>
      <c r="Y328" s="3"/>
      <c r="AA328" s="1505" t="s">
        <v>2696</v>
      </c>
      <c r="AB328" s="1399"/>
      <c r="AC328" s="1399"/>
      <c r="AD328" s="1399"/>
      <c r="AE328" s="1399"/>
      <c r="AF328" s="1399"/>
      <c r="AG328" s="1399"/>
      <c r="AH328" s="1399"/>
      <c r="AI328" s="1399"/>
      <c r="AJ328" s="1399"/>
      <c r="AK328" s="1399"/>
    </row>
    <row r="329" spans="2:37" ht="12.95" customHeight="1">
      <c r="B329" s="3" t="s">
        <v>471</v>
      </c>
      <c r="C329" s="3"/>
      <c r="D329" s="3"/>
      <c r="E329" s="3"/>
      <c r="F329" s="3"/>
      <c r="H329" s="1454" t="str">
        <f>L284</f>
        <v>6451 Box Springs Road</v>
      </c>
      <c r="I329" s="1454"/>
      <c r="J329" s="1454"/>
      <c r="K329" s="1454"/>
      <c r="L329" s="1454"/>
      <c r="M329" s="1454"/>
      <c r="N329" s="1454"/>
      <c r="O329" s="1454"/>
      <c r="P329" s="1454"/>
      <c r="Q329" s="1454"/>
      <c r="R329" s="1454"/>
      <c r="T329" s="3" t="s">
        <v>471</v>
      </c>
      <c r="V329" s="3"/>
      <c r="W329" s="3"/>
      <c r="X329" s="3"/>
      <c r="Y329" s="3"/>
      <c r="AA329" s="1390" t="s">
        <v>2697</v>
      </c>
      <c r="AB329" s="1454"/>
      <c r="AC329" s="1454"/>
      <c r="AD329" s="1454"/>
      <c r="AE329" s="1454"/>
      <c r="AF329" s="1454"/>
      <c r="AG329" s="1454"/>
      <c r="AH329" s="1454"/>
      <c r="AI329" s="1454"/>
      <c r="AJ329" s="1454"/>
      <c r="AK329" s="1454"/>
    </row>
    <row r="330" spans="2:37" ht="12.95" customHeight="1">
      <c r="B330" s="3" t="s">
        <v>472</v>
      </c>
      <c r="C330" s="3"/>
      <c r="D330" s="3"/>
      <c r="E330" s="3"/>
      <c r="F330" s="3"/>
      <c r="H330" s="1390" t="s">
        <v>2695</v>
      </c>
      <c r="I330" s="1454"/>
      <c r="J330" s="1454"/>
      <c r="K330" s="1454"/>
      <c r="L330" s="1454"/>
      <c r="M330" s="1454"/>
      <c r="N330" s="1454"/>
      <c r="O330" s="1454"/>
      <c r="P330" s="1454"/>
      <c r="Q330" s="1454"/>
      <c r="R330" s="1454"/>
      <c r="T330" s="3" t="s">
        <v>75</v>
      </c>
      <c r="V330" s="3"/>
      <c r="W330" s="3"/>
      <c r="X330" s="3"/>
      <c r="Y330" s="3"/>
      <c r="AA330" s="1390" t="s">
        <v>2698</v>
      </c>
      <c r="AB330" s="1454"/>
      <c r="AC330" s="1454"/>
      <c r="AD330" s="1454"/>
      <c r="AE330" s="1454"/>
      <c r="AF330" s="1454"/>
      <c r="AG330" s="1454"/>
      <c r="AH330" s="1454"/>
      <c r="AI330" s="1454"/>
      <c r="AJ330" s="1454"/>
      <c r="AK330" s="1454"/>
    </row>
    <row r="331" spans="2:37" ht="12.95" customHeight="1">
      <c r="B331" s="3" t="s">
        <v>87</v>
      </c>
      <c r="C331" s="3"/>
      <c r="D331" s="3"/>
      <c r="E331" s="3"/>
      <c r="F331" s="3"/>
      <c r="H331" s="1454" t="str">
        <f>L286</f>
        <v>William Leach</v>
      </c>
      <c r="I331" s="1454"/>
      <c r="J331" s="1454"/>
      <c r="K331" s="1454"/>
      <c r="L331" s="1454"/>
      <c r="M331" s="1454"/>
      <c r="N331" s="1454"/>
      <c r="O331" s="1454"/>
      <c r="P331" s="1454"/>
      <c r="Q331" s="1454"/>
      <c r="R331" s="1454"/>
      <c r="T331" s="3" t="s">
        <v>87</v>
      </c>
      <c r="V331" s="3"/>
      <c r="W331" s="3"/>
      <c r="X331" s="3"/>
      <c r="Y331" s="3"/>
      <c r="AA331" s="1390" t="s">
        <v>2699</v>
      </c>
      <c r="AB331" s="1454"/>
      <c r="AC331" s="1454"/>
      <c r="AD331" s="1454"/>
      <c r="AE331" s="1454"/>
      <c r="AF331" s="1454"/>
      <c r="AG331" s="1454"/>
      <c r="AH331" s="1454"/>
      <c r="AI331" s="1454"/>
      <c r="AJ331" s="1454"/>
      <c r="AK331" s="1454"/>
    </row>
    <row r="332" spans="2:37" ht="12.95" customHeight="1">
      <c r="B332" s="3" t="s">
        <v>88</v>
      </c>
      <c r="C332" s="3"/>
      <c r="D332" s="3"/>
      <c r="E332" s="3"/>
      <c r="F332" s="3"/>
      <c r="G332" s="3"/>
      <c r="H332" s="1523">
        <f>L287</f>
        <v>9515386244</v>
      </c>
      <c r="I332" s="1523"/>
      <c r="J332" s="1523"/>
      <c r="K332" s="1523"/>
      <c r="L332" s="1523"/>
      <c r="M332" s="1523"/>
      <c r="N332" s="4" t="s">
        <v>206</v>
      </c>
      <c r="O332" s="4"/>
      <c r="P332" s="1506"/>
      <c r="Q332" s="1506"/>
      <c r="R332" s="1506"/>
      <c r="S332" s="3"/>
      <c r="T332" s="3" t="s">
        <v>88</v>
      </c>
      <c r="V332" s="3"/>
      <c r="W332" s="3"/>
      <c r="X332" s="3"/>
      <c r="Y332" s="3"/>
      <c r="AA332" s="1523">
        <v>9497091938</v>
      </c>
      <c r="AB332" s="1523"/>
      <c r="AC332" s="1523"/>
      <c r="AD332" s="1523"/>
      <c r="AE332" s="1523"/>
      <c r="AF332" s="1523"/>
      <c r="AG332" s="4" t="s">
        <v>206</v>
      </c>
      <c r="AH332" s="4"/>
      <c r="AI332" s="1506"/>
      <c r="AJ332" s="1506"/>
      <c r="AK332" s="1506"/>
    </row>
    <row r="333" spans="2:37" ht="12.95" customHeight="1">
      <c r="B333" s="3" t="s">
        <v>89</v>
      </c>
      <c r="C333" s="3"/>
      <c r="D333" s="3"/>
      <c r="E333" s="3"/>
      <c r="F333" s="3"/>
      <c r="G333" s="3"/>
      <c r="H333" s="1715" t="s">
        <v>2738</v>
      </c>
      <c r="I333" s="1473"/>
      <c r="J333" s="1473"/>
      <c r="K333" s="1473"/>
      <c r="L333" s="1473"/>
      <c r="M333" s="1473"/>
      <c r="N333" s="4"/>
      <c r="O333" s="4"/>
      <c r="P333" s="35"/>
      <c r="Q333" s="35"/>
      <c r="R333" s="35"/>
      <c r="S333" s="3"/>
      <c r="T333" s="3" t="s">
        <v>89</v>
      </c>
      <c r="V333" s="3"/>
      <c r="W333" s="3"/>
      <c r="X333" s="3"/>
      <c r="Y333" s="3"/>
      <c r="AA333" s="1715" t="s">
        <v>2738</v>
      </c>
      <c r="AB333" s="1473"/>
      <c r="AC333" s="1473"/>
      <c r="AD333" s="1473"/>
      <c r="AE333" s="1473"/>
      <c r="AF333" s="1473"/>
      <c r="AG333" s="4"/>
      <c r="AH333" s="4"/>
      <c r="AI333" s="35"/>
      <c r="AJ333" s="35"/>
      <c r="AK333" s="35"/>
    </row>
    <row r="334" spans="2:37" ht="12.95" customHeight="1">
      <c r="B334" s="3" t="s">
        <v>76</v>
      </c>
      <c r="C334" s="3"/>
      <c r="D334" s="3"/>
      <c r="E334" s="3"/>
      <c r="F334" s="3"/>
      <c r="G334" s="3"/>
      <c r="H334" s="1454" t="str">
        <f>L288</f>
        <v>William@kingdomdevelopment.net</v>
      </c>
      <c r="I334" s="1454"/>
      <c r="J334" s="1454"/>
      <c r="K334" s="1454"/>
      <c r="L334" s="1454"/>
      <c r="M334" s="1454"/>
      <c r="N334" s="1399"/>
      <c r="O334" s="1399"/>
      <c r="P334" s="1399"/>
      <c r="Q334" s="1399"/>
      <c r="R334" s="1399"/>
      <c r="S334" s="3"/>
      <c r="T334" s="3" t="s">
        <v>76</v>
      </c>
      <c r="V334" s="3"/>
      <c r="W334" s="3"/>
      <c r="X334" s="3"/>
      <c r="Y334" s="3"/>
      <c r="AA334" s="1390" t="s">
        <v>2700</v>
      </c>
      <c r="AB334" s="1454"/>
      <c r="AC334" s="1454"/>
      <c r="AD334" s="1454"/>
      <c r="AE334" s="1454"/>
      <c r="AF334" s="1454"/>
      <c r="AG334" s="1399"/>
      <c r="AH334" s="1399"/>
      <c r="AI334" s="1399"/>
      <c r="AJ334" s="1399"/>
      <c r="AK334" s="1399"/>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99" t="s">
        <v>2738</v>
      </c>
      <c r="I336" s="1399"/>
      <c r="J336" s="1399"/>
      <c r="K336" s="1399"/>
      <c r="L336" s="1399"/>
      <c r="M336" s="1399"/>
      <c r="N336" s="1399"/>
      <c r="O336" s="1399"/>
      <c r="P336" s="1399"/>
      <c r="Q336" s="1399"/>
      <c r="R336" s="1399"/>
      <c r="T336" s="3" t="s">
        <v>368</v>
      </c>
      <c r="V336" s="3"/>
      <c r="W336" s="3"/>
      <c r="X336" s="3"/>
      <c r="Y336" s="3"/>
      <c r="AA336" s="1505" t="s">
        <v>2738</v>
      </c>
      <c r="AB336" s="1399"/>
      <c r="AC336" s="1399"/>
      <c r="AD336" s="1399"/>
      <c r="AE336" s="1399"/>
      <c r="AF336" s="1399"/>
      <c r="AG336" s="1399"/>
      <c r="AH336" s="1399"/>
      <c r="AI336" s="1399"/>
      <c r="AJ336" s="1399"/>
      <c r="AK336" s="1399"/>
    </row>
    <row r="337" spans="2:66" ht="12.95" customHeight="1">
      <c r="B337" s="3" t="s">
        <v>471</v>
      </c>
      <c r="C337" s="3"/>
      <c r="D337" s="3"/>
      <c r="E337" s="3"/>
      <c r="F337" s="3"/>
      <c r="H337" s="1454" t="s">
        <v>2738</v>
      </c>
      <c r="I337" s="1454"/>
      <c r="J337" s="1454"/>
      <c r="K337" s="1454"/>
      <c r="L337" s="1454"/>
      <c r="M337" s="1454"/>
      <c r="N337" s="1454"/>
      <c r="O337" s="1454"/>
      <c r="P337" s="1454"/>
      <c r="Q337" s="1454"/>
      <c r="R337" s="1454"/>
      <c r="T337" s="3" t="s">
        <v>471</v>
      </c>
      <c r="V337" s="3"/>
      <c r="W337" s="3"/>
      <c r="X337" s="3"/>
      <c r="Y337" s="3"/>
      <c r="AA337" s="1454" t="s">
        <v>2738</v>
      </c>
      <c r="AB337" s="1454"/>
      <c r="AC337" s="1454"/>
      <c r="AD337" s="1454"/>
      <c r="AE337" s="1454"/>
      <c r="AF337" s="1454"/>
      <c r="AG337" s="1454"/>
      <c r="AH337" s="1454"/>
      <c r="AI337" s="1454"/>
      <c r="AJ337" s="1454"/>
      <c r="AK337" s="1454"/>
    </row>
    <row r="338" spans="2:66" ht="12.95" customHeight="1">
      <c r="B338" s="3" t="s">
        <v>472</v>
      </c>
      <c r="C338" s="3"/>
      <c r="D338" s="3"/>
      <c r="E338" s="3"/>
      <c r="F338" s="3"/>
      <c r="H338" s="1454" t="s">
        <v>2738</v>
      </c>
      <c r="I338" s="1454"/>
      <c r="J338" s="1454"/>
      <c r="K338" s="1454"/>
      <c r="L338" s="1454"/>
      <c r="M338" s="1454"/>
      <c r="N338" s="1454"/>
      <c r="O338" s="1454"/>
      <c r="P338" s="1454"/>
      <c r="Q338" s="1454"/>
      <c r="R338" s="1454"/>
      <c r="T338" s="3" t="s">
        <v>75</v>
      </c>
      <c r="V338" s="3"/>
      <c r="W338" s="3"/>
      <c r="X338" s="3"/>
      <c r="Y338" s="3"/>
      <c r="AA338" s="1454" t="s">
        <v>2738</v>
      </c>
      <c r="AB338" s="1454"/>
      <c r="AC338" s="1454"/>
      <c r="AD338" s="1454"/>
      <c r="AE338" s="1454"/>
      <c r="AF338" s="1454"/>
      <c r="AG338" s="1454"/>
      <c r="AH338" s="1454"/>
      <c r="AI338" s="1454"/>
      <c r="AJ338" s="1454"/>
      <c r="AK338" s="1454"/>
    </row>
    <row r="339" spans="2:66" ht="12.95" customHeight="1">
      <c r="B339" s="3" t="s">
        <v>87</v>
      </c>
      <c r="C339" s="3"/>
      <c r="D339" s="3"/>
      <c r="E339" s="3"/>
      <c r="F339" s="3"/>
      <c r="H339" s="1454" t="s">
        <v>2738</v>
      </c>
      <c r="I339" s="1454"/>
      <c r="J339" s="1454"/>
      <c r="K339" s="1454"/>
      <c r="L339" s="1454"/>
      <c r="M339" s="1454"/>
      <c r="N339" s="1454"/>
      <c r="O339" s="1454"/>
      <c r="P339" s="1454"/>
      <c r="Q339" s="1454"/>
      <c r="R339" s="1454"/>
      <c r="T339" s="3" t="s">
        <v>87</v>
      </c>
      <c r="V339" s="3"/>
      <c r="W339" s="3"/>
      <c r="X339" s="3"/>
      <c r="Y339" s="3"/>
      <c r="AA339" s="1454" t="s">
        <v>2738</v>
      </c>
      <c r="AB339" s="1454"/>
      <c r="AC339" s="1454"/>
      <c r="AD339" s="1454"/>
      <c r="AE339" s="1454"/>
      <c r="AF339" s="1454"/>
      <c r="AG339" s="1454"/>
      <c r="AH339" s="1454"/>
      <c r="AI339" s="1454"/>
      <c r="AJ339" s="1454"/>
      <c r="AK339" s="1454"/>
    </row>
    <row r="340" spans="2:66" ht="12.95" customHeight="1">
      <c r="B340" s="3" t="s">
        <v>88</v>
      </c>
      <c r="C340" s="3"/>
      <c r="D340" s="3"/>
      <c r="E340" s="3"/>
      <c r="F340" s="3"/>
      <c r="G340" s="3"/>
      <c r="H340" s="1767" t="s">
        <v>2738</v>
      </c>
      <c r="I340" s="1523"/>
      <c r="J340" s="1523"/>
      <c r="K340" s="1523"/>
      <c r="L340" s="1523"/>
      <c r="M340" s="1523"/>
      <c r="N340" s="4" t="s">
        <v>206</v>
      </c>
      <c r="O340" s="4"/>
      <c r="P340" s="1506"/>
      <c r="Q340" s="1506"/>
      <c r="R340" s="1506"/>
      <c r="S340" s="3"/>
      <c r="T340" s="3" t="s">
        <v>88</v>
      </c>
      <c r="V340" s="3"/>
      <c r="W340" s="3"/>
      <c r="X340" s="3"/>
      <c r="Y340" s="3"/>
      <c r="AA340" s="1767" t="s">
        <v>2738</v>
      </c>
      <c r="AB340" s="1523"/>
      <c r="AC340" s="1523"/>
      <c r="AD340" s="1523"/>
      <c r="AE340" s="1523"/>
      <c r="AF340" s="1523"/>
      <c r="AG340" s="4" t="s">
        <v>206</v>
      </c>
      <c r="AH340" s="4"/>
      <c r="AI340" s="1506"/>
      <c r="AJ340" s="1506"/>
      <c r="AK340" s="1506"/>
    </row>
    <row r="341" spans="2:66" ht="12.95" customHeight="1">
      <c r="B341" s="3" t="s">
        <v>89</v>
      </c>
      <c r="C341" s="3"/>
      <c r="D341" s="3"/>
      <c r="E341" s="3"/>
      <c r="F341" s="3"/>
      <c r="G341" s="3"/>
      <c r="H341" s="1715" t="s">
        <v>2738</v>
      </c>
      <c r="I341" s="1473"/>
      <c r="J341" s="1473"/>
      <c r="K341" s="1473"/>
      <c r="L341" s="1473"/>
      <c r="M341" s="1473"/>
      <c r="N341" s="4"/>
      <c r="O341" s="4"/>
      <c r="P341" s="35"/>
      <c r="Q341" s="35"/>
      <c r="R341" s="35"/>
      <c r="S341" s="3"/>
      <c r="T341" s="3" t="s">
        <v>89</v>
      </c>
      <c r="V341" s="3"/>
      <c r="W341" s="3"/>
      <c r="X341" s="3"/>
      <c r="Y341" s="3"/>
      <c r="AA341" s="1715" t="s">
        <v>2738</v>
      </c>
      <c r="AB341" s="1473"/>
      <c r="AC341" s="1473"/>
      <c r="AD341" s="1473"/>
      <c r="AE341" s="1473"/>
      <c r="AF341" s="1473"/>
      <c r="AG341" s="4"/>
      <c r="AH341" s="4"/>
      <c r="AI341" s="35"/>
      <c r="AJ341" s="35"/>
      <c r="AK341" s="35"/>
    </row>
    <row r="342" spans="2:66" ht="12.95" customHeight="1">
      <c r="B342" s="3" t="s">
        <v>76</v>
      </c>
      <c r="C342" s="3"/>
      <c r="D342" s="3"/>
      <c r="E342" s="3"/>
      <c r="F342" s="3"/>
      <c r="G342" s="3"/>
      <c r="H342" s="1454" t="s">
        <v>2738</v>
      </c>
      <c r="I342" s="1454"/>
      <c r="J342" s="1454"/>
      <c r="K342" s="1454"/>
      <c r="L342" s="1454"/>
      <c r="M342" s="1454"/>
      <c r="N342" s="1399"/>
      <c r="O342" s="1399"/>
      <c r="P342" s="1399"/>
      <c r="Q342" s="1399"/>
      <c r="R342" s="1399"/>
      <c r="S342" s="3"/>
      <c r="T342" s="3" t="s">
        <v>76</v>
      </c>
      <c r="V342" s="3"/>
      <c r="W342" s="3"/>
      <c r="X342" s="3"/>
      <c r="Y342" s="3"/>
      <c r="AA342" s="1454" t="s">
        <v>2738</v>
      </c>
      <c r="AB342" s="1454"/>
      <c r="AC342" s="1454"/>
      <c r="AD342" s="1454"/>
      <c r="AE342" s="1454"/>
      <c r="AF342" s="1454"/>
      <c r="AG342" s="1399"/>
      <c r="AH342" s="1399"/>
      <c r="AI342" s="1399"/>
      <c r="AJ342" s="1399"/>
      <c r="AK342" s="1399"/>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99" t="s">
        <v>2722</v>
      </c>
      <c r="I344" s="1399"/>
      <c r="J344" s="1399"/>
      <c r="K344" s="1399"/>
      <c r="L344" s="1399"/>
      <c r="M344" s="1399"/>
      <c r="N344" s="1399"/>
      <c r="O344" s="1399"/>
      <c r="P344" s="1399"/>
      <c r="Q344" s="1399"/>
      <c r="R344" s="1399"/>
      <c r="T344" s="204" t="s">
        <v>886</v>
      </c>
      <c r="V344" s="3"/>
      <c r="W344" s="3"/>
      <c r="X344" s="3"/>
      <c r="Y344" s="3"/>
      <c r="AA344" s="1505" t="s">
        <v>2701</v>
      </c>
      <c r="AB344" s="1399"/>
      <c r="AC344" s="1399"/>
      <c r="AD344" s="1399"/>
      <c r="AE344" s="1399"/>
      <c r="AF344" s="1399"/>
      <c r="AG344" s="1399"/>
      <c r="AH344" s="1399"/>
      <c r="AI344" s="1399"/>
      <c r="AJ344" s="1399"/>
      <c r="AK344" s="1399"/>
    </row>
    <row r="345" spans="2:66" ht="12.95" customHeight="1">
      <c r="B345" s="3" t="s">
        <v>471</v>
      </c>
      <c r="C345" s="3"/>
      <c r="D345" s="3"/>
      <c r="E345" s="3"/>
      <c r="F345" s="3"/>
      <c r="H345" s="1454" t="s">
        <v>2723</v>
      </c>
      <c r="I345" s="1454"/>
      <c r="J345" s="1454"/>
      <c r="K345" s="1454"/>
      <c r="L345" s="1454"/>
      <c r="M345" s="1454"/>
      <c r="N345" s="1454"/>
      <c r="O345" s="1454"/>
      <c r="P345" s="1454"/>
      <c r="Q345" s="1454"/>
      <c r="R345" s="1454"/>
      <c r="T345" s="3" t="s">
        <v>471</v>
      </c>
      <c r="V345" s="3"/>
      <c r="W345" s="3"/>
      <c r="X345" s="3"/>
      <c r="Y345" s="3"/>
      <c r="AA345" s="1390" t="s">
        <v>2702</v>
      </c>
      <c r="AB345" s="1454"/>
      <c r="AC345" s="1454"/>
      <c r="AD345" s="1454"/>
      <c r="AE345" s="1454"/>
      <c r="AF345" s="1454"/>
      <c r="AG345" s="1454"/>
      <c r="AH345" s="1454"/>
      <c r="AI345" s="1454"/>
      <c r="AJ345" s="1454"/>
      <c r="AK345" s="1454"/>
    </row>
    <row r="346" spans="2:66" ht="12.95" customHeight="1">
      <c r="B346" s="3" t="s">
        <v>75</v>
      </c>
      <c r="C346" s="3"/>
      <c r="D346" s="3"/>
      <c r="E346" s="3"/>
      <c r="F346" s="3"/>
      <c r="H346" s="1454" t="s">
        <v>2724</v>
      </c>
      <c r="I346" s="1454"/>
      <c r="J346" s="1454"/>
      <c r="K346" s="1454"/>
      <c r="L346" s="1454"/>
      <c r="M346" s="1454"/>
      <c r="N346" s="1454"/>
      <c r="O346" s="1454"/>
      <c r="P346" s="1454"/>
      <c r="Q346" s="1454"/>
      <c r="R346" s="1454"/>
      <c r="T346" s="3" t="s">
        <v>75</v>
      </c>
      <c r="V346" s="3"/>
      <c r="W346" s="3"/>
      <c r="X346" s="3"/>
      <c r="Y346" s="3"/>
      <c r="AA346" s="1390" t="s">
        <v>2703</v>
      </c>
      <c r="AB346" s="1454"/>
      <c r="AC346" s="1454"/>
      <c r="AD346" s="1454"/>
      <c r="AE346" s="1454"/>
      <c r="AF346" s="1454"/>
      <c r="AG346" s="1454"/>
      <c r="AH346" s="1454"/>
      <c r="AI346" s="1454"/>
      <c r="AJ346" s="1454"/>
      <c r="AK346" s="1454"/>
    </row>
    <row r="347" spans="2:66" ht="12.95" customHeight="1">
      <c r="B347" s="3" t="s">
        <v>87</v>
      </c>
      <c r="C347" s="3"/>
      <c r="D347" s="3"/>
      <c r="E347" s="3"/>
      <c r="F347" s="3"/>
      <c r="G347" s="3"/>
      <c r="H347" s="1454" t="s">
        <v>2725</v>
      </c>
      <c r="I347" s="1454"/>
      <c r="J347" s="1454"/>
      <c r="K347" s="1454"/>
      <c r="L347" s="1454"/>
      <c r="M347" s="1454"/>
      <c r="N347" s="1454"/>
      <c r="O347" s="1454"/>
      <c r="P347" s="1454"/>
      <c r="Q347" s="1454"/>
      <c r="R347" s="1454"/>
      <c r="T347" s="3" t="s">
        <v>87</v>
      </c>
      <c r="V347" s="3"/>
      <c r="W347" s="3"/>
      <c r="X347" s="3"/>
      <c r="Y347" s="3"/>
      <c r="AA347" s="1390" t="s">
        <v>2704</v>
      </c>
      <c r="AB347" s="1454"/>
      <c r="AC347" s="1454"/>
      <c r="AD347" s="1454"/>
      <c r="AE347" s="1454"/>
      <c r="AF347" s="1454"/>
      <c r="AG347" s="1454"/>
      <c r="AH347" s="1454"/>
      <c r="AI347" s="1454"/>
      <c r="AJ347" s="1454"/>
      <c r="AK347" s="1454"/>
    </row>
    <row r="348" spans="2:66" ht="12.95" customHeight="1">
      <c r="B348" s="3" t="s">
        <v>88</v>
      </c>
      <c r="C348" s="3"/>
      <c r="D348" s="3"/>
      <c r="E348" s="3"/>
      <c r="F348" s="3"/>
      <c r="G348" s="3"/>
      <c r="H348" s="1523">
        <v>75609301333</v>
      </c>
      <c r="I348" s="1523"/>
      <c r="J348" s="1523"/>
      <c r="K348" s="1523"/>
      <c r="L348" s="1523"/>
      <c r="M348" s="1523"/>
      <c r="N348" s="4" t="s">
        <v>206</v>
      </c>
      <c r="O348" s="4"/>
      <c r="P348" s="1506"/>
      <c r="Q348" s="1506"/>
      <c r="R348" s="1506"/>
      <c r="S348" s="3"/>
      <c r="T348" s="3" t="s">
        <v>88</v>
      </c>
      <c r="V348" s="3"/>
      <c r="W348" s="3"/>
      <c r="X348" s="3"/>
      <c r="Y348" s="3"/>
      <c r="AA348" s="1523">
        <v>9163575312</v>
      </c>
      <c r="AB348" s="1523"/>
      <c r="AC348" s="1523"/>
      <c r="AD348" s="1523"/>
      <c r="AE348" s="1523"/>
      <c r="AF348" s="1523"/>
      <c r="AG348" s="4" t="s">
        <v>206</v>
      </c>
      <c r="AH348" s="4"/>
      <c r="AI348" s="1506">
        <v>434</v>
      </c>
      <c r="AJ348" s="1506"/>
      <c r="AK348" s="1506"/>
    </row>
    <row r="349" spans="2:66" ht="12.95" customHeight="1">
      <c r="B349" s="3" t="s">
        <v>89</v>
      </c>
      <c r="C349" s="3"/>
      <c r="D349" s="3"/>
      <c r="E349" s="3"/>
      <c r="F349" s="3"/>
      <c r="G349" s="3"/>
      <c r="H349" s="1473">
        <v>7606833390</v>
      </c>
      <c r="I349" s="1473"/>
      <c r="J349" s="1473"/>
      <c r="K349" s="1473"/>
      <c r="L349" s="1473"/>
      <c r="M349" s="1473"/>
      <c r="N349" s="4"/>
      <c r="O349" s="4"/>
      <c r="P349" s="35"/>
      <c r="Q349" s="35"/>
      <c r="R349" s="35"/>
      <c r="S349" s="3"/>
      <c r="T349" s="3" t="s">
        <v>89</v>
      </c>
      <c r="V349" s="3"/>
      <c r="W349" s="3"/>
      <c r="X349" s="3"/>
      <c r="Y349" s="3"/>
      <c r="AA349" s="1715" t="s">
        <v>2738</v>
      </c>
      <c r="AB349" s="1473"/>
      <c r="AC349" s="1473"/>
      <c r="AD349" s="1473"/>
      <c r="AE349" s="1473"/>
      <c r="AF349" s="1473"/>
      <c r="AG349" s="4"/>
      <c r="AH349" s="4"/>
      <c r="AI349" s="35"/>
      <c r="AJ349" s="35"/>
      <c r="AK349" s="35"/>
    </row>
    <row r="350" spans="2:66" ht="12.95" customHeight="1">
      <c r="B350" s="3" t="s">
        <v>76</v>
      </c>
      <c r="C350" s="3"/>
      <c r="D350" s="3"/>
      <c r="E350" s="3"/>
      <c r="F350" s="3"/>
      <c r="G350" s="3"/>
      <c r="H350" s="1454" t="s">
        <v>2726</v>
      </c>
      <c r="I350" s="1454"/>
      <c r="J350" s="1454"/>
      <c r="K350" s="1454"/>
      <c r="L350" s="1454"/>
      <c r="M350" s="1454"/>
      <c r="N350" s="1399"/>
      <c r="O350" s="1399"/>
      <c r="P350" s="1399"/>
      <c r="Q350" s="1399"/>
      <c r="R350" s="1399"/>
      <c r="S350" s="3"/>
      <c r="T350" s="3" t="s">
        <v>76</v>
      </c>
      <c r="V350" s="3"/>
      <c r="W350" s="3"/>
      <c r="X350" s="3"/>
      <c r="Y350" s="3"/>
      <c r="AA350" s="1390" t="s">
        <v>2705</v>
      </c>
      <c r="AB350" s="1454"/>
      <c r="AC350" s="1454"/>
      <c r="AD350" s="1454"/>
      <c r="AE350" s="1454"/>
      <c r="AF350" s="1454"/>
      <c r="AG350" s="1399"/>
      <c r="AH350" s="1399"/>
      <c r="AI350" s="1399"/>
      <c r="AJ350" s="1399"/>
      <c r="AK350" s="1399"/>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505" t="s">
        <v>2738</v>
      </c>
      <c r="Q352" s="1399"/>
      <c r="R352" s="1399"/>
      <c r="S352" s="1399"/>
      <c r="T352" s="1399"/>
      <c r="U352" s="1399"/>
      <c r="V352" s="1399"/>
      <c r="W352" s="1399"/>
      <c r="X352" s="1399"/>
      <c r="Y352" s="1399"/>
      <c r="Z352" s="1399"/>
      <c r="AA352" s="1399"/>
      <c r="AB352" s="1399"/>
      <c r="AC352" s="1399"/>
      <c r="AD352" s="1399"/>
      <c r="AE352" s="1399"/>
      <c r="BN352" t="s">
        <v>669</v>
      </c>
    </row>
    <row r="353" spans="1:66" ht="12.95" customHeight="1">
      <c r="B353" s="4"/>
      <c r="C353" s="4"/>
      <c r="D353" s="4"/>
      <c r="E353" s="4"/>
      <c r="F353" s="4"/>
      <c r="I353" s="4" t="s">
        <v>471</v>
      </c>
      <c r="P353" s="1454" t="s">
        <v>2738</v>
      </c>
      <c r="Q353" s="1454"/>
      <c r="R353" s="1454"/>
      <c r="S353" s="1454"/>
      <c r="T353" s="1454"/>
      <c r="U353" s="1454"/>
      <c r="V353" s="1454"/>
      <c r="W353" s="1454"/>
      <c r="X353" s="1454"/>
      <c r="Y353" s="1454"/>
      <c r="Z353" s="1454"/>
      <c r="AA353" s="1454"/>
      <c r="AB353" s="1454"/>
      <c r="AC353" s="1454"/>
      <c r="AD353" s="1454"/>
      <c r="AE353" s="1454"/>
      <c r="BN353" t="s">
        <v>545</v>
      </c>
    </row>
    <row r="354" spans="1:66" ht="12.95" customHeight="1">
      <c r="B354" s="4"/>
      <c r="C354" s="4"/>
      <c r="D354" s="4"/>
      <c r="E354" s="4"/>
      <c r="F354" s="4"/>
      <c r="I354" s="4" t="s">
        <v>75</v>
      </c>
      <c r="P354" s="1454" t="s">
        <v>2738</v>
      </c>
      <c r="Q354" s="1454"/>
      <c r="R354" s="1454"/>
      <c r="S354" s="1454"/>
      <c r="T354" s="1454"/>
      <c r="U354" s="1454"/>
      <c r="V354" s="1454"/>
      <c r="W354" s="1454"/>
      <c r="X354" s="1454"/>
      <c r="Y354" s="1454"/>
      <c r="Z354" s="1454"/>
      <c r="AA354" s="1454"/>
      <c r="AB354" s="1454"/>
      <c r="AC354" s="1454"/>
      <c r="AD354" s="1454"/>
      <c r="AE354" s="1454"/>
    </row>
    <row r="355" spans="1:66" ht="12.95" customHeight="1">
      <c r="B355" s="4"/>
      <c r="C355" s="4"/>
      <c r="D355" s="4"/>
      <c r="E355" s="4"/>
      <c r="F355" s="4"/>
      <c r="G355" s="4"/>
      <c r="I355" s="4" t="s">
        <v>87</v>
      </c>
      <c r="P355" s="1454" t="s">
        <v>2738</v>
      </c>
      <c r="Q355" s="1454"/>
      <c r="R355" s="1454"/>
      <c r="S355" s="1454"/>
      <c r="T355" s="1454"/>
      <c r="U355" s="1454"/>
      <c r="V355" s="1454"/>
      <c r="W355" s="1454"/>
      <c r="X355" s="1454"/>
      <c r="Y355" s="1454"/>
      <c r="Z355" s="1454"/>
      <c r="AA355" s="1454"/>
      <c r="AB355" s="1454"/>
      <c r="AC355" s="1454"/>
      <c r="AD355" s="1454"/>
      <c r="AE355" s="1454"/>
    </row>
    <row r="356" spans="1:66" ht="12.95" customHeight="1">
      <c r="B356" s="4"/>
      <c r="C356" s="4"/>
      <c r="D356" s="4"/>
      <c r="E356" s="4"/>
      <c r="F356" s="4"/>
      <c r="G356" s="4"/>
      <c r="H356" s="302"/>
      <c r="I356" s="4" t="s">
        <v>88</v>
      </c>
      <c r="P356" s="1715" t="s">
        <v>2738</v>
      </c>
      <c r="Q356" s="1473"/>
      <c r="R356" s="1473"/>
      <c r="S356" s="1473"/>
      <c r="T356" s="1473"/>
      <c r="U356" s="1473"/>
      <c r="V356" s="1473"/>
      <c r="W356" s="1473"/>
      <c r="X356" s="1473"/>
      <c r="Y356" s="1473"/>
      <c r="Z356" s="1473"/>
      <c r="AA356" s="4" t="s">
        <v>206</v>
      </c>
      <c r="AB356" s="4"/>
      <c r="AC356" s="1444"/>
      <c r="AD356" s="1444"/>
      <c r="AE356" s="1444"/>
      <c r="AF356" s="302"/>
      <c r="AG356" s="4"/>
      <c r="AH356" s="4"/>
      <c r="AI356" s="4"/>
      <c r="AJ356" s="4"/>
      <c r="AK356" s="4"/>
    </row>
    <row r="357" spans="1:66" ht="12.95" customHeight="1">
      <c r="B357" s="4"/>
      <c r="C357" s="4"/>
      <c r="D357" s="4"/>
      <c r="E357" s="4"/>
      <c r="F357" s="4"/>
      <c r="G357" s="4"/>
      <c r="H357" s="302"/>
      <c r="I357" s="4" t="s">
        <v>89</v>
      </c>
      <c r="P357" s="1715" t="s">
        <v>2738</v>
      </c>
      <c r="Q357" s="1473"/>
      <c r="R357" s="1473"/>
      <c r="S357" s="1473"/>
      <c r="T357" s="1473"/>
      <c r="U357" s="1473"/>
      <c r="V357" s="1473"/>
      <c r="W357" s="1473"/>
      <c r="X357" s="1473"/>
      <c r="Y357" s="1473"/>
      <c r="Z357" s="1473"/>
      <c r="AF357" s="302"/>
      <c r="AG357" s="4"/>
      <c r="AH357" s="4"/>
      <c r="AI357" s="35"/>
      <c r="AJ357" s="35"/>
      <c r="AK357" s="35"/>
    </row>
    <row r="358" spans="1:66" ht="12.95" customHeight="1">
      <c r="B358" s="4"/>
      <c r="C358" s="4"/>
      <c r="D358" s="4"/>
      <c r="E358" s="4"/>
      <c r="F358" s="4"/>
      <c r="G358" s="4"/>
      <c r="I358" s="4" t="s">
        <v>76</v>
      </c>
      <c r="P358" s="1399" t="s">
        <v>2738</v>
      </c>
      <c r="Q358" s="1399"/>
      <c r="R358" s="1399"/>
      <c r="S358" s="1399"/>
      <c r="T358" s="1399"/>
      <c r="U358" s="1399"/>
      <c r="V358" s="1399"/>
      <c r="W358" s="1399"/>
      <c r="X358" s="1399"/>
      <c r="Y358" s="1399"/>
      <c r="Z358" s="1399"/>
      <c r="AA358" s="1399"/>
      <c r="AB358" s="1399"/>
      <c r="AC358" s="1399"/>
      <c r="AD358" s="1399"/>
      <c r="AE358" s="1399"/>
    </row>
    <row r="359" spans="1:66" ht="12.95" customHeight="1">
      <c r="T359" s="8"/>
      <c r="U359" s="8"/>
      <c r="V359" s="8"/>
      <c r="W359" s="8"/>
      <c r="X359" s="8"/>
      <c r="Y359" s="8"/>
      <c r="Z359" s="8"/>
      <c r="AU359" s="95"/>
      <c r="AV359" s="95"/>
      <c r="AW359" s="95"/>
      <c r="AX359" s="95"/>
      <c r="AY359" s="95"/>
    </row>
    <row r="360" spans="1:66" ht="12.95" customHeight="1">
      <c r="A360" s="1527" t="s">
        <v>542</v>
      </c>
      <c r="B360" s="1527"/>
      <c r="C360" s="1527"/>
      <c r="D360" s="1527"/>
      <c r="E360" s="1527"/>
      <c r="F360" s="1527"/>
      <c r="G360" s="1527"/>
      <c r="H360" s="1527"/>
      <c r="I360" s="1527"/>
      <c r="J360" s="1527"/>
      <c r="K360" s="1527"/>
      <c r="L360" s="1527"/>
      <c r="M360" s="1527"/>
      <c r="N360" s="1527"/>
      <c r="O360" s="1527"/>
      <c r="P360" s="1527"/>
      <c r="Q360" s="1527"/>
      <c r="R360" s="1527"/>
      <c r="S360" s="1527"/>
      <c r="T360" s="1527"/>
      <c r="U360" s="1527"/>
      <c r="V360" s="1527"/>
      <c r="W360" s="1527"/>
      <c r="X360" s="1527"/>
      <c r="Y360" s="1527"/>
      <c r="Z360" s="1527"/>
      <c r="AA360" s="1527"/>
      <c r="AB360" s="1527"/>
      <c r="AC360" s="1527"/>
      <c r="AD360" s="1527"/>
      <c r="AE360" s="1527"/>
      <c r="AF360" s="1527"/>
      <c r="AG360" s="1527"/>
      <c r="AH360" s="1527"/>
      <c r="AI360" s="1527"/>
      <c r="AJ360" s="1527"/>
      <c r="AK360" s="1527"/>
      <c r="AL360" s="1527"/>
      <c r="AM360" s="1527"/>
      <c r="AN360" s="1527"/>
      <c r="AO360" s="1527"/>
      <c r="AP360" s="1527"/>
      <c r="AQ360" s="1527"/>
      <c r="AR360" s="1527"/>
      <c r="AS360" s="1527"/>
      <c r="AT360" s="1527"/>
      <c r="AU360" s="95"/>
      <c r="AV360" s="95"/>
      <c r="AW360" s="95"/>
      <c r="AX360" s="95"/>
      <c r="AY360" s="95"/>
    </row>
    <row r="361" spans="1:66" ht="12.95" customHeight="1">
      <c r="A361" s="1527"/>
      <c r="B361" s="1527"/>
      <c r="C361" s="1527"/>
      <c r="D361" s="1527"/>
      <c r="E361" s="1527"/>
      <c r="F361" s="1527"/>
      <c r="G361" s="1527"/>
      <c r="H361" s="1527"/>
      <c r="I361" s="1527"/>
      <c r="J361" s="1527"/>
      <c r="K361" s="1527"/>
      <c r="L361" s="1527"/>
      <c r="M361" s="1527"/>
      <c r="N361" s="1527"/>
      <c r="O361" s="1527"/>
      <c r="P361" s="1527"/>
      <c r="Q361" s="1527"/>
      <c r="R361" s="1527"/>
      <c r="S361" s="1527"/>
      <c r="T361" s="1527"/>
      <c r="U361" s="1527"/>
      <c r="V361" s="1527"/>
      <c r="W361" s="1527"/>
      <c r="X361" s="1527"/>
      <c r="Y361" s="1527"/>
      <c r="Z361" s="1527"/>
      <c r="AA361" s="1527"/>
      <c r="AB361" s="1527"/>
      <c r="AC361" s="1527"/>
      <c r="AD361" s="1527"/>
      <c r="AE361" s="1527"/>
      <c r="AF361" s="1527"/>
      <c r="AG361" s="1527"/>
      <c r="AH361" s="1527"/>
      <c r="AI361" s="1527"/>
      <c r="AJ361" s="1527"/>
      <c r="AK361" s="1527"/>
      <c r="AL361" s="1527"/>
      <c r="AM361" s="1527"/>
      <c r="AN361" s="1527"/>
      <c r="AO361" s="1527"/>
      <c r="AP361" s="1527"/>
      <c r="AQ361" s="1527"/>
      <c r="AR361" s="1527"/>
      <c r="AS361" s="1527"/>
      <c r="AT361" s="1527"/>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47" t="s">
        <v>545</v>
      </c>
      <c r="N364" s="1347"/>
      <c r="P364" t="s">
        <v>1639</v>
      </c>
      <c r="AJ364" s="1347" t="s">
        <v>669</v>
      </c>
      <c r="AK364" s="1347"/>
    </row>
    <row r="365" spans="1:66" ht="12.95" customHeight="1">
      <c r="D365" s="3" t="s">
        <v>1628</v>
      </c>
      <c r="M365" s="1347" t="s">
        <v>591</v>
      </c>
      <c r="N365" s="1347"/>
      <c r="P365" s="3" t="s">
        <v>1708</v>
      </c>
      <c r="AJ365" s="1535">
        <v>0</v>
      </c>
      <c r="AK365" s="1535"/>
    </row>
    <row r="366" spans="1:66" ht="12.95" customHeight="1">
      <c r="D366" s="3" t="s">
        <v>704</v>
      </c>
      <c r="M366" s="1347" t="s">
        <v>591</v>
      </c>
      <c r="N366" s="1347"/>
      <c r="P366" t="s">
        <v>1638</v>
      </c>
      <c r="AJ366" s="1347" t="s">
        <v>669</v>
      </c>
      <c r="AK366" s="1347"/>
    </row>
    <row r="367" spans="1:66" ht="12.95" customHeight="1">
      <c r="D367" s="3" t="s">
        <v>705</v>
      </c>
      <c r="M367" s="1347" t="s">
        <v>591</v>
      </c>
      <c r="N367" s="1347"/>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47" t="s">
        <v>591</v>
      </c>
      <c r="O372" s="1347"/>
      <c r="P372" s="40"/>
      <c r="Q372" s="40"/>
      <c r="R372" s="40"/>
      <c r="S372" s="40"/>
      <c r="T372" s="40"/>
      <c r="U372" s="40"/>
      <c r="V372" s="40"/>
      <c r="W372" s="40"/>
      <c r="X372" s="40"/>
      <c r="Y372" s="40"/>
      <c r="Z372" s="40"/>
      <c r="AC372" s="40"/>
      <c r="AD372" s="40"/>
      <c r="AE372" s="40"/>
    </row>
    <row r="373" spans="1:34" ht="12.95" customHeight="1">
      <c r="E373" t="s">
        <v>370</v>
      </c>
      <c r="Y373" s="1347" t="s">
        <v>591</v>
      </c>
      <c r="Z373" s="1347"/>
    </row>
    <row r="374" spans="1:34" ht="12.95" customHeight="1">
      <c r="D374" s="4" t="s">
        <v>978</v>
      </c>
      <c r="Q374" s="1399" t="s">
        <v>591</v>
      </c>
      <c r="R374" s="1399"/>
      <c r="S374" s="1399"/>
      <c r="T374" s="1399"/>
      <c r="U374" s="1399"/>
      <c r="V374" s="1399"/>
      <c r="W374" s="1399"/>
      <c r="X374" s="1399"/>
      <c r="Y374" s="1399"/>
      <c r="Z374" s="1399"/>
      <c r="AA374" s="1399"/>
      <c r="AB374" s="1399"/>
      <c r="AC374" s="1399"/>
      <c r="AD374" s="1399"/>
      <c r="AE374" s="1399"/>
      <c r="AF374" s="1399"/>
      <c r="AG374" s="1399"/>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47" t="s">
        <v>591</v>
      </c>
      <c r="K376" s="1347"/>
      <c r="L376" s="40"/>
      <c r="M376" s="40"/>
      <c r="N376" s="40"/>
      <c r="O376" s="40"/>
      <c r="P376" s="40"/>
      <c r="Q376" s="40"/>
      <c r="R376" s="40"/>
      <c r="S376" s="40"/>
      <c r="T376" s="40"/>
      <c r="U376" s="40"/>
      <c r="V376" s="40"/>
      <c r="W376" s="40"/>
      <c r="X376" s="40"/>
      <c r="Y376" s="40"/>
      <c r="Z376" s="40"/>
      <c r="AC376" s="40"/>
      <c r="AD376" s="40"/>
      <c r="AE376" s="40"/>
    </row>
    <row r="377" spans="1:34" ht="12.95" customHeight="1">
      <c r="E377" s="1504" t="s">
        <v>706</v>
      </c>
      <c r="F377" s="1504"/>
      <c r="G377" s="1504"/>
      <c r="H377" s="1504"/>
      <c r="I377" s="1504"/>
      <c r="J377" s="1504"/>
      <c r="K377" s="1504"/>
      <c r="L377" s="1504"/>
      <c r="M377" s="1504"/>
      <c r="N377" s="1504"/>
      <c r="O377" s="1504"/>
      <c r="P377" s="1504"/>
      <c r="Q377" s="1504"/>
      <c r="R377" s="1504"/>
      <c r="S377" s="1504"/>
      <c r="T377" s="1504"/>
      <c r="U377" s="1504"/>
      <c r="V377" s="1504"/>
      <c r="W377" s="1504"/>
      <c r="X377" s="1504"/>
      <c r="Y377" s="1504"/>
      <c r="Z377" s="1504"/>
      <c r="AA377" s="1504"/>
      <c r="AB377" s="1504"/>
      <c r="AC377" s="1504"/>
      <c r="AD377" s="1504"/>
      <c r="AE377" s="1504"/>
      <c r="AF377" s="1504"/>
      <c r="AG377" s="1504"/>
      <c r="AH377" s="1504"/>
    </row>
    <row r="378" spans="1:34" ht="12.95" customHeight="1">
      <c r="E378" s="1504"/>
      <c r="F378" s="1504"/>
      <c r="G378" s="1504"/>
      <c r="H378" s="1504"/>
      <c r="I378" s="1504"/>
      <c r="J378" s="1504"/>
      <c r="K378" s="1504"/>
      <c r="L378" s="1504"/>
      <c r="M378" s="1504"/>
      <c r="N378" s="1504"/>
      <c r="O378" s="1504"/>
      <c r="P378" s="1504"/>
      <c r="Q378" s="1504"/>
      <c r="R378" s="1504"/>
      <c r="S378" s="1504"/>
      <c r="T378" s="1504"/>
      <c r="U378" s="1504"/>
      <c r="V378" s="1504"/>
      <c r="W378" s="1504"/>
      <c r="X378" s="1504"/>
      <c r="Y378" s="1504"/>
      <c r="Z378" s="1504"/>
      <c r="AA378" s="1504"/>
      <c r="AB378" s="1504"/>
      <c r="AC378" s="1504"/>
      <c r="AD378" s="1504"/>
      <c r="AE378" s="1504"/>
      <c r="AF378" s="1504"/>
      <c r="AG378" s="1504"/>
      <c r="AH378" s="1504"/>
    </row>
    <row r="379" spans="1:34" ht="12.95" customHeight="1">
      <c r="E379" s="4" t="s">
        <v>448</v>
      </c>
      <c r="F379" s="4"/>
      <c r="G379" s="4"/>
      <c r="H379" s="4"/>
      <c r="I379" s="4"/>
      <c r="J379" s="4"/>
      <c r="K379" s="4"/>
      <c r="L379" s="4"/>
      <c r="N379" s="1772" t="s">
        <v>591</v>
      </c>
      <c r="O379" s="1532"/>
      <c r="P379" s="1532"/>
      <c r="Q379" s="1532"/>
      <c r="R379" s="4"/>
      <c r="U379" s="4" t="s">
        <v>449</v>
      </c>
      <c r="V379" s="4"/>
      <c r="W379" s="4"/>
      <c r="X379" s="4"/>
      <c r="Y379" s="4"/>
      <c r="Z379" s="4"/>
      <c r="AA379" s="4"/>
      <c r="AB379" s="4"/>
      <c r="AC379" s="1772" t="s">
        <v>591</v>
      </c>
      <c r="AD379" s="1532"/>
      <c r="AE379" s="1532"/>
      <c r="AF379" s="1532"/>
    </row>
    <row r="380" spans="1:34" ht="12.95" customHeight="1">
      <c r="E380" s="4" t="s">
        <v>450</v>
      </c>
      <c r="F380" s="4"/>
      <c r="G380" s="4"/>
      <c r="H380" s="4"/>
      <c r="I380" s="4"/>
      <c r="J380" s="4"/>
      <c r="K380" s="4"/>
      <c r="L380" s="4"/>
      <c r="N380" s="1772" t="s">
        <v>591</v>
      </c>
      <c r="O380" s="1532"/>
      <c r="P380" s="1532"/>
      <c r="Q380" s="1532"/>
      <c r="R380" s="4"/>
      <c r="U380" s="4" t="s">
        <v>0</v>
      </c>
      <c r="V380" s="4"/>
      <c r="W380" s="4"/>
      <c r="X380" s="4"/>
      <c r="Y380" s="4"/>
      <c r="Z380" s="4"/>
      <c r="AA380" s="4"/>
      <c r="AB380" s="4"/>
      <c r="AC380" s="1772" t="s">
        <v>591</v>
      </c>
      <c r="AD380" s="1532"/>
      <c r="AE380" s="1532"/>
      <c r="AF380" s="1532"/>
    </row>
    <row r="381" spans="1:34" ht="12.95" customHeight="1">
      <c r="E381" s="4" t="s">
        <v>1</v>
      </c>
      <c r="F381" s="4"/>
      <c r="G381" s="4"/>
      <c r="H381" s="4"/>
      <c r="I381" s="4"/>
      <c r="J381" s="4"/>
      <c r="K381" s="4"/>
      <c r="L381" s="4"/>
      <c r="N381" s="1772" t="s">
        <v>591</v>
      </c>
      <c r="O381" s="1532"/>
      <c r="P381" s="1532"/>
      <c r="Q381" s="1532"/>
      <c r="R381" s="4"/>
      <c r="V381" s="4"/>
      <c r="W381" s="4"/>
      <c r="X381" s="4"/>
      <c r="Y381" s="4"/>
      <c r="Z381" s="4"/>
      <c r="AA381" s="4"/>
      <c r="AB381" s="4"/>
    </row>
    <row r="382" spans="1:34" ht="12.95" customHeight="1">
      <c r="E382" s="4" t="s">
        <v>2</v>
      </c>
      <c r="F382" s="4"/>
      <c r="G382" s="4"/>
      <c r="H382" s="4"/>
      <c r="I382" s="4"/>
      <c r="J382" s="4"/>
      <c r="K382" s="4"/>
      <c r="L382" s="4"/>
      <c r="N382" s="1793" t="s">
        <v>591</v>
      </c>
      <c r="O382" s="1813"/>
      <c r="P382" s="1813"/>
      <c r="Q382" s="1813"/>
      <c r="R382" s="1813"/>
      <c r="S382" s="1813"/>
      <c r="T382" s="1813"/>
      <c r="U382" s="1813"/>
      <c r="V382" s="1813"/>
      <c r="W382" s="1813"/>
      <c r="X382" s="1813"/>
      <c r="Y382" s="1813"/>
      <c r="Z382" s="1813"/>
      <c r="AA382" s="1813"/>
      <c r="AB382" s="1813"/>
      <c r="AC382" s="1813"/>
      <c r="AD382" s="1813"/>
      <c r="AE382" s="1813"/>
      <c r="AF382" s="1813"/>
    </row>
    <row r="383" spans="1:34" ht="12.95" customHeight="1">
      <c r="E383" s="4"/>
      <c r="F383" s="4"/>
      <c r="G383" s="4"/>
      <c r="H383" s="4"/>
      <c r="I383" s="4"/>
      <c r="J383" s="4"/>
      <c r="K383" s="4"/>
      <c r="L383" s="4"/>
      <c r="N383" s="1814"/>
      <c r="O383" s="1814"/>
      <c r="P383" s="1814"/>
      <c r="Q383" s="1814"/>
      <c r="R383" s="1814"/>
      <c r="S383" s="1814"/>
      <c r="T383" s="1814"/>
      <c r="U383" s="1814"/>
      <c r="V383" s="1814"/>
      <c r="W383" s="1814"/>
      <c r="X383" s="1814"/>
      <c r="Y383" s="1814"/>
      <c r="Z383" s="1814"/>
      <c r="AA383" s="1814"/>
      <c r="AB383" s="1814"/>
      <c r="AC383" s="1814"/>
      <c r="AD383" s="1814"/>
      <c r="AE383" s="1814"/>
      <c r="AF383" s="1814"/>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758"/>
      <c r="T386" s="1758"/>
      <c r="U386" s="1" t="s">
        <v>306</v>
      </c>
      <c r="V386" s="1758"/>
      <c r="W386" s="1758"/>
      <c r="Y386" t="s">
        <v>2037</v>
      </c>
      <c r="AC386" s="27" t="s">
        <v>305</v>
      </c>
      <c r="AD386" s="1758"/>
      <c r="AE386" s="1758"/>
      <c r="AF386" s="1" t="s">
        <v>306</v>
      </c>
      <c r="AG386" s="1758"/>
      <c r="AH386" s="1758"/>
    </row>
    <row r="387" spans="1:36" ht="12.95" customHeight="1">
      <c r="E387" s="4" t="s">
        <v>987</v>
      </c>
      <c r="F387" s="4"/>
      <c r="G387" s="4"/>
      <c r="H387" s="4"/>
      <c r="I387" s="4"/>
      <c r="J387" s="4"/>
      <c r="K387" s="4"/>
      <c r="L387" s="4"/>
      <c r="N387" s="1770" t="s">
        <v>591</v>
      </c>
      <c r="O387" s="1758"/>
      <c r="P387" s="1758"/>
    </row>
    <row r="388" spans="1:36" ht="12.95" customHeight="1">
      <c r="E388" s="204" t="s">
        <v>2042</v>
      </c>
      <c r="F388" s="4"/>
      <c r="G388" s="4"/>
      <c r="H388" s="4"/>
      <c r="I388" s="4"/>
      <c r="J388" s="4"/>
      <c r="K388" s="4"/>
      <c r="L388" s="4"/>
      <c r="AG388" s="1790" t="s">
        <v>591</v>
      </c>
      <c r="AH388" s="1790"/>
    </row>
    <row r="389" spans="1:36" ht="12.95" customHeight="1">
      <c r="E389" s="4"/>
      <c r="F389" s="4"/>
      <c r="G389" s="4" t="s">
        <v>2043</v>
      </c>
      <c r="H389" s="4"/>
      <c r="I389" s="4"/>
      <c r="J389" s="4"/>
      <c r="K389" s="4"/>
      <c r="L389" s="4"/>
      <c r="AG389" s="1790" t="s">
        <v>591</v>
      </c>
      <c r="AH389" s="1790"/>
    </row>
    <row r="390" spans="1:36" ht="12.95" customHeight="1">
      <c r="E390" s="4"/>
      <c r="F390" s="4"/>
      <c r="G390" s="320" t="s">
        <v>988</v>
      </c>
      <c r="H390" s="4"/>
      <c r="I390" s="4"/>
      <c r="J390" s="4"/>
      <c r="K390" s="4"/>
      <c r="L390" s="4"/>
      <c r="V390" s="1347" t="s">
        <v>591</v>
      </c>
      <c r="W390" s="1347"/>
      <c r="Y390" s="22" t="s">
        <v>980</v>
      </c>
    </row>
    <row r="391" spans="1:36" ht="12.95" customHeight="1">
      <c r="E391" s="4" t="s">
        <v>981</v>
      </c>
      <c r="F391" s="4"/>
      <c r="G391" s="4"/>
      <c r="H391" s="4"/>
      <c r="I391" s="4"/>
      <c r="J391" s="4"/>
      <c r="K391" s="4"/>
      <c r="L391" s="4"/>
      <c r="V391" s="1347" t="s">
        <v>591</v>
      </c>
      <c r="W391" s="1347"/>
      <c r="Y391" s="4" t="s">
        <v>982</v>
      </c>
    </row>
    <row r="392" spans="1:36" ht="12.95" customHeight="1"/>
    <row r="393" spans="1:36" ht="12.95" customHeight="1">
      <c r="A393" s="2" t="s">
        <v>78</v>
      </c>
      <c r="B393" s="2"/>
    </row>
    <row r="394" spans="1:36" ht="12.95" customHeight="1">
      <c r="D394" t="s">
        <v>428</v>
      </c>
      <c r="J394" s="1399" t="s">
        <v>2748</v>
      </c>
      <c r="K394" s="1399"/>
      <c r="L394" s="1399"/>
      <c r="M394" s="1399"/>
      <c r="N394" s="1399"/>
      <c r="O394" s="1399"/>
      <c r="P394" s="1399"/>
      <c r="Q394" s="1399"/>
      <c r="R394" s="1399"/>
      <c r="S394" s="1399"/>
      <c r="T394" s="1399"/>
      <c r="U394" s="1399"/>
      <c r="V394" s="8" t="s">
        <v>83</v>
      </c>
      <c r="W394" s="8"/>
      <c r="X394" s="8"/>
      <c r="Y394" s="8"/>
      <c r="Z394" s="8"/>
      <c r="AA394" s="8"/>
      <c r="AB394" s="8"/>
      <c r="AC394" s="1399" t="s">
        <v>2736</v>
      </c>
      <c r="AD394" s="1399"/>
      <c r="AE394" s="1399"/>
      <c r="AF394" s="1399"/>
      <c r="AG394" s="1399"/>
      <c r="AH394" s="1399"/>
      <c r="AI394" s="1399"/>
      <c r="AJ394" s="1399"/>
    </row>
    <row r="395" spans="1:36" ht="12.95" customHeight="1">
      <c r="D395" s="3" t="s">
        <v>1182</v>
      </c>
      <c r="J395" s="1454" t="str">
        <f>AC394</f>
        <v>Kevin F Ramos</v>
      </c>
      <c r="K395" s="1454"/>
      <c r="L395" s="1454"/>
      <c r="M395" s="1454"/>
      <c r="N395" s="1454"/>
      <c r="O395" s="1454"/>
      <c r="P395" s="1454"/>
      <c r="Q395" s="1454"/>
      <c r="R395" s="1454"/>
      <c r="S395" s="1454"/>
      <c r="T395" s="1454"/>
      <c r="U395" s="1454"/>
      <c r="V395" s="3" t="s">
        <v>1182</v>
      </c>
      <c r="W395" s="8"/>
      <c r="X395" s="8"/>
      <c r="Y395" s="8"/>
      <c r="Z395" s="8"/>
      <c r="AA395" s="8"/>
      <c r="AB395" s="8"/>
      <c r="AC395" s="1399" t="str">
        <f>J395</f>
        <v>Kevin F Ramos</v>
      </c>
      <c r="AD395" s="1399"/>
      <c r="AE395" s="1399"/>
      <c r="AF395" s="1399"/>
      <c r="AG395" s="1399"/>
      <c r="AH395" s="1399"/>
      <c r="AI395" s="1399"/>
      <c r="AJ395" s="1399"/>
    </row>
    <row r="396" spans="1:36" ht="12.95" customHeight="1">
      <c r="D396" s="3" t="s">
        <v>441</v>
      </c>
      <c r="J396" s="1454" t="s">
        <v>2737</v>
      </c>
      <c r="K396" s="1454"/>
      <c r="L396" s="1454"/>
      <c r="M396" s="1454"/>
      <c r="N396" s="1454"/>
      <c r="O396" s="1454"/>
      <c r="P396" s="1454"/>
      <c r="Q396" s="1454"/>
      <c r="R396" s="1454"/>
      <c r="S396" s="1454"/>
      <c r="T396" s="1454"/>
      <c r="U396" s="1454"/>
      <c r="V396" s="3" t="s">
        <v>441</v>
      </c>
      <c r="W396" s="8"/>
      <c r="X396" s="8"/>
      <c r="Y396" s="8"/>
      <c r="Z396" s="8"/>
      <c r="AA396" s="8"/>
      <c r="AB396" s="8"/>
      <c r="AC396" s="1399" t="str">
        <f>J396</f>
        <v>Chief Investment Officer</v>
      </c>
      <c r="AD396" s="1399"/>
      <c r="AE396" s="1399"/>
      <c r="AF396" s="1399"/>
      <c r="AG396" s="1399"/>
      <c r="AH396" s="1399"/>
      <c r="AI396" s="1399"/>
      <c r="AJ396" s="1399"/>
    </row>
    <row r="397" spans="1:36" ht="12.95" customHeight="1">
      <c r="D397" t="s">
        <v>1178</v>
      </c>
      <c r="J397" s="1384" t="s">
        <v>2733</v>
      </c>
      <c r="K397" s="1384"/>
      <c r="L397" s="1384"/>
      <c r="M397" s="1384"/>
      <c r="N397" s="1384"/>
      <c r="O397" s="1384"/>
      <c r="P397" s="1384"/>
      <c r="Q397" s="1384"/>
      <c r="R397" s="1384"/>
      <c r="S397" s="1384"/>
      <c r="T397" s="1384"/>
      <c r="U397" s="1384"/>
      <c r="V397" s="1399" t="str">
        <f>J397</f>
        <v>555 Capitol Mall, Suite 900, Sacramento, CA 95814</v>
      </c>
      <c r="W397" s="1399"/>
      <c r="X397" s="1399"/>
      <c r="Y397" s="1399"/>
      <c r="Z397" s="1399"/>
      <c r="AA397" s="1399"/>
      <c r="AB397" s="1399"/>
      <c r="AC397" s="1399"/>
      <c r="AD397" s="1399"/>
      <c r="AE397" s="1399"/>
      <c r="AF397" s="1399"/>
      <c r="AG397" s="1399"/>
      <c r="AH397" s="1399"/>
      <c r="AI397" s="1399"/>
      <c r="AJ397" s="1399"/>
    </row>
    <row r="398" spans="1:36" ht="12.95" customHeight="1">
      <c r="D398" t="s">
        <v>4</v>
      </c>
      <c r="Q398" s="1819">
        <v>44026</v>
      </c>
      <c r="R398" s="1819"/>
      <c r="S398" s="1819"/>
      <c r="T398" s="1819"/>
      <c r="U398" s="1819"/>
      <c r="V398" t="s">
        <v>309</v>
      </c>
      <c r="AI398" s="1347" t="s">
        <v>669</v>
      </c>
      <c r="AJ398" s="1347"/>
    </row>
    <row r="399" spans="1:36" ht="12.95" customHeight="1">
      <c r="D399" t="s">
        <v>5</v>
      </c>
      <c r="Q399" s="1624">
        <v>46234</v>
      </c>
      <c r="R399" s="1822"/>
      <c r="S399" s="1822"/>
      <c r="T399" s="1822"/>
      <c r="U399" s="1822"/>
      <c r="W399" s="21" t="s">
        <v>74</v>
      </c>
      <c r="AG399" s="1820" t="s">
        <v>2738</v>
      </c>
      <c r="AH399" s="1759"/>
      <c r="AI399" s="1759"/>
      <c r="AJ399" s="1759"/>
    </row>
    <row r="400" spans="1:36" ht="12.95" customHeight="1">
      <c r="D400" t="s">
        <v>427</v>
      </c>
      <c r="Q400" s="1821">
        <f>'Sources and Uses Budget'!C4</f>
        <v>7622500</v>
      </c>
      <c r="R400" s="1821"/>
      <c r="S400" s="1821"/>
      <c r="T400" s="1821"/>
      <c r="U400" s="1821"/>
      <c r="V400" s="3" t="s">
        <v>1181</v>
      </c>
      <c r="AG400" s="1764" t="s">
        <v>2738</v>
      </c>
      <c r="AH400" s="1765"/>
      <c r="AI400" s="1765"/>
      <c r="AJ400" s="1765"/>
    </row>
    <row r="401" spans="4:36" ht="12.95" customHeight="1">
      <c r="D401" t="s">
        <v>88</v>
      </c>
      <c r="I401" s="1523">
        <v>9163793822</v>
      </c>
      <c r="J401" s="1523"/>
      <c r="K401" s="1523"/>
      <c r="L401" s="1523"/>
      <c r="M401" s="1523"/>
      <c r="N401" s="1523"/>
      <c r="Q401" s="4" t="s">
        <v>206</v>
      </c>
      <c r="S401" s="1823"/>
      <c r="T401" s="1823"/>
      <c r="U401" s="1823"/>
      <c r="V401" t="s">
        <v>73</v>
      </c>
      <c r="AI401" s="1347" t="s">
        <v>669</v>
      </c>
      <c r="AJ401" s="1347"/>
    </row>
    <row r="402" spans="4:36" ht="12.95" customHeight="1">
      <c r="D402" t="s">
        <v>310</v>
      </c>
      <c r="Q402" s="1430">
        <f>571077/64</f>
        <v>8923.078125</v>
      </c>
      <c r="R402" s="1430"/>
      <c r="S402" s="1430"/>
      <c r="T402" s="1430"/>
      <c r="U402" s="1430"/>
      <c r="V402" t="s">
        <v>311</v>
      </c>
      <c r="AG402" s="1759">
        <v>571077</v>
      </c>
      <c r="AH402" s="1759"/>
      <c r="AI402" s="1759"/>
      <c r="AJ402" s="1759"/>
    </row>
    <row r="403" spans="4:36" ht="12.95" customHeight="1">
      <c r="D403" t="s">
        <v>312</v>
      </c>
      <c r="Q403" s="1832">
        <v>1.0999999999999999E-2</v>
      </c>
      <c r="R403" s="1832"/>
      <c r="S403" s="1832"/>
      <c r="T403" s="1832"/>
      <c r="U403" s="1832"/>
      <c r="V403" t="s">
        <v>1163</v>
      </c>
      <c r="AG403" s="1759">
        <v>0</v>
      </c>
      <c r="AH403" s="1759"/>
      <c r="AI403" s="1759"/>
      <c r="AJ403" s="1759"/>
    </row>
    <row r="404" spans="4:36" ht="12.95" customHeight="1">
      <c r="D404" t="s">
        <v>1162</v>
      </c>
      <c r="AG404" s="1759">
        <v>0</v>
      </c>
      <c r="AH404" s="1759"/>
      <c r="AI404" s="1759"/>
      <c r="AJ404" s="1759"/>
    </row>
    <row r="405" spans="4:36" ht="12.95" customHeight="1">
      <c r="AG405" s="456"/>
      <c r="AH405" s="456"/>
      <c r="AI405" s="456"/>
      <c r="AJ405" s="456"/>
    </row>
    <row r="406" spans="4:36" ht="12.95" customHeight="1">
      <c r="D406" s="3" t="s">
        <v>2099</v>
      </c>
      <c r="AG406" s="456"/>
      <c r="AH406" s="456"/>
      <c r="AI406" s="1347" t="s">
        <v>669</v>
      </c>
      <c r="AJ406" s="1347"/>
    </row>
    <row r="407" spans="4:36" ht="12.95" customHeight="1">
      <c r="D407" s="3" t="s">
        <v>1656</v>
      </c>
      <c r="T407" s="1762" t="s">
        <v>591</v>
      </c>
      <c r="U407" s="1763"/>
      <c r="V407" s="1763"/>
      <c r="W407" s="1763"/>
      <c r="X407" s="1763"/>
      <c r="Y407" s="1763"/>
      <c r="Z407" s="1763"/>
      <c r="AA407" s="1763"/>
      <c r="AB407" s="1763"/>
      <c r="AC407" s="1763"/>
      <c r="AD407" s="1763"/>
      <c r="AE407" s="1763"/>
      <c r="AF407" s="1763"/>
      <c r="AG407" s="1763"/>
      <c r="AH407" s="1763"/>
      <c r="AI407" s="1763"/>
      <c r="AJ407" s="1763"/>
    </row>
    <row r="408" spans="4:36" ht="12.95" customHeight="1">
      <c r="D408" s="3" t="s">
        <v>1655</v>
      </c>
      <c r="T408" s="1762" t="s">
        <v>591</v>
      </c>
      <c r="U408" s="1763"/>
      <c r="V408" s="1763"/>
      <c r="W408" s="1763"/>
      <c r="X408" s="1763"/>
      <c r="Y408" s="1763"/>
      <c r="Z408" s="1763"/>
      <c r="AA408" s="1763"/>
      <c r="AB408" s="1763"/>
      <c r="AC408" s="1763"/>
      <c r="AD408" s="1763"/>
      <c r="AE408" s="1763"/>
      <c r="AF408" s="1763"/>
      <c r="AG408" s="1763"/>
      <c r="AH408" s="1763"/>
      <c r="AI408" s="1763"/>
      <c r="AJ408" s="1763"/>
    </row>
    <row r="409" spans="4:36" ht="12.95" customHeight="1">
      <c r="AG409" s="456"/>
      <c r="AH409" s="456"/>
      <c r="AI409" s="456"/>
      <c r="AJ409" s="456"/>
    </row>
    <row r="410" spans="4:36" ht="12.95" customHeight="1">
      <c r="D410" s="3" t="s">
        <v>1649</v>
      </c>
      <c r="S410" s="1763" t="s">
        <v>669</v>
      </c>
      <c r="T410" s="1763"/>
      <c r="U410" s="1763"/>
      <c r="V410" t="s">
        <v>1650</v>
      </c>
      <c r="AG410" s="1769">
        <v>0</v>
      </c>
      <c r="AH410" s="1769"/>
      <c r="AI410" s="1769"/>
      <c r="AJ410" s="1769"/>
    </row>
    <row r="411" spans="4:36" ht="12.95" customHeight="1">
      <c r="D411" s="3" t="s">
        <v>1647</v>
      </c>
      <c r="S411" s="1763" t="s">
        <v>591</v>
      </c>
      <c r="T411" s="1763"/>
      <c r="U411" s="1763"/>
      <c r="V411" t="s">
        <v>1652</v>
      </c>
      <c r="AE411" s="1824">
        <v>0</v>
      </c>
      <c r="AF411" s="1824"/>
      <c r="AG411" s="1824"/>
      <c r="AH411" s="1824"/>
      <c r="AI411" s="1824"/>
      <c r="AJ411" s="1824"/>
    </row>
    <row r="412" spans="4:36" ht="12.95" customHeight="1">
      <c r="D412" s="3" t="s">
        <v>1648</v>
      </c>
      <c r="K412" s="1766" t="s">
        <v>591</v>
      </c>
      <c r="L412" s="1766"/>
      <c r="M412" s="1766"/>
      <c r="N412" s="1766"/>
      <c r="O412" s="1766"/>
      <c r="P412" s="1766"/>
      <c r="Q412" s="1766"/>
      <c r="R412" s="1766"/>
      <c r="S412" s="1766"/>
      <c r="T412" s="1766"/>
      <c r="U412" s="1766"/>
      <c r="V412" s="1766"/>
      <c r="W412" s="1766"/>
      <c r="X412" s="1766"/>
      <c r="Y412" s="1766"/>
      <c r="Z412" s="1766"/>
      <c r="AA412" s="1766"/>
      <c r="AB412" s="1766"/>
      <c r="AC412" s="1766"/>
      <c r="AD412" s="1766"/>
      <c r="AE412" s="1766"/>
      <c r="AF412" s="1766"/>
      <c r="AG412" s="1766"/>
      <c r="AH412" s="1766"/>
      <c r="AI412" s="1766"/>
      <c r="AJ412" s="1766"/>
    </row>
    <row r="413" spans="4:36" ht="12.95" customHeight="1">
      <c r="D413" s="3" t="s">
        <v>1651</v>
      </c>
      <c r="K413" s="1766" t="s">
        <v>591</v>
      </c>
      <c r="L413" s="1766"/>
      <c r="M413" s="1766"/>
      <c r="N413" s="1766"/>
      <c r="O413" s="1766"/>
      <c r="P413" s="1766"/>
      <c r="Q413" s="1766"/>
      <c r="R413" s="1766"/>
      <c r="S413" s="1766"/>
      <c r="T413" s="1766"/>
      <c r="U413" s="1766"/>
      <c r="V413" s="1766"/>
      <c r="W413" s="1766"/>
      <c r="X413" s="1766"/>
      <c r="Y413" s="1766"/>
      <c r="Z413" s="1766"/>
      <c r="AA413" s="1766"/>
      <c r="AB413" s="1766"/>
      <c r="AC413" s="1766"/>
      <c r="AD413" s="1766"/>
      <c r="AE413" s="1766"/>
      <c r="AF413" s="1766"/>
      <c r="AG413" s="1766"/>
      <c r="AH413" s="1766"/>
      <c r="AI413" s="1766"/>
      <c r="AJ413" s="1766"/>
    </row>
    <row r="414" spans="4:36" ht="12.95" customHeight="1">
      <c r="D414" s="3" t="s">
        <v>1654</v>
      </c>
      <c r="E414" s="477"/>
      <c r="F414" s="477"/>
      <c r="G414" s="477"/>
      <c r="H414" s="477"/>
      <c r="I414" s="477"/>
      <c r="J414" s="477"/>
      <c r="K414" s="477"/>
      <c r="L414" s="477"/>
      <c r="M414" s="477"/>
      <c r="N414" s="477"/>
      <c r="O414" s="477"/>
      <c r="P414" s="477"/>
      <c r="Q414" s="477"/>
      <c r="R414" s="477"/>
      <c r="S414" s="1773" t="s">
        <v>1184</v>
      </c>
      <c r="T414" s="1773"/>
      <c r="U414" s="1773"/>
      <c r="V414" s="1773"/>
      <c r="W414" s="1773"/>
      <c r="X414" s="1773"/>
      <c r="Y414" s="1773"/>
      <c r="Z414" s="1773"/>
      <c r="AA414" s="1773"/>
      <c r="AB414" s="1773"/>
      <c r="AC414" s="1773"/>
      <c r="AD414" s="1773"/>
      <c r="AE414" s="1773"/>
      <c r="AF414" s="1773"/>
      <c r="AG414" s="1773"/>
      <c r="AH414" s="1773"/>
      <c r="AI414" s="1773"/>
      <c r="AJ414" s="1773"/>
    </row>
    <row r="415" spans="4:36" ht="12.95" customHeight="1">
      <c r="D415" s="1275" t="s">
        <v>1653</v>
      </c>
      <c r="E415" s="1275"/>
      <c r="F415" s="1275"/>
      <c r="G415" s="1275"/>
      <c r="H415" s="1275"/>
      <c r="I415" s="1275"/>
      <c r="J415" s="1275"/>
      <c r="K415" s="1275"/>
      <c r="L415" s="1275"/>
      <c r="M415" s="1275"/>
      <c r="N415" s="1275"/>
      <c r="O415" s="1275"/>
      <c r="P415" s="1275"/>
      <c r="Q415" s="1275"/>
      <c r="R415" s="1275"/>
      <c r="S415" s="1275"/>
      <c r="T415" s="1275"/>
      <c r="U415" s="1275"/>
      <c r="V415" s="1275"/>
      <c r="W415" s="1275"/>
      <c r="X415" s="1275"/>
      <c r="Y415" s="1275"/>
      <c r="Z415" s="1275"/>
      <c r="AA415" s="1275"/>
      <c r="AB415" s="1275"/>
      <c r="AC415" s="1275"/>
      <c r="AD415" s="1275"/>
      <c r="AE415" s="1275"/>
      <c r="AF415" s="1275"/>
      <c r="AG415" s="1275"/>
      <c r="AH415" s="1275"/>
      <c r="AI415" s="1275"/>
      <c r="AJ415" s="1275"/>
    </row>
    <row r="416" spans="4:36" ht="12.95" customHeight="1">
      <c r="D416" s="1275"/>
      <c r="E416" s="1275"/>
      <c r="F416" s="1275"/>
      <c r="G416" s="1275"/>
      <c r="H416" s="1275"/>
      <c r="I416" s="1275"/>
      <c r="J416" s="1275"/>
      <c r="K416" s="1275"/>
      <c r="L416" s="1275"/>
      <c r="M416" s="1275"/>
      <c r="N416" s="1275"/>
      <c r="O416" s="1275"/>
      <c r="P416" s="1275"/>
      <c r="Q416" s="1275"/>
      <c r="R416" s="1275"/>
      <c r="S416" s="1275"/>
      <c r="T416" s="1275"/>
      <c r="U416" s="1275"/>
      <c r="V416" s="1275"/>
      <c r="W416" s="1275"/>
      <c r="X416" s="1275"/>
      <c r="Y416" s="1275"/>
      <c r="Z416" s="1275"/>
      <c r="AA416" s="1275"/>
      <c r="AB416" s="1275"/>
      <c r="AC416" s="1275"/>
      <c r="AD416" s="1275"/>
      <c r="AE416" s="1275"/>
      <c r="AF416" s="1275"/>
      <c r="AG416" s="1275"/>
      <c r="AH416" s="1275"/>
      <c r="AI416" s="1275"/>
      <c r="AJ416" s="1275"/>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05" t="s">
        <v>2706</v>
      </c>
      <c r="J419" s="1505"/>
      <c r="K419" s="1505"/>
      <c r="L419" s="1505"/>
      <c r="M419" s="1505"/>
      <c r="N419" s="1505"/>
      <c r="O419" s="1505"/>
      <c r="P419" s="1505"/>
      <c r="Q419" s="1505"/>
      <c r="R419" s="1505"/>
      <c r="S419" s="1505"/>
      <c r="T419" s="1505"/>
      <c r="U419" s="1505"/>
      <c r="V419" s="1505"/>
      <c r="W419" s="1505"/>
      <c r="X419" s="1505"/>
      <c r="Y419" s="1505"/>
      <c r="Z419" s="1505"/>
      <c r="AA419" s="1505"/>
      <c r="AB419" s="1505"/>
      <c r="AC419" s="1505"/>
      <c r="AD419" s="1505"/>
      <c r="AE419" s="1505"/>
    </row>
    <row r="420" spans="1:39" ht="12.95" customHeight="1">
      <c r="E420" t="s">
        <v>106</v>
      </c>
      <c r="R420" s="1347" t="s">
        <v>591</v>
      </c>
      <c r="S420" s="1347"/>
      <c r="AC420" s="27" t="s">
        <v>570</v>
      </c>
      <c r="AD420" s="1532">
        <v>0</v>
      </c>
      <c r="AE420" s="1532"/>
    </row>
    <row r="421" spans="1:39" ht="12.95" customHeight="1">
      <c r="E421" t="s">
        <v>107</v>
      </c>
      <c r="R421" s="1347" t="s">
        <v>545</v>
      </c>
      <c r="S421" s="1347"/>
      <c r="AC421" s="27" t="s">
        <v>570</v>
      </c>
      <c r="AD421" s="1532">
        <v>3</v>
      </c>
      <c r="AE421" s="1532"/>
    </row>
    <row r="422" spans="1:39" ht="12.95" customHeight="1">
      <c r="E422" t="s">
        <v>108</v>
      </c>
      <c r="S422" s="1347" t="s">
        <v>591</v>
      </c>
      <c r="T422" s="1347"/>
    </row>
    <row r="423" spans="1:39" ht="12.95" customHeight="1">
      <c r="E423" t="s">
        <v>170</v>
      </c>
      <c r="H423" s="1833" t="s">
        <v>2745</v>
      </c>
      <c r="I423" s="1833"/>
      <c r="J423" s="1833"/>
      <c r="K423" s="1833"/>
      <c r="L423" s="1833"/>
      <c r="M423" s="1833"/>
      <c r="N423" s="1833"/>
      <c r="O423" s="1833"/>
      <c r="P423" s="1833"/>
      <c r="Q423" s="1833"/>
      <c r="R423" s="1833"/>
      <c r="S423" s="1833"/>
      <c r="T423" s="1833"/>
      <c r="U423" s="1833"/>
      <c r="V423" s="1833"/>
      <c r="W423" s="1833"/>
      <c r="X423" s="1833"/>
      <c r="Y423" s="1833"/>
      <c r="Z423" s="1833"/>
      <c r="AA423" s="1833"/>
      <c r="AB423" s="1833"/>
      <c r="AC423" s="1833"/>
      <c r="AD423" s="1833"/>
      <c r="AE423" s="1833"/>
    </row>
    <row r="424" spans="1:39" ht="12.95" customHeight="1">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row>
    <row r="425" spans="1:39" ht="12.95" customHeight="1"/>
    <row r="426" spans="1:39" ht="12.95" customHeight="1">
      <c r="A426" s="2" t="s">
        <v>590</v>
      </c>
      <c r="B426" s="2"/>
      <c r="C426" s="2"/>
      <c r="D426" s="2" t="s">
        <v>114</v>
      </c>
      <c r="AF426" s="2" t="s">
        <v>957</v>
      </c>
    </row>
    <row r="427" spans="1:39" ht="12.95" customHeight="1">
      <c r="E427" s="1758"/>
      <c r="F427" s="1758"/>
      <c r="G427" s="1758"/>
      <c r="H427" s="13" t="s">
        <v>115</v>
      </c>
      <c r="I427" s="1758"/>
      <c r="J427" s="1758"/>
      <c r="K427" s="1758"/>
      <c r="L427" t="s">
        <v>116</v>
      </c>
      <c r="N427" s="27" t="s">
        <v>575</v>
      </c>
      <c r="P427" s="1815">
        <v>11.39</v>
      </c>
      <c r="Q427" s="1815"/>
      <c r="R427" s="1815"/>
      <c r="S427" t="s">
        <v>117</v>
      </c>
      <c r="W427" s="1771">
        <f>IF(E427&gt;0,(E427*I427),(P427*43560))</f>
        <v>496148.4</v>
      </c>
      <c r="X427" s="1771"/>
      <c r="Y427" s="1771"/>
      <c r="Z427" t="s">
        <v>118</v>
      </c>
      <c r="AF427" s="1774">
        <f>IFERROR(IF(P427&gt;0,(AG446/P427),(AG446/(W427/43560))),0)</f>
        <v>30.553116769095695</v>
      </c>
      <c r="AG427" s="1774"/>
      <c r="AH427" s="1774"/>
      <c r="AM427" s="3"/>
    </row>
    <row r="428" spans="1:39" ht="12.95" customHeight="1">
      <c r="E428" t="s">
        <v>51</v>
      </c>
    </row>
    <row r="429" spans="1:39" ht="12.95" customHeight="1">
      <c r="E429" s="1836"/>
      <c r="F429" s="1836"/>
      <c r="G429" s="1836"/>
      <c r="H429" s="1836"/>
      <c r="I429" s="1836"/>
      <c r="J429" s="1836"/>
      <c r="K429" s="1836"/>
      <c r="L429" s="1836"/>
      <c r="M429" s="1836"/>
      <c r="N429" s="1836"/>
      <c r="O429" s="1836"/>
      <c r="P429" s="1836"/>
      <c r="Q429" s="1836"/>
      <c r="R429" s="1836"/>
      <c r="S429" s="1836"/>
      <c r="T429" s="1836"/>
      <c r="U429" s="1836"/>
      <c r="V429" s="1836"/>
      <c r="W429" s="1836"/>
      <c r="X429" s="1836"/>
      <c r="Y429" s="1836"/>
      <c r="Z429" s="1836"/>
      <c r="AA429" s="1836"/>
      <c r="AB429" s="1836"/>
      <c r="AC429" s="1836"/>
      <c r="AD429" s="1836"/>
      <c r="AE429" s="1836"/>
      <c r="AF429" s="1836"/>
      <c r="AG429" s="1836"/>
      <c r="AH429" s="1836"/>
      <c r="AI429" s="1836"/>
      <c r="AJ429" s="1836"/>
    </row>
    <row r="430" spans="1:39" ht="12.95" customHeight="1">
      <c r="E430" s="118" t="s">
        <v>1725</v>
      </c>
      <c r="F430" s="1008"/>
      <c r="G430" s="1008"/>
      <c r="H430" s="1008"/>
      <c r="I430" s="1831">
        <v>11.39</v>
      </c>
      <c r="J430" s="1831"/>
      <c r="K430" s="1831"/>
      <c r="L430" s="1008"/>
      <c r="M430" s="118"/>
      <c r="N430" s="1008"/>
      <c r="O430" s="1008"/>
      <c r="P430" s="1818">
        <f>(DU763+DU786+DU808)/I430</f>
        <v>58.296751536435465</v>
      </c>
      <c r="Q430" s="1818"/>
      <c r="R430" s="1818"/>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47">
        <v>12</v>
      </c>
      <c r="Q433" s="1347"/>
      <c r="S433" t="s">
        <v>189</v>
      </c>
      <c r="AE433" s="1347">
        <v>11</v>
      </c>
      <c r="AF433" s="1347"/>
    </row>
    <row r="434" spans="1:36" ht="12.95" customHeight="1">
      <c r="E434" t="s">
        <v>190</v>
      </c>
      <c r="P434" s="1347">
        <v>1</v>
      </c>
      <c r="Q434" s="1347"/>
      <c r="S434" t="s">
        <v>131</v>
      </c>
      <c r="AE434" s="1347" t="s">
        <v>591</v>
      </c>
      <c r="AF434" s="1347"/>
    </row>
    <row r="435" spans="1:36" ht="12.95" customHeight="1">
      <c r="F435" s="28" t="s">
        <v>132</v>
      </c>
    </row>
    <row r="436" spans="1:36" ht="12.95" customHeight="1">
      <c r="F436" s="1794"/>
      <c r="G436" s="1794"/>
      <c r="H436" s="1794"/>
      <c r="I436" s="1794"/>
      <c r="J436" s="1794"/>
      <c r="K436" s="1794"/>
      <c r="L436" s="1794"/>
      <c r="M436" s="1794"/>
      <c r="N436" s="1794"/>
      <c r="O436" s="1794"/>
      <c r="P436" s="1794"/>
      <c r="Q436" s="1794"/>
      <c r="R436" s="1794"/>
      <c r="S436" s="1794"/>
      <c r="T436" s="1794"/>
      <c r="U436" s="1794"/>
      <c r="V436" s="1794"/>
      <c r="W436" s="1794"/>
      <c r="X436" s="1794"/>
      <c r="Y436" s="1794"/>
      <c r="Z436" s="1794"/>
      <c r="AA436" s="1794"/>
      <c r="AB436" s="1794"/>
      <c r="AC436" s="1794"/>
      <c r="AD436" s="1794"/>
      <c r="AE436" s="1794"/>
      <c r="AF436" s="1794"/>
      <c r="AG436" s="1794"/>
      <c r="AH436" s="1794"/>
    </row>
    <row r="437" spans="1:36" ht="12.95" customHeight="1">
      <c r="F437" s="1755"/>
      <c r="G437" s="1755"/>
      <c r="H437" s="1755"/>
      <c r="I437" s="1755"/>
      <c r="J437" s="1755"/>
      <c r="K437" s="1755"/>
      <c r="L437" s="1755"/>
      <c r="M437" s="1755"/>
      <c r="N437" s="1755"/>
      <c r="O437" s="1755"/>
      <c r="P437" s="1755"/>
      <c r="Q437" s="1755"/>
      <c r="R437" s="1755"/>
      <c r="S437" s="1755"/>
      <c r="T437" s="1755"/>
      <c r="U437" s="1755"/>
      <c r="V437" s="1755"/>
      <c r="W437" s="1755"/>
      <c r="X437" s="1755"/>
      <c r="Y437" s="1755"/>
      <c r="Z437" s="1755"/>
      <c r="AA437" s="1755"/>
      <c r="AB437" s="1755"/>
      <c r="AC437" s="1755"/>
      <c r="AD437" s="1755"/>
      <c r="AE437" s="1755"/>
      <c r="AF437" s="1755"/>
      <c r="AG437" s="1755"/>
      <c r="AH437" s="1755"/>
    </row>
    <row r="438" spans="1:36" ht="12.95" customHeight="1">
      <c r="E438" t="s">
        <v>608</v>
      </c>
      <c r="P438" s="1"/>
      <c r="Q438" s="1347" t="s">
        <v>545</v>
      </c>
      <c r="R438" s="1347"/>
    </row>
    <row r="439" spans="1:36" ht="12.95" customHeight="1">
      <c r="F439" t="s">
        <v>609</v>
      </c>
      <c r="P439" s="1"/>
      <c r="Q439" s="1"/>
      <c r="AF439" s="1347" t="s">
        <v>591</v>
      </c>
      <c r="AG439" s="1838"/>
    </row>
    <row r="440" spans="1:36" ht="12.95" customHeight="1"/>
    <row r="441" spans="1:36" ht="12.95" customHeight="1">
      <c r="A441" s="2"/>
      <c r="B441" s="2"/>
      <c r="C441" s="2"/>
      <c r="E441" s="4" t="s">
        <v>308</v>
      </c>
      <c r="Z441" s="1347" t="s">
        <v>669</v>
      </c>
      <c r="AA441" s="134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47" t="s">
        <v>591</v>
      </c>
      <c r="AA443" s="1347"/>
    </row>
    <row r="444" spans="1:36" ht="12.95" customHeight="1"/>
    <row r="445" spans="1:36" ht="12.95" customHeight="1">
      <c r="A445" s="2" t="s">
        <v>467</v>
      </c>
      <c r="B445" s="2"/>
      <c r="C445" s="2"/>
      <c r="D445" s="2" t="s">
        <v>764</v>
      </c>
      <c r="AF445" s="48"/>
    </row>
    <row r="446" spans="1:36" ht="12.95" customHeight="1">
      <c r="D446" s="1721" t="s">
        <v>43</v>
      </c>
      <c r="E446" s="1722"/>
      <c r="F446" s="1722"/>
      <c r="G446" s="1722"/>
      <c r="H446" s="1722"/>
      <c r="I446" s="1722"/>
      <c r="J446" s="1722"/>
      <c r="K446" s="1722"/>
      <c r="L446" s="1722"/>
      <c r="M446" s="1722"/>
      <c r="N446" s="1722"/>
      <c r="O446" s="1722"/>
      <c r="P446" s="1722"/>
      <c r="Q446" s="1722"/>
      <c r="R446" s="1722"/>
      <c r="S446" s="1722"/>
      <c r="T446" s="1722"/>
      <c r="U446" s="1722"/>
      <c r="V446" s="1722"/>
      <c r="W446" s="1722"/>
      <c r="X446" s="1722"/>
      <c r="Y446" s="1722"/>
      <c r="Z446" s="1722"/>
      <c r="AA446" s="1722"/>
      <c r="AB446" s="1722"/>
      <c r="AC446" s="1722"/>
      <c r="AD446" s="1722"/>
      <c r="AE446" s="1722"/>
      <c r="AF446" s="1817"/>
      <c r="AG446" s="1768">
        <v>348</v>
      </c>
      <c r="AH446" s="1768"/>
      <c r="AI446" s="1768"/>
      <c r="AJ446" s="1768"/>
    </row>
    <row r="447" spans="1:36" ht="12.95" customHeight="1">
      <c r="D447" s="1746" t="s">
        <v>1222</v>
      </c>
      <c r="E447" s="1747"/>
      <c r="F447" s="1747"/>
      <c r="G447" s="1747"/>
      <c r="H447" s="1747"/>
      <c r="I447" s="1747"/>
      <c r="J447" s="1747"/>
      <c r="K447" s="1747"/>
      <c r="L447" s="1747"/>
      <c r="M447" s="1747"/>
      <c r="N447" s="1747"/>
      <c r="O447" s="1747"/>
      <c r="P447" s="1747"/>
      <c r="Q447" s="1747"/>
      <c r="R447" s="1747"/>
      <c r="S447" s="1747"/>
      <c r="T447" s="1747"/>
      <c r="U447" s="1747"/>
      <c r="V447" s="1747"/>
      <c r="W447" s="1747"/>
      <c r="X447" s="1747"/>
      <c r="Y447" s="1747"/>
      <c r="Z447" s="1747"/>
      <c r="AA447" s="1747"/>
      <c r="AB447" s="1747"/>
      <c r="AC447" s="1747"/>
      <c r="AD447" s="1747"/>
      <c r="AE447" s="1747"/>
      <c r="AF447" s="1748"/>
      <c r="AG447" s="1816">
        <v>0</v>
      </c>
      <c r="AH447" s="1477"/>
      <c r="AI447" s="1477"/>
      <c r="AJ447" s="1477"/>
    </row>
    <row r="448" spans="1:36" ht="12.95" customHeight="1">
      <c r="D448" s="1746" t="s">
        <v>1031</v>
      </c>
      <c r="E448" s="1747"/>
      <c r="F448" s="1747"/>
      <c r="G448" s="1747"/>
      <c r="H448" s="1747"/>
      <c r="I448" s="1747"/>
      <c r="J448" s="1747"/>
      <c r="K448" s="1747"/>
      <c r="L448" s="1747"/>
      <c r="M448" s="1747"/>
      <c r="N448" s="1747"/>
      <c r="O448" s="1747"/>
      <c r="P448" s="1747"/>
      <c r="Q448" s="1747"/>
      <c r="R448" s="1747"/>
      <c r="S448" s="1747"/>
      <c r="T448" s="1747"/>
      <c r="U448" s="1747"/>
      <c r="V448" s="1747"/>
      <c r="W448" s="1747"/>
      <c r="X448" s="1747"/>
      <c r="Y448" s="1747"/>
      <c r="Z448" s="1747"/>
      <c r="AA448" s="1747"/>
      <c r="AB448" s="1747"/>
      <c r="AC448" s="1747"/>
      <c r="AD448" s="1747"/>
      <c r="AE448" s="1747"/>
      <c r="AF448" s="1748"/>
      <c r="AG448" s="1768">
        <v>344</v>
      </c>
      <c r="AH448" s="1768"/>
      <c r="AI448" s="1768"/>
      <c r="AJ448" s="1768"/>
    </row>
    <row r="449" spans="4:55" ht="12.95" customHeight="1">
      <c r="D449" s="1746" t="s">
        <v>1032</v>
      </c>
      <c r="E449" s="1747"/>
      <c r="F449" s="1747"/>
      <c r="G449" s="1747"/>
      <c r="H449" s="1747"/>
      <c r="I449" s="1747"/>
      <c r="J449" s="1747"/>
      <c r="K449" s="1747"/>
      <c r="L449" s="1747"/>
      <c r="M449" s="1747"/>
      <c r="N449" s="1747"/>
      <c r="O449" s="1747"/>
      <c r="P449" s="1747"/>
      <c r="Q449" s="1747"/>
      <c r="R449" s="1747"/>
      <c r="S449" s="1747"/>
      <c r="T449" s="1747"/>
      <c r="U449" s="1747"/>
      <c r="V449" s="1747"/>
      <c r="W449" s="1747"/>
      <c r="X449" s="1747"/>
      <c r="Y449" s="1747"/>
      <c r="Z449" s="1747"/>
      <c r="AA449" s="1747"/>
      <c r="AB449" s="1747"/>
      <c r="AC449" s="1747"/>
      <c r="AD449" s="1747"/>
      <c r="AE449" s="1747"/>
      <c r="AF449" s="1748"/>
      <c r="AG449" s="1768">
        <v>344</v>
      </c>
      <c r="AH449" s="1768"/>
      <c r="AI449" s="1768"/>
      <c r="AJ449" s="1768"/>
    </row>
    <row r="450" spans="4:55" ht="12.95" customHeight="1">
      <c r="D450" s="1746" t="s">
        <v>1034</v>
      </c>
      <c r="E450" s="1747"/>
      <c r="F450" s="1747"/>
      <c r="G450" s="1747"/>
      <c r="H450" s="1747"/>
      <c r="I450" s="1747"/>
      <c r="J450" s="1747"/>
      <c r="K450" s="1747"/>
      <c r="L450" s="1747"/>
      <c r="M450" s="1747"/>
      <c r="N450" s="1747"/>
      <c r="O450" s="1747"/>
      <c r="P450" s="1747"/>
      <c r="Q450" s="1747"/>
      <c r="R450" s="1747"/>
      <c r="S450" s="1747"/>
      <c r="T450" s="1747"/>
      <c r="U450" s="1747"/>
      <c r="V450" s="1747"/>
      <c r="W450" s="1747"/>
      <c r="X450" s="1747"/>
      <c r="Y450" s="1747"/>
      <c r="Z450" s="1747"/>
      <c r="AA450" s="1747"/>
      <c r="AB450" s="1747"/>
      <c r="AC450" s="1747"/>
      <c r="AD450" s="1747"/>
      <c r="AE450" s="1747"/>
      <c r="AF450" s="1748"/>
      <c r="AG450" s="1830">
        <f>IF(ISERROR(AG449/AG448),0,AG449/AG448)</f>
        <v>1</v>
      </c>
      <c r="AH450" s="1830"/>
      <c r="AI450" s="1830"/>
      <c r="AJ450" s="1830"/>
    </row>
    <row r="451" spans="4:55" ht="12.95" customHeight="1">
      <c r="D451" s="1746" t="s">
        <v>1033</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8"/>
      <c r="AG451" s="1698">
        <v>242527</v>
      </c>
      <c r="AH451" s="1698"/>
      <c r="AI451" s="1698"/>
      <c r="AJ451" s="1698"/>
    </row>
    <row r="452" spans="4:55" ht="12.95" customHeight="1">
      <c r="D452" s="1746" t="s">
        <v>1035</v>
      </c>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8"/>
      <c r="AG452" s="1698">
        <v>242527</v>
      </c>
      <c r="AH452" s="1698"/>
      <c r="AI452" s="1698"/>
      <c r="AJ452" s="1698"/>
    </row>
    <row r="453" spans="4:55" ht="12.95" customHeight="1">
      <c r="D453" s="1746" t="s">
        <v>1036</v>
      </c>
      <c r="E453" s="1747"/>
      <c r="F453" s="1747"/>
      <c r="G453" s="1747"/>
      <c r="H453" s="1747"/>
      <c r="I453" s="1747"/>
      <c r="J453" s="1747"/>
      <c r="K453" s="1747"/>
      <c r="L453" s="1747"/>
      <c r="M453" s="1747"/>
      <c r="N453" s="1747"/>
      <c r="O453" s="1747"/>
      <c r="P453" s="1747"/>
      <c r="Q453" s="1747"/>
      <c r="R453" s="1747"/>
      <c r="S453" s="1747"/>
      <c r="T453" s="1747"/>
      <c r="U453" s="1747"/>
      <c r="V453" s="1747"/>
      <c r="W453" s="1747"/>
      <c r="X453" s="1747"/>
      <c r="Y453" s="1747"/>
      <c r="Z453" s="1747"/>
      <c r="AA453" s="1747"/>
      <c r="AB453" s="1747"/>
      <c r="AC453" s="1747"/>
      <c r="AD453" s="1747"/>
      <c r="AE453" s="1747"/>
      <c r="AF453" s="1748"/>
      <c r="AG453" s="1830">
        <f>IF(ISERROR(AG452/AG451),0,AG452/AG451)</f>
        <v>1</v>
      </c>
      <c r="AH453" s="1830"/>
      <c r="AI453" s="1830"/>
      <c r="AJ453" s="1830"/>
    </row>
    <row r="454" spans="4:55" ht="12.95" customHeight="1">
      <c r="D454" s="1746" t="s">
        <v>1037</v>
      </c>
      <c r="E454" s="1747"/>
      <c r="F454" s="1747"/>
      <c r="G454" s="1747"/>
      <c r="H454" s="1747"/>
      <c r="I454" s="1747"/>
      <c r="J454" s="1747"/>
      <c r="K454" s="1747"/>
      <c r="L454" s="1747"/>
      <c r="M454" s="1747"/>
      <c r="N454" s="1747"/>
      <c r="O454" s="1747"/>
      <c r="P454" s="1747"/>
      <c r="Q454" s="1747"/>
      <c r="R454" s="1747"/>
      <c r="S454" s="1747"/>
      <c r="T454" s="1747"/>
      <c r="U454" s="1747"/>
      <c r="V454" s="1747"/>
      <c r="W454" s="1747"/>
      <c r="X454" s="1747"/>
      <c r="Y454" s="1747"/>
      <c r="Z454" s="1747"/>
      <c r="AA454" s="1747"/>
      <c r="AB454" s="1747"/>
      <c r="AC454" s="1747"/>
      <c r="AD454" s="1747"/>
      <c r="AE454" s="1747"/>
      <c r="AF454" s="1748"/>
      <c r="AG454" s="1830">
        <f>MIN(IF(AG450&gt;AG453,AG453,AG450),1)</f>
        <v>1</v>
      </c>
      <c r="AH454" s="1830"/>
      <c r="AI454" s="1830"/>
      <c r="AJ454" s="1830"/>
    </row>
    <row r="455" spans="4:55" ht="12.95" customHeight="1">
      <c r="D455" s="1746" t="s">
        <v>2044</v>
      </c>
      <c r="E455" s="1722"/>
      <c r="F455" s="1722"/>
      <c r="G455" s="1722"/>
      <c r="H455" s="1722"/>
      <c r="I455" s="1722"/>
      <c r="J455" s="1722"/>
      <c r="K455" s="1722"/>
      <c r="L455" s="1722"/>
      <c r="M455" s="1722"/>
      <c r="N455" s="1722"/>
      <c r="O455" s="1722"/>
      <c r="P455" s="1722"/>
      <c r="Q455" s="1722"/>
      <c r="R455" s="1722"/>
      <c r="S455" s="1722"/>
      <c r="T455" s="1722"/>
      <c r="U455" s="1722"/>
      <c r="V455" s="1722"/>
      <c r="W455" s="1722"/>
      <c r="X455" s="1722"/>
      <c r="Y455" s="1722"/>
      <c r="Z455" s="1722"/>
      <c r="AA455" s="1722"/>
      <c r="AB455" s="1722"/>
      <c r="AC455" s="1722"/>
      <c r="AD455" s="1722"/>
      <c r="AE455" s="1722"/>
      <c r="AF455" s="1817"/>
      <c r="AG455" s="1698">
        <v>3644</v>
      </c>
      <c r="AH455" s="1698"/>
      <c r="AI455" s="1698"/>
      <c r="AJ455" s="1698"/>
      <c r="AZ455" s="34"/>
      <c r="BA455" s="34"/>
      <c r="BB455" s="34"/>
      <c r="BC455" s="34"/>
    </row>
    <row r="456" spans="4:55" ht="12.95" customHeight="1">
      <c r="D456" s="1721" t="s">
        <v>569</v>
      </c>
      <c r="E456" s="1722"/>
      <c r="F456" s="1722"/>
      <c r="G456" s="1722"/>
      <c r="H456" s="1722"/>
      <c r="I456" s="1722"/>
      <c r="J456" s="1722"/>
      <c r="K456" s="1722"/>
      <c r="L456" s="1722"/>
      <c r="M456" s="1722"/>
      <c r="N456" s="1722"/>
      <c r="O456" s="1722"/>
      <c r="P456" s="1722"/>
      <c r="Q456" s="1722"/>
      <c r="R456" s="1722"/>
      <c r="S456" s="1722"/>
      <c r="T456" s="1722"/>
      <c r="U456" s="1722"/>
      <c r="V456" s="1722"/>
      <c r="W456" s="1722"/>
      <c r="X456" s="1722"/>
      <c r="Y456" s="1722"/>
      <c r="Z456" s="1722"/>
      <c r="AA456" s="1722"/>
      <c r="AB456" s="1722"/>
      <c r="AC456" s="1722"/>
      <c r="AD456" s="1722"/>
      <c r="AE456" s="1722"/>
      <c r="AF456" s="1817"/>
      <c r="AG456" s="1698">
        <v>0</v>
      </c>
      <c r="AH456" s="1698"/>
      <c r="AI456" s="1698"/>
      <c r="AJ456" s="1698"/>
      <c r="AZ456" s="3"/>
      <c r="BA456" s="3"/>
      <c r="BB456" s="3"/>
      <c r="BC456" s="3"/>
    </row>
    <row r="457" spans="4:55" ht="12.95" customHeight="1">
      <c r="D457" s="1746" t="s">
        <v>1205</v>
      </c>
      <c r="E457" s="1722"/>
      <c r="F457" s="1722"/>
      <c r="G457" s="1722"/>
      <c r="H457" s="1722"/>
      <c r="I457" s="1722"/>
      <c r="J457" s="1722"/>
      <c r="K457" s="1722"/>
      <c r="L457" s="1722"/>
      <c r="M457" s="1722"/>
      <c r="N457" s="1722"/>
      <c r="O457" s="1722"/>
      <c r="P457" s="1722"/>
      <c r="Q457" s="1722"/>
      <c r="R457" s="1722"/>
      <c r="S457" s="1722"/>
      <c r="T457" s="1722"/>
      <c r="U457" s="1722"/>
      <c r="V457" s="1722"/>
      <c r="W457" s="1722"/>
      <c r="X457" s="1722"/>
      <c r="Y457" s="1722"/>
      <c r="Z457" s="1722"/>
      <c r="AA457" s="1722"/>
      <c r="AB457" s="1722"/>
      <c r="AC457" s="1722"/>
      <c r="AD457" s="1722"/>
      <c r="AE457" s="1722"/>
      <c r="AF457" s="1817"/>
      <c r="AG457" s="1698">
        <f>2124+974+1432+7652+6783+6765+1320+2610+2890</f>
        <v>32550</v>
      </c>
      <c r="AH457" s="1698"/>
      <c r="AI457" s="1698"/>
      <c r="AJ457" s="1698"/>
      <c r="AZ457" s="3"/>
      <c r="BA457" s="3"/>
      <c r="BB457" s="3"/>
      <c r="BC457" s="3"/>
    </row>
    <row r="458" spans="4:55" ht="12.95" customHeight="1">
      <c r="D458" s="1746" t="s">
        <v>1038</v>
      </c>
      <c r="E458" s="1722"/>
      <c r="F458" s="1722"/>
      <c r="G458" s="1722"/>
      <c r="H458" s="1722"/>
      <c r="I458" s="1722"/>
      <c r="J458" s="1722"/>
      <c r="K458" s="1722"/>
      <c r="L458" s="1722"/>
      <c r="M458" s="1722"/>
      <c r="N458" s="1722"/>
      <c r="O458" s="1722"/>
      <c r="P458" s="1722"/>
      <c r="Q458" s="1722"/>
      <c r="R458" s="1722"/>
      <c r="S458" s="1722"/>
      <c r="T458" s="1722"/>
      <c r="U458" s="1722"/>
      <c r="V458" s="1722"/>
      <c r="W458" s="1722"/>
      <c r="X458" s="1722"/>
      <c r="Y458" s="1722"/>
      <c r="Z458" s="1722"/>
      <c r="AA458" s="1722"/>
      <c r="AB458" s="1722"/>
      <c r="AC458" s="1722"/>
      <c r="AD458" s="1722"/>
      <c r="AE458" s="1722"/>
      <c r="AF458" s="1817"/>
      <c r="AG458" s="1698">
        <v>0</v>
      </c>
      <c r="AH458" s="1698"/>
      <c r="AI458" s="1698"/>
      <c r="AJ458" s="1698"/>
      <c r="BB458" s="3"/>
      <c r="BC458" s="3"/>
    </row>
    <row r="459" spans="4:55" ht="12.95" customHeight="1">
      <c r="D459" s="1775" t="s">
        <v>1039</v>
      </c>
      <c r="E459" s="1776"/>
      <c r="F459" s="1776"/>
      <c r="G459" s="1776"/>
      <c r="H459" s="1776"/>
      <c r="I459" s="1776"/>
      <c r="J459" s="1776"/>
      <c r="K459" s="1776"/>
      <c r="L459" s="1776"/>
      <c r="M459" s="1776"/>
      <c r="N459" s="1776"/>
      <c r="O459" s="1776"/>
      <c r="P459" s="1776"/>
      <c r="Q459" s="1776"/>
      <c r="R459" s="1776"/>
      <c r="S459" s="1776"/>
      <c r="T459" s="1776"/>
      <c r="U459" s="1776"/>
      <c r="V459" s="1776"/>
      <c r="W459" s="1776"/>
      <c r="X459" s="1776"/>
      <c r="Y459" s="1776"/>
      <c r="Z459" s="1776"/>
      <c r="AA459" s="1776"/>
      <c r="AB459" s="1776"/>
      <c r="AC459" s="1776"/>
      <c r="AD459" s="1776"/>
      <c r="AE459" s="1776"/>
      <c r="AF459" s="1777"/>
      <c r="AG459" s="1860">
        <f>AG451+AG455+AG457+AG458</f>
        <v>278721</v>
      </c>
      <c r="AH459" s="1860"/>
      <c r="AI459" s="1860"/>
      <c r="AJ459" s="1860"/>
      <c r="AZ459" s="3"/>
      <c r="BA459" s="3"/>
      <c r="BB459" s="3"/>
      <c r="BC459" s="3"/>
    </row>
    <row r="460" spans="4:55" ht="12.95" customHeight="1">
      <c r="D460" s="1749" t="s">
        <v>1206</v>
      </c>
      <c r="E460" s="1749"/>
      <c r="F460" s="1749"/>
      <c r="G460" s="1749"/>
      <c r="H460" s="1749"/>
      <c r="I460" s="1749"/>
      <c r="J460" s="1749"/>
      <c r="K460" s="1749"/>
      <c r="L460" s="1749"/>
      <c r="M460" s="1749"/>
      <c r="N460" s="1749"/>
      <c r="O460" s="1749"/>
      <c r="P460" s="1749"/>
      <c r="Q460" s="1749"/>
      <c r="R460" s="1749"/>
      <c r="S460" s="1749"/>
      <c r="T460" s="1749"/>
      <c r="U460" s="1749"/>
      <c r="V460" s="1749"/>
      <c r="W460" s="1749"/>
      <c r="X460" s="1749"/>
      <c r="Y460" s="1749"/>
      <c r="Z460" s="1749"/>
      <c r="AA460" s="1749"/>
      <c r="AB460" s="1749"/>
      <c r="AC460" s="1749"/>
      <c r="AD460" s="1749"/>
      <c r="AE460" s="1749"/>
      <c r="AF460" s="1749"/>
      <c r="AG460" s="1749"/>
      <c r="AH460" s="1749"/>
      <c r="AI460" s="1749"/>
      <c r="AJ460" s="1749"/>
      <c r="AZ460" s="3"/>
      <c r="BA460" s="3"/>
      <c r="BB460" s="3"/>
      <c r="BC460" s="3"/>
    </row>
    <row r="461" spans="4:55" ht="12.95" customHeight="1">
      <c r="D461" s="1750"/>
      <c r="E461" s="1750"/>
      <c r="F461" s="1750"/>
      <c r="G461" s="1750"/>
      <c r="H461" s="1750"/>
      <c r="I461" s="1750"/>
      <c r="J461" s="1750"/>
      <c r="K461" s="1750"/>
      <c r="L461" s="1750"/>
      <c r="M461" s="1750"/>
      <c r="N461" s="1750"/>
      <c r="O461" s="1750"/>
      <c r="P461" s="1750"/>
      <c r="Q461" s="1750"/>
      <c r="R461" s="1750"/>
      <c r="S461" s="1750"/>
      <c r="T461" s="1750"/>
      <c r="U461" s="1750"/>
      <c r="V461" s="1750"/>
      <c r="W461" s="1750"/>
      <c r="X461" s="1750"/>
      <c r="Y461" s="1750"/>
      <c r="Z461" s="1750"/>
      <c r="AA461" s="1750"/>
      <c r="AB461" s="1750"/>
      <c r="AC461" s="1750"/>
      <c r="AD461" s="1750"/>
      <c r="AE461" s="1750"/>
      <c r="AF461" s="1750"/>
      <c r="AG461" s="1750"/>
      <c r="AH461" s="1750"/>
      <c r="AI461" s="1750"/>
      <c r="AJ461" s="1750"/>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7">
        <f>IF(AG446=0,"",'Sources and Uses Budget'!B105/Application!AG446)</f>
        <v>410082.85057471262</v>
      </c>
      <c r="AD463" s="1757"/>
      <c r="AE463" s="1757"/>
      <c r="AF463" s="1757"/>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7">
        <f>IF(AG446=0,"",'Sources and Uses Budget'!C105/Application!AG446)</f>
        <v>410082.85057471262</v>
      </c>
      <c r="AD464" s="1757"/>
      <c r="AE464" s="1757"/>
      <c r="AF464" s="1757"/>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7">
        <f>IF(AG446=0,"",('Sources and Uses Budget'!$S$107+'Sources and Uses Budget'!$T$107)/Application!AG446)</f>
        <v>357390.48850574711</v>
      </c>
      <c r="AD465" s="1757"/>
      <c r="AE465" s="1757"/>
      <c r="AF465" s="1757"/>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37" t="s">
        <v>2056</v>
      </c>
      <c r="E473" s="1828"/>
      <c r="F473" s="1828"/>
      <c r="G473" s="1828"/>
      <c r="H473" s="1828"/>
      <c r="I473" s="1828"/>
      <c r="J473" s="1828"/>
      <c r="K473" s="1828"/>
      <c r="L473" s="1828"/>
      <c r="M473" s="1828"/>
      <c r="N473" s="1828"/>
      <c r="O473" s="1828"/>
      <c r="P473" s="1828"/>
      <c r="Q473" s="1828"/>
      <c r="R473" s="1828"/>
      <c r="S473" s="1828"/>
      <c r="T473" s="1828"/>
      <c r="U473" s="1828"/>
      <c r="V473" s="1829"/>
      <c r="W473" s="1513">
        <v>0</v>
      </c>
      <c r="X473" s="1514"/>
      <c r="Y473" s="151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827" t="s">
        <v>693</v>
      </c>
      <c r="E474" s="1828"/>
      <c r="F474" s="1828"/>
      <c r="G474" s="1828"/>
      <c r="H474" s="1828"/>
      <c r="I474" s="1828"/>
      <c r="J474" s="1828"/>
      <c r="K474" s="1828"/>
      <c r="L474" s="1828"/>
      <c r="M474" s="1828"/>
      <c r="N474" s="1828"/>
      <c r="O474" s="1828"/>
      <c r="P474" s="1828"/>
      <c r="Q474" s="1828"/>
      <c r="R474" s="1828"/>
      <c r="S474" s="1828"/>
      <c r="T474" s="1828"/>
      <c r="U474" s="1828"/>
      <c r="V474" s="1829"/>
      <c r="W474" s="1513">
        <v>0</v>
      </c>
      <c r="X474" s="1514"/>
      <c r="Y474" s="151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827" t="s">
        <v>694</v>
      </c>
      <c r="E475" s="1828"/>
      <c r="F475" s="1828"/>
      <c r="G475" s="1828"/>
      <c r="H475" s="1828"/>
      <c r="I475" s="1828"/>
      <c r="J475" s="1828"/>
      <c r="K475" s="1828"/>
      <c r="L475" s="1828"/>
      <c r="M475" s="1828"/>
      <c r="N475" s="1828"/>
      <c r="O475" s="1828"/>
      <c r="P475" s="1828"/>
      <c r="Q475" s="1828"/>
      <c r="R475" s="1828"/>
      <c r="S475" s="1828"/>
      <c r="T475" s="1828"/>
      <c r="U475" s="1828"/>
      <c r="V475" s="1829"/>
      <c r="W475" s="1513">
        <v>0</v>
      </c>
      <c r="X475" s="1514"/>
      <c r="Y475" s="1515"/>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827" t="s">
        <v>695</v>
      </c>
      <c r="E476" s="1828"/>
      <c r="F476" s="1828"/>
      <c r="G476" s="1828"/>
      <c r="H476" s="1828"/>
      <c r="I476" s="1828"/>
      <c r="J476" s="1828"/>
      <c r="K476" s="1828"/>
      <c r="L476" s="1828"/>
      <c r="M476" s="1828"/>
      <c r="N476" s="1828"/>
      <c r="O476" s="1828"/>
      <c r="P476" s="1828"/>
      <c r="Q476" s="1828"/>
      <c r="R476" s="1828"/>
      <c r="S476" s="1828"/>
      <c r="T476" s="1828"/>
      <c r="U476" s="1828"/>
      <c r="V476" s="1829"/>
      <c r="W476" s="1513">
        <v>0</v>
      </c>
      <c r="X476" s="1514"/>
      <c r="Y476" s="1515"/>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827" t="s">
        <v>881</v>
      </c>
      <c r="E477" s="1828"/>
      <c r="F477" s="1828"/>
      <c r="G477" s="1828"/>
      <c r="H477" s="1828"/>
      <c r="I477" s="1828"/>
      <c r="J477" s="1828"/>
      <c r="K477" s="1828"/>
      <c r="L477" s="1828"/>
      <c r="M477" s="1828"/>
      <c r="N477" s="1828"/>
      <c r="O477" s="1828"/>
      <c r="P477" s="1828"/>
      <c r="Q477" s="1828"/>
      <c r="R477" s="1828"/>
      <c r="S477" s="1828"/>
      <c r="T477" s="1828"/>
      <c r="U477" s="1828"/>
      <c r="V477" s="1829"/>
      <c r="W477" s="1513">
        <v>0</v>
      </c>
      <c r="X477" s="1514"/>
      <c r="Y477" s="1515"/>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827" t="s">
        <v>696</v>
      </c>
      <c r="E478" s="1828"/>
      <c r="F478" s="1828"/>
      <c r="G478" s="1828"/>
      <c r="H478" s="1828"/>
      <c r="I478" s="1828"/>
      <c r="J478" s="1828"/>
      <c r="K478" s="1828"/>
      <c r="L478" s="1828"/>
      <c r="M478" s="1828"/>
      <c r="N478" s="1828"/>
      <c r="O478" s="1828"/>
      <c r="P478" s="1828"/>
      <c r="Q478" s="1828"/>
      <c r="R478" s="1828"/>
      <c r="S478" s="1828"/>
      <c r="T478" s="1828"/>
      <c r="U478" s="1828"/>
      <c r="V478" s="1829"/>
      <c r="W478" s="1513">
        <v>0</v>
      </c>
      <c r="X478" s="1514"/>
      <c r="Y478" s="1515"/>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827" t="s">
        <v>1012</v>
      </c>
      <c r="E479" s="1828"/>
      <c r="F479" s="1828"/>
      <c r="G479" s="1828"/>
      <c r="H479" s="1828"/>
      <c r="I479" s="1828"/>
      <c r="J479" s="1828"/>
      <c r="K479" s="1828"/>
      <c r="L479" s="1828"/>
      <c r="M479" s="1828"/>
      <c r="N479" s="1828"/>
      <c r="O479" s="1828"/>
      <c r="P479" s="1828"/>
      <c r="Q479" s="1828"/>
      <c r="R479" s="1828"/>
      <c r="S479" s="1828"/>
      <c r="T479" s="1828"/>
      <c r="U479" s="1828"/>
      <c r="V479" s="1829"/>
      <c r="W479" s="1513">
        <v>0</v>
      </c>
      <c r="X479" s="1514"/>
      <c r="Y479" s="1515"/>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837" t="s">
        <v>2146</v>
      </c>
      <c r="E480" s="1861"/>
      <c r="F480" s="1861"/>
      <c r="G480" s="1861"/>
      <c r="H480" s="1861"/>
      <c r="I480" s="1861"/>
      <c r="J480" s="1861"/>
      <c r="K480" s="1861"/>
      <c r="L480" s="1861"/>
      <c r="M480" s="1861"/>
      <c r="N480" s="1861"/>
      <c r="O480" s="1861"/>
      <c r="P480" s="1861"/>
      <c r="Q480" s="1861"/>
      <c r="R480" s="1861"/>
      <c r="S480" s="1861"/>
      <c r="T480" s="1861"/>
      <c r="U480" s="1861"/>
      <c r="V480" s="1862"/>
      <c r="W480" s="1513">
        <v>0</v>
      </c>
      <c r="X480" s="1514"/>
      <c r="Y480" s="1515"/>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837" t="s">
        <v>1643</v>
      </c>
      <c r="E481" s="1828"/>
      <c r="F481" s="1828"/>
      <c r="G481" s="1828"/>
      <c r="H481" s="1828"/>
      <c r="I481" s="1828"/>
      <c r="J481" s="1828"/>
      <c r="K481" s="1828"/>
      <c r="L481" s="1828"/>
      <c r="M481" s="1828"/>
      <c r="N481" s="1828"/>
      <c r="O481" s="1828"/>
      <c r="P481" s="1828"/>
      <c r="Q481" s="1828"/>
      <c r="R481" s="1828"/>
      <c r="S481" s="1828"/>
      <c r="T481" s="1828"/>
      <c r="U481" s="1828"/>
      <c r="V481" s="1829"/>
      <c r="W481" s="1513">
        <v>87</v>
      </c>
      <c r="X481" s="1514"/>
      <c r="Y481" s="1515"/>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516"/>
      <c r="H482" s="1517"/>
      <c r="I482" s="1517"/>
      <c r="J482" s="1517"/>
      <c r="K482" s="1517"/>
      <c r="L482" s="1517"/>
      <c r="M482" s="1517"/>
      <c r="N482" s="1517"/>
      <c r="O482" s="1517"/>
      <c r="P482" s="1517"/>
      <c r="Q482" s="1517"/>
      <c r="R482" s="1517"/>
      <c r="S482" s="1517"/>
      <c r="T482" s="1517"/>
      <c r="U482" s="1517"/>
      <c r="V482" s="1518"/>
      <c r="W482" s="1513">
        <v>0</v>
      </c>
      <c r="X482" s="1514"/>
      <c r="Y482" s="1515"/>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27" t="s">
        <v>810</v>
      </c>
      <c r="B488" s="1527"/>
      <c r="C488" s="1527"/>
      <c r="D488" s="1527"/>
      <c r="E488" s="1527"/>
      <c r="F488" s="1527"/>
      <c r="G488" s="1527"/>
      <c r="H488" s="1527"/>
      <c r="I488" s="1527"/>
      <c r="J488" s="1527"/>
      <c r="K488" s="1527"/>
      <c r="L488" s="1527"/>
      <c r="M488" s="1527"/>
      <c r="N488" s="1527"/>
      <c r="O488" s="1527"/>
      <c r="P488" s="1527"/>
      <c r="Q488" s="1527"/>
      <c r="R488" s="1527"/>
      <c r="S488" s="1527"/>
      <c r="T488" s="1527"/>
      <c r="U488" s="1527"/>
      <c r="V488" s="1527"/>
      <c r="W488" s="1527"/>
      <c r="X488" s="1527"/>
      <c r="Y488" s="1527"/>
      <c r="Z488" s="1527"/>
      <c r="AA488" s="1527"/>
      <c r="AB488" s="1527"/>
      <c r="AC488" s="1527"/>
      <c r="AD488" s="1527"/>
      <c r="AE488" s="1527"/>
      <c r="AF488" s="1527"/>
      <c r="AG488" s="1527"/>
      <c r="AH488" s="1527"/>
      <c r="AI488" s="1527"/>
      <c r="AJ488" s="1527"/>
      <c r="AK488" s="1527"/>
      <c r="AL488" s="1527"/>
      <c r="AM488" s="1527"/>
      <c r="AN488" s="1527"/>
      <c r="AO488" s="1527"/>
      <c r="AP488" s="1527"/>
      <c r="AQ488" s="1527"/>
      <c r="AR488" s="1527"/>
      <c r="AS488" s="1527"/>
      <c r="AT488" s="1527"/>
      <c r="AU488" s="95"/>
      <c r="AV488" s="95"/>
      <c r="AW488" s="95"/>
      <c r="AX488" s="95"/>
      <c r="AY488" s="95"/>
      <c r="AZ488" s="3"/>
      <c r="BB488" s="3"/>
      <c r="BC488" s="3"/>
    </row>
    <row r="489" spans="1:55" ht="12.95" customHeight="1">
      <c r="A489" s="1527"/>
      <c r="B489" s="1527"/>
      <c r="C489" s="1527"/>
      <c r="D489" s="1527"/>
      <c r="E489" s="1527"/>
      <c r="F489" s="1527"/>
      <c r="G489" s="1527"/>
      <c r="H489" s="1527"/>
      <c r="I489" s="1527"/>
      <c r="J489" s="1527"/>
      <c r="K489" s="1527"/>
      <c r="L489" s="1527"/>
      <c r="M489" s="1527"/>
      <c r="N489" s="1527"/>
      <c r="O489" s="1527"/>
      <c r="P489" s="1527"/>
      <c r="Q489" s="1527"/>
      <c r="R489" s="1527"/>
      <c r="S489" s="1527"/>
      <c r="T489" s="1527"/>
      <c r="U489" s="1527"/>
      <c r="V489" s="1527"/>
      <c r="W489" s="1527"/>
      <c r="X489" s="1527"/>
      <c r="Y489" s="1527"/>
      <c r="Z489" s="1527"/>
      <c r="AA489" s="1527"/>
      <c r="AB489" s="1527"/>
      <c r="AC489" s="1527"/>
      <c r="AD489" s="1527"/>
      <c r="AE489" s="1527"/>
      <c r="AF489" s="1527"/>
      <c r="AG489" s="1527"/>
      <c r="AH489" s="1527"/>
      <c r="AI489" s="1527"/>
      <c r="AJ489" s="1527"/>
      <c r="AK489" s="1527"/>
      <c r="AL489" s="1527"/>
      <c r="AM489" s="1527"/>
      <c r="AN489" s="1527"/>
      <c r="AO489" s="1527"/>
      <c r="AP489" s="1527"/>
      <c r="AQ489" s="1527"/>
      <c r="AR489" s="1527"/>
      <c r="AS489" s="1527"/>
      <c r="AT489" s="1527"/>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825" t="s">
        <v>393</v>
      </c>
      <c r="R493" s="1826"/>
      <c r="S493" s="1826"/>
      <c r="T493" s="1826"/>
      <c r="U493" s="1826"/>
      <c r="V493" s="1826"/>
      <c r="W493" s="1826"/>
      <c r="X493" s="1826"/>
      <c r="Y493" s="1826"/>
      <c r="Z493" s="1826"/>
      <c r="AA493" s="1826"/>
      <c r="AB493" s="1826"/>
      <c r="AC493" s="1826"/>
      <c r="AD493" s="1826"/>
      <c r="AE493" s="1826"/>
      <c r="AF493" s="1826"/>
      <c r="AG493" s="1826"/>
      <c r="AH493" s="1826"/>
      <c r="AI493" s="1826"/>
      <c r="AJ493" s="1826"/>
      <c r="AK493" s="1839"/>
      <c r="AZ493" s="3"/>
      <c r="BB493" s="3"/>
      <c r="BC493" s="3"/>
    </row>
    <row r="494" spans="1:55" ht="12.95" customHeight="1">
      <c r="B494" s="45" t="s">
        <v>394</v>
      </c>
      <c r="C494" s="5"/>
      <c r="D494" s="5"/>
      <c r="E494" s="5"/>
      <c r="F494" s="5"/>
      <c r="G494" s="5"/>
      <c r="H494" s="5"/>
      <c r="I494" s="5"/>
      <c r="J494" s="5"/>
      <c r="K494" s="5"/>
      <c r="L494" s="5"/>
      <c r="M494" s="5"/>
      <c r="N494" s="5"/>
      <c r="O494" s="5"/>
      <c r="P494" s="5"/>
      <c r="Q494" s="1389" t="s">
        <v>2707</v>
      </c>
      <c r="R494" s="1454"/>
      <c r="S494" s="1454"/>
      <c r="T494" s="1454"/>
      <c r="U494" s="1454"/>
      <c r="V494" s="1454"/>
      <c r="W494" s="1454"/>
      <c r="X494" s="1454"/>
      <c r="Y494" s="1454"/>
      <c r="Z494" s="1454"/>
      <c r="AA494" s="1454"/>
      <c r="AB494" s="1454"/>
      <c r="AC494" s="1454"/>
      <c r="AD494" s="1454"/>
      <c r="AE494" s="1454"/>
      <c r="AF494" s="1454"/>
      <c r="AG494" s="1454"/>
      <c r="AH494" s="1454"/>
      <c r="AI494" s="1454"/>
      <c r="AJ494" s="1454"/>
      <c r="AK494" s="1570"/>
      <c r="AZ494" s="3"/>
      <c r="BB494" s="3"/>
      <c r="BC494" s="3"/>
    </row>
    <row r="495" spans="1:55" ht="12.95" customHeight="1">
      <c r="B495" s="45" t="s">
        <v>395</v>
      </c>
      <c r="C495" s="5"/>
      <c r="D495" s="5"/>
      <c r="E495" s="5"/>
      <c r="F495" s="5"/>
      <c r="G495" s="5"/>
      <c r="H495" s="5"/>
      <c r="I495" s="5"/>
      <c r="J495" s="5"/>
      <c r="K495" s="5"/>
      <c r="L495" s="5"/>
      <c r="M495" s="5"/>
      <c r="N495" s="5"/>
      <c r="O495" s="5"/>
      <c r="P495" s="5"/>
      <c r="Q495" s="1389" t="s">
        <v>2708</v>
      </c>
      <c r="R495" s="1454"/>
      <c r="S495" s="1454"/>
      <c r="T495" s="1454"/>
      <c r="U495" s="1454"/>
      <c r="V495" s="1454"/>
      <c r="W495" s="1454"/>
      <c r="X495" s="1454"/>
      <c r="Y495" s="1454"/>
      <c r="Z495" s="1454"/>
      <c r="AA495" s="1454"/>
      <c r="AB495" s="1454"/>
      <c r="AC495" s="1454"/>
      <c r="AD495" s="1454"/>
      <c r="AE495" s="1454"/>
      <c r="AF495" s="1454"/>
      <c r="AG495" s="1454"/>
      <c r="AH495" s="1454"/>
      <c r="AI495" s="1454"/>
      <c r="AJ495" s="1454"/>
      <c r="AK495" s="1570"/>
      <c r="AZ495" s="3"/>
      <c r="BB495" s="3"/>
      <c r="BC495" s="3"/>
    </row>
    <row r="496" spans="1:55" ht="12.95" customHeight="1">
      <c r="B496" s="45" t="s">
        <v>396</v>
      </c>
      <c r="C496" s="5"/>
      <c r="D496" s="5"/>
      <c r="E496" s="5"/>
      <c r="F496" s="5"/>
      <c r="G496" s="5"/>
      <c r="H496" s="5"/>
      <c r="I496" s="5"/>
      <c r="J496" s="5"/>
      <c r="K496" s="5"/>
      <c r="L496" s="5"/>
      <c r="M496" s="5"/>
      <c r="N496" s="5"/>
      <c r="O496" s="5"/>
      <c r="P496" s="5"/>
      <c r="Q496" s="1389" t="s">
        <v>2709</v>
      </c>
      <c r="R496" s="1454"/>
      <c r="S496" s="1454"/>
      <c r="T496" s="1454"/>
      <c r="U496" s="1454"/>
      <c r="V496" s="1454"/>
      <c r="W496" s="1454"/>
      <c r="X496" s="1454"/>
      <c r="Y496" s="1454"/>
      <c r="Z496" s="1454"/>
      <c r="AA496" s="1454"/>
      <c r="AB496" s="1454"/>
      <c r="AC496" s="1454"/>
      <c r="AD496" s="1454"/>
      <c r="AE496" s="1454"/>
      <c r="AF496" s="1454"/>
      <c r="AG496" s="1454"/>
      <c r="AH496" s="1454"/>
      <c r="AI496" s="1454"/>
      <c r="AJ496" s="1454"/>
      <c r="AK496" s="1570"/>
      <c r="AZ496" s="3"/>
      <c r="BA496" s="3"/>
      <c r="BB496" s="3"/>
      <c r="BC496" s="3"/>
    </row>
    <row r="497" spans="1:66" ht="12.95" customHeight="1">
      <c r="B497" s="1845" t="s">
        <v>397</v>
      </c>
      <c r="C497" s="1846"/>
      <c r="D497" s="1846"/>
      <c r="E497" s="1846"/>
      <c r="F497" s="1846"/>
      <c r="G497" s="1846"/>
      <c r="H497" s="1846"/>
      <c r="I497" s="1846"/>
      <c r="J497" s="1846"/>
      <c r="K497" s="1846"/>
      <c r="L497" s="1846"/>
      <c r="M497" s="1846"/>
      <c r="N497" s="1846"/>
      <c r="O497" s="1846"/>
      <c r="P497" s="1847"/>
      <c r="Q497" s="1851" t="s">
        <v>669</v>
      </c>
      <c r="R497" s="1852"/>
      <c r="S497" s="1751" t="s">
        <v>166</v>
      </c>
      <c r="T497" s="1752"/>
      <c r="U497" s="1752"/>
      <c r="V497" s="1752"/>
      <c r="W497" s="1752"/>
      <c r="X497" s="1752"/>
      <c r="Y497" s="1752"/>
      <c r="Z497" s="1752"/>
      <c r="AA497" s="1752"/>
      <c r="AB497" s="1752"/>
      <c r="AC497" s="1752"/>
      <c r="AD497" s="1752"/>
      <c r="AE497" s="1752"/>
      <c r="AF497" s="1752"/>
      <c r="AG497" s="1752"/>
      <c r="AH497" s="1752"/>
      <c r="AI497" s="1752"/>
      <c r="AJ497" s="1752"/>
      <c r="AK497" s="1753"/>
      <c r="AZ497" s="3"/>
      <c r="BA497" s="3"/>
      <c r="BB497" s="3"/>
      <c r="BC497" s="3"/>
    </row>
    <row r="498" spans="1:66" ht="12.95" customHeight="1">
      <c r="B498" s="1848"/>
      <c r="C498" s="1849"/>
      <c r="D498" s="1849"/>
      <c r="E498" s="1849"/>
      <c r="F498" s="1849"/>
      <c r="G498" s="1849"/>
      <c r="H498" s="1849"/>
      <c r="I498" s="1849"/>
      <c r="J498" s="1849"/>
      <c r="K498" s="1849"/>
      <c r="L498" s="1849"/>
      <c r="M498" s="1849"/>
      <c r="N498" s="1849"/>
      <c r="O498" s="1849"/>
      <c r="P498" s="1850"/>
      <c r="Q498" s="1853"/>
      <c r="R498" s="1854"/>
      <c r="S498" s="1754"/>
      <c r="T498" s="1755"/>
      <c r="U498" s="1755"/>
      <c r="V498" s="1755"/>
      <c r="W498" s="1755"/>
      <c r="X498" s="1755"/>
      <c r="Y498" s="1755"/>
      <c r="Z498" s="1755"/>
      <c r="AA498" s="1755"/>
      <c r="AB498" s="1755"/>
      <c r="AC498" s="1755"/>
      <c r="AD498" s="1755"/>
      <c r="AE498" s="1755"/>
      <c r="AF498" s="1755"/>
      <c r="AG498" s="1755"/>
      <c r="AH498" s="1755"/>
      <c r="AI498" s="1755"/>
      <c r="AJ498" s="1755"/>
      <c r="AK498" s="1756"/>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56" t="s">
        <v>2710</v>
      </c>
      <c r="R499" s="1857"/>
      <c r="S499" s="1857"/>
      <c r="T499" s="1857"/>
      <c r="U499" s="1857"/>
      <c r="V499" s="1857"/>
      <c r="W499" s="1857"/>
      <c r="X499" s="1857"/>
      <c r="Y499" s="1857"/>
      <c r="Z499" s="1857"/>
      <c r="AA499" s="1857"/>
      <c r="AB499" s="1857"/>
      <c r="AC499" s="1857"/>
      <c r="AD499" s="1857"/>
      <c r="AE499" s="1857"/>
      <c r="AF499" s="1857"/>
      <c r="AG499" s="1857"/>
      <c r="AH499" s="1857"/>
      <c r="AI499" s="1857"/>
      <c r="AJ499" s="1857"/>
      <c r="AK499" s="1858"/>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89" t="s">
        <v>2711</v>
      </c>
      <c r="R500" s="1454"/>
      <c r="S500" s="1454"/>
      <c r="T500" s="1454"/>
      <c r="U500" s="1454"/>
      <c r="V500" s="1454"/>
      <c r="W500" s="1454"/>
      <c r="X500" s="1454"/>
      <c r="Y500" s="1454"/>
      <c r="Z500" s="1454"/>
      <c r="AA500" s="1454"/>
      <c r="AB500" s="1454"/>
      <c r="AC500" s="1454"/>
      <c r="AD500" s="1454"/>
      <c r="AE500" s="1454"/>
      <c r="AF500" s="1454"/>
      <c r="AG500" s="1454"/>
      <c r="AH500" s="1454"/>
      <c r="AI500" s="1454"/>
      <c r="AJ500" s="1454"/>
      <c r="AK500" s="1570"/>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69">
        <v>0</v>
      </c>
      <c r="R501" s="1454"/>
      <c r="S501" s="1454"/>
      <c r="T501" s="1454"/>
      <c r="U501" s="1454"/>
      <c r="V501" s="1454"/>
      <c r="W501" s="1454"/>
      <c r="X501" s="1454"/>
      <c r="Y501" s="1454"/>
      <c r="Z501" s="1454"/>
      <c r="AA501" s="1454"/>
      <c r="AB501" s="1454"/>
      <c r="AC501" s="1454"/>
      <c r="AD501" s="1454"/>
      <c r="AE501" s="1454"/>
      <c r="AF501" s="1454"/>
      <c r="AG501" s="1454"/>
      <c r="AH501" s="1454"/>
      <c r="AI501" s="1454"/>
      <c r="AJ501" s="1454"/>
      <c r="AK501" s="1570"/>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69">
        <v>407</v>
      </c>
      <c r="R502" s="1454"/>
      <c r="S502" s="1454"/>
      <c r="T502" s="1454"/>
      <c r="U502" s="1454"/>
      <c r="V502" s="1454"/>
      <c r="W502" s="1454"/>
      <c r="X502" s="1454"/>
      <c r="Y502" s="1454"/>
      <c r="Z502" s="1454"/>
      <c r="AA502" s="1454"/>
      <c r="AB502" s="1454"/>
      <c r="AC502" s="1454"/>
      <c r="AD502" s="1454"/>
      <c r="AE502" s="1454"/>
      <c r="AF502" s="1454"/>
      <c r="AG502" s="1454"/>
      <c r="AH502" s="1454"/>
      <c r="AI502" s="1454"/>
      <c r="AJ502" s="1454"/>
      <c r="AK502" s="1570"/>
      <c r="AZ502" s="3"/>
      <c r="BA502" s="3"/>
      <c r="BB502" s="3"/>
      <c r="BC502" s="3"/>
    </row>
    <row r="503" spans="1:66" ht="12.95" customHeight="1">
      <c r="B503" s="121" t="s">
        <v>1658</v>
      </c>
      <c r="C503" s="5"/>
      <c r="D503" s="5"/>
      <c r="E503" s="5"/>
      <c r="F503" s="5"/>
      <c r="G503" s="5"/>
      <c r="H503" s="5"/>
      <c r="I503" s="5"/>
      <c r="J503" s="5"/>
      <c r="K503" s="5"/>
      <c r="L503" s="5"/>
      <c r="M503" s="1534">
        <v>0</v>
      </c>
      <c r="N503" s="1535"/>
      <c r="O503" s="1535"/>
      <c r="P503" s="1536"/>
      <c r="Q503" s="121" t="s">
        <v>1659</v>
      </c>
      <c r="R503" s="5"/>
      <c r="S503" s="5"/>
      <c r="T503" s="5"/>
      <c r="U503" s="5"/>
      <c r="V503" s="5"/>
      <c r="W503" s="5"/>
      <c r="X503" s="5"/>
      <c r="Y503" s="5"/>
      <c r="Z503" s="5"/>
      <c r="AA503" s="5"/>
      <c r="AB503" s="5"/>
      <c r="AC503" s="5"/>
      <c r="AD503" s="5"/>
      <c r="AE503" s="5"/>
      <c r="AF503" s="5"/>
      <c r="AG503" s="5"/>
      <c r="AH503" s="1534">
        <v>407</v>
      </c>
      <c r="AI503" s="1535"/>
      <c r="AJ503" s="1535"/>
      <c r="AK503" s="153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825" t="s">
        <v>401</v>
      </c>
      <c r="AD507" s="1826"/>
      <c r="AE507" s="1826"/>
      <c r="AF507" s="1826"/>
      <c r="AG507" s="1826"/>
      <c r="AH507" s="1826"/>
      <c r="AI507" s="1826"/>
      <c r="AJ507" s="1826"/>
      <c r="AK507" s="1839"/>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825" t="s">
        <v>402</v>
      </c>
      <c r="AD508" s="1826"/>
      <c r="AE508" s="1826"/>
      <c r="AF508" s="1826"/>
      <c r="AG508" s="50" t="s">
        <v>403</v>
      </c>
      <c r="AH508" s="1826" t="s">
        <v>404</v>
      </c>
      <c r="AI508" s="1826"/>
      <c r="AJ508" s="1826"/>
      <c r="AK508" s="1839"/>
      <c r="AZ508" s="3"/>
      <c r="BA508" s="3"/>
      <c r="BB508" s="3"/>
      <c r="BC508" s="3"/>
      <c r="BD508" s="3"/>
      <c r="BE508" s="3"/>
      <c r="BF508" s="3"/>
      <c r="BG508" s="3"/>
      <c r="BH508" s="3"/>
      <c r="BI508" s="3"/>
      <c r="BJ508" s="3"/>
      <c r="BK508" s="3"/>
      <c r="BL508" s="3"/>
      <c r="BM508" s="3"/>
      <c r="BN508" s="3"/>
    </row>
    <row r="509" spans="1:66" ht="12.95" customHeight="1">
      <c r="B509" s="1458" t="s">
        <v>405</v>
      </c>
      <c r="C509" s="1459"/>
      <c r="D509" s="1459"/>
      <c r="E509" s="1459"/>
      <c r="F509" s="1459"/>
      <c r="G509" s="1459"/>
      <c r="H509" s="1460"/>
      <c r="I509" s="42" t="s">
        <v>406</v>
      </c>
      <c r="J509" s="42"/>
      <c r="K509" s="42"/>
      <c r="L509" s="42"/>
      <c r="M509" s="42"/>
      <c r="N509" s="42"/>
      <c r="O509" s="42"/>
      <c r="P509" s="42"/>
      <c r="Q509" s="42"/>
      <c r="R509" s="42"/>
      <c r="S509" s="42"/>
      <c r="T509" s="42"/>
      <c r="U509" s="42"/>
      <c r="V509" s="42"/>
      <c r="W509" s="42"/>
      <c r="AC509" s="1531" t="s">
        <v>591</v>
      </c>
      <c r="AD509" s="1532"/>
      <c r="AE509" s="1532"/>
      <c r="AF509" s="1532"/>
      <c r="AG509" s="13" t="s">
        <v>403</v>
      </c>
      <c r="AH509" s="1384">
        <v>0</v>
      </c>
      <c r="AI509" s="1384"/>
      <c r="AJ509" s="1384"/>
      <c r="AK509" s="1385"/>
      <c r="AZ509" s="3"/>
      <c r="BA509" s="3"/>
      <c r="BB509" s="3"/>
      <c r="BC509" s="3"/>
      <c r="BD509" s="3"/>
      <c r="BE509" s="3"/>
      <c r="BF509" s="3"/>
      <c r="BG509" s="3"/>
      <c r="BH509" s="3"/>
      <c r="BI509" s="3"/>
      <c r="BJ509" s="3"/>
      <c r="BK509" s="3"/>
      <c r="BL509" s="3"/>
      <c r="BM509" s="3"/>
      <c r="BN509" s="3"/>
    </row>
    <row r="510" spans="1:66" ht="12.95" customHeight="1">
      <c r="B510" s="1461"/>
      <c r="C510" s="1462"/>
      <c r="D510" s="1462"/>
      <c r="E510" s="1462"/>
      <c r="F510" s="1462"/>
      <c r="G510" s="1462"/>
      <c r="H510" s="1463"/>
      <c r="I510" s="48" t="s">
        <v>407</v>
      </c>
      <c r="J510" s="48"/>
      <c r="K510" s="48"/>
      <c r="L510" s="48"/>
      <c r="M510" s="48"/>
      <c r="N510" s="48"/>
      <c r="O510" s="48"/>
      <c r="P510" s="48"/>
      <c r="Q510" s="48"/>
      <c r="R510" s="48"/>
      <c r="S510" s="48"/>
      <c r="T510" s="48"/>
      <c r="U510" s="48"/>
      <c r="V510" s="48"/>
      <c r="W510" s="48"/>
      <c r="X510" s="48"/>
      <c r="Y510" s="48"/>
      <c r="Z510" s="48"/>
      <c r="AA510" s="48"/>
      <c r="AB510" s="48"/>
      <c r="AC510" s="1531">
        <v>7</v>
      </c>
      <c r="AD510" s="1532"/>
      <c r="AE510" s="1532"/>
      <c r="AF510" s="1532"/>
      <c r="AG510" s="38" t="s">
        <v>403</v>
      </c>
      <c r="AH510" s="1384">
        <v>2026</v>
      </c>
      <c r="AI510" s="1384"/>
      <c r="AJ510" s="1384"/>
      <c r="AK510" s="1385"/>
      <c r="AZ510" s="3"/>
      <c r="BA510" s="3"/>
      <c r="BB510" s="3"/>
      <c r="BC510" s="3"/>
      <c r="BD510" s="3"/>
      <c r="BE510" s="3"/>
      <c r="BF510" s="3"/>
      <c r="BG510" s="3"/>
      <c r="BH510" s="3"/>
      <c r="BI510" s="3"/>
      <c r="BJ510" s="3"/>
      <c r="BK510" s="3"/>
      <c r="BL510" s="3"/>
      <c r="BM510" s="3"/>
      <c r="BN510" s="3"/>
    </row>
    <row r="511" spans="1:66" ht="12.95" customHeight="1">
      <c r="B511" s="1458" t="s">
        <v>408</v>
      </c>
      <c r="C511" s="1459"/>
      <c r="D511" s="1459"/>
      <c r="E511" s="1459"/>
      <c r="F511" s="1459"/>
      <c r="G511" s="1459"/>
      <c r="H511" s="1460"/>
      <c r="I511" s="42" t="s">
        <v>409</v>
      </c>
      <c r="J511" s="42"/>
      <c r="K511" s="42"/>
      <c r="L511" s="42"/>
      <c r="M511" s="42"/>
      <c r="N511" s="42"/>
      <c r="O511" s="42"/>
      <c r="P511" s="42"/>
      <c r="Q511" s="42"/>
      <c r="R511" s="42"/>
      <c r="S511" s="42"/>
      <c r="T511" s="42"/>
      <c r="U511" s="42"/>
      <c r="V511" s="42"/>
      <c r="W511" s="42"/>
      <c r="AC511" s="1531" t="s">
        <v>591</v>
      </c>
      <c r="AD511" s="1532"/>
      <c r="AE511" s="1532"/>
      <c r="AF511" s="1532"/>
      <c r="AG511" s="13" t="s">
        <v>403</v>
      </c>
      <c r="AH511" s="1384"/>
      <c r="AI511" s="1384"/>
      <c r="AJ511" s="1384"/>
      <c r="AK511" s="1385"/>
      <c r="AZ511" s="3"/>
      <c r="BA511" s="3"/>
      <c r="BB511" s="3"/>
      <c r="BC511" s="3"/>
      <c r="BD511" s="3"/>
      <c r="BE511" s="3"/>
      <c r="BF511" s="3"/>
      <c r="BG511" s="3"/>
      <c r="BH511" s="3"/>
      <c r="BI511" s="3"/>
      <c r="BJ511" s="3"/>
      <c r="BK511" s="3"/>
      <c r="BL511" s="3"/>
      <c r="BM511" s="3"/>
      <c r="BN511" s="3"/>
    </row>
    <row r="512" spans="1:66" ht="12.95" customHeight="1">
      <c r="B512" s="1461"/>
      <c r="C512" s="1462"/>
      <c r="D512" s="1462"/>
      <c r="E512" s="1462"/>
      <c r="F512" s="1462"/>
      <c r="G512" s="1462"/>
      <c r="H512" s="1463"/>
      <c r="I512" t="s">
        <v>410</v>
      </c>
      <c r="AC512" s="1531" t="s">
        <v>591</v>
      </c>
      <c r="AD512" s="1532"/>
      <c r="AE512" s="1532"/>
      <c r="AF512" s="1532"/>
      <c r="AG512" s="13" t="s">
        <v>403</v>
      </c>
      <c r="AH512" s="1384"/>
      <c r="AI512" s="1384"/>
      <c r="AJ512" s="1384"/>
      <c r="AK512" s="1385"/>
      <c r="AZ512" s="3"/>
      <c r="BA512" s="3"/>
      <c r="BB512" s="3"/>
      <c r="BC512" s="3"/>
      <c r="BD512" s="3"/>
      <c r="BE512" s="3"/>
      <c r="BF512" s="3"/>
      <c r="BG512" s="3"/>
      <c r="BH512" s="3"/>
      <c r="BI512" s="3"/>
      <c r="BJ512" s="3"/>
      <c r="BK512" s="3"/>
      <c r="BL512" s="3"/>
      <c r="BM512" s="3"/>
      <c r="BN512" s="3"/>
    </row>
    <row r="513" spans="2:66" ht="12.95" customHeight="1">
      <c r="B513" s="1461"/>
      <c r="C513" s="1462"/>
      <c r="D513" s="1462"/>
      <c r="E513" s="1462"/>
      <c r="F513" s="1462"/>
      <c r="G513" s="1462"/>
      <c r="H513" s="1463"/>
      <c r="I513" t="s">
        <v>411</v>
      </c>
      <c r="AC513" s="1531" t="s">
        <v>591</v>
      </c>
      <c r="AD513" s="1532"/>
      <c r="AE513" s="1532"/>
      <c r="AF513" s="1532"/>
      <c r="AG513" s="13" t="s">
        <v>403</v>
      </c>
      <c r="AH513" s="1384"/>
      <c r="AI513" s="1384"/>
      <c r="AJ513" s="1384"/>
      <c r="AK513" s="1385"/>
      <c r="AZ513" s="3"/>
      <c r="BA513" s="3"/>
      <c r="BB513" s="3"/>
      <c r="BC513" s="3"/>
      <c r="BD513" s="3"/>
      <c r="BE513" s="3"/>
      <c r="BF513" s="3"/>
      <c r="BG513" s="3"/>
      <c r="BH513" s="3"/>
      <c r="BI513" s="3"/>
      <c r="BJ513" s="3"/>
      <c r="BK513" s="3"/>
      <c r="BL513" s="3"/>
      <c r="BM513" s="3"/>
      <c r="BN513" s="3"/>
    </row>
    <row r="514" spans="2:66" ht="12.95" customHeight="1">
      <c r="B514" s="1461"/>
      <c r="C514" s="1462"/>
      <c r="D514" s="1462"/>
      <c r="E514" s="1462"/>
      <c r="F514" s="1462"/>
      <c r="G514" s="1462"/>
      <c r="H514" s="1463"/>
      <c r="I514" t="s">
        <v>412</v>
      </c>
      <c r="AC514" s="1531">
        <v>9</v>
      </c>
      <c r="AD514" s="1532"/>
      <c r="AE514" s="1532"/>
      <c r="AF514" s="1532"/>
      <c r="AG514" s="13" t="s">
        <v>403</v>
      </c>
      <c r="AH514" s="1384">
        <v>2026</v>
      </c>
      <c r="AI514" s="1384"/>
      <c r="AJ514" s="1384"/>
      <c r="AK514" s="1385"/>
      <c r="AZ514" s="3"/>
      <c r="BA514" s="3"/>
      <c r="BB514" s="3"/>
      <c r="BC514" s="3"/>
      <c r="BD514" s="3"/>
      <c r="BE514" s="3"/>
      <c r="BF514" s="3"/>
      <c r="BG514" s="3"/>
      <c r="BH514" s="3"/>
      <c r="BI514" s="3"/>
      <c r="BJ514" s="3"/>
      <c r="BK514" s="3"/>
      <c r="BL514" s="3"/>
      <c r="BM514" s="3"/>
      <c r="BN514" s="3"/>
    </row>
    <row r="515" spans="2:66" ht="12.95" customHeight="1">
      <c r="B515" s="1461"/>
      <c r="C515" s="1462"/>
      <c r="D515" s="1462"/>
      <c r="E515" s="1462"/>
      <c r="F515" s="1462"/>
      <c r="G515" s="1462"/>
      <c r="H515" s="1463"/>
      <c r="I515" s="3" t="s">
        <v>413</v>
      </c>
      <c r="AC515" s="1371">
        <v>10</v>
      </c>
      <c r="AD515" s="1372"/>
      <c r="AE515" s="1372"/>
      <c r="AF515" s="1372"/>
      <c r="AG515" s="13" t="s">
        <v>403</v>
      </c>
      <c r="AH515" s="1384">
        <v>2026</v>
      </c>
      <c r="AI515" s="1384"/>
      <c r="AJ515" s="1384"/>
      <c r="AK515" s="1385"/>
      <c r="AZ515" s="3"/>
      <c r="BA515" s="3"/>
      <c r="BB515" s="3"/>
      <c r="BC515" s="3"/>
      <c r="BD515" s="3"/>
      <c r="BE515" s="3"/>
      <c r="BF515" s="3"/>
      <c r="BG515" s="3"/>
      <c r="BH515" s="3"/>
      <c r="BI515" s="3"/>
      <c r="BJ515" s="3"/>
      <c r="BK515" s="3"/>
      <c r="BL515" s="3"/>
      <c r="BM515" s="3"/>
      <c r="BN515" s="3"/>
    </row>
    <row r="516" spans="2:66" ht="12.95" customHeight="1">
      <c r="B516" s="1461"/>
      <c r="C516" s="1462"/>
      <c r="D516" s="1462"/>
      <c r="E516" s="1462"/>
      <c r="F516" s="1462"/>
      <c r="G516" s="1462"/>
      <c r="H516" s="1463"/>
      <c r="I516" s="892" t="s">
        <v>170</v>
      </c>
      <c r="J516" s="48"/>
      <c r="K516" s="48"/>
      <c r="L516" s="1762" t="s">
        <v>334</v>
      </c>
      <c r="M516" s="1763"/>
      <c r="N516" s="1763"/>
      <c r="O516" s="1763"/>
      <c r="P516" s="1763"/>
      <c r="Q516" s="1763"/>
      <c r="R516" s="1763"/>
      <c r="S516" s="1763"/>
      <c r="T516" s="1763"/>
      <c r="U516" s="1763"/>
      <c r="V516" s="1763"/>
      <c r="W516" s="1763"/>
      <c r="X516" s="1763"/>
      <c r="Y516" s="1763"/>
      <c r="Z516" s="1763"/>
      <c r="AA516" s="1763"/>
      <c r="AB516" s="1855"/>
      <c r="AC516" s="1531" t="s">
        <v>591</v>
      </c>
      <c r="AD516" s="1532"/>
      <c r="AE516" s="1532"/>
      <c r="AF516" s="1532"/>
      <c r="AG516" s="38" t="s">
        <v>403</v>
      </c>
      <c r="AH516" s="1384"/>
      <c r="AI516" s="1384"/>
      <c r="AJ516" s="1384"/>
      <c r="AK516" s="1385"/>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768" t="s">
        <v>1184</v>
      </c>
      <c r="AD517" s="1768"/>
      <c r="AE517" s="1768"/>
      <c r="AF517" s="1768"/>
      <c r="AG517" s="13"/>
      <c r="AH517" s="1349"/>
      <c r="AI517" s="1349"/>
      <c r="AJ517" s="1349"/>
      <c r="AK517" s="1840"/>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71"/>
      <c r="AD518" s="1372"/>
      <c r="AE518" s="1372"/>
      <c r="AF518" s="1373"/>
      <c r="AG518" s="13"/>
      <c r="AH518" s="1349"/>
      <c r="AI518" s="1349"/>
      <c r="AJ518" s="1349"/>
      <c r="AK518" s="1840"/>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42"/>
      <c r="AD520" s="1843"/>
      <c r="AE520" s="1843"/>
      <c r="AF520" s="1844"/>
      <c r="AG520" s="38"/>
      <c r="AH520" s="1760"/>
      <c r="AI520" s="1760"/>
      <c r="AJ520" s="1760"/>
      <c r="AK520" s="1761"/>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5" t="s">
        <v>402</v>
      </c>
      <c r="AD521" s="1670"/>
      <c r="AE521" s="1670"/>
      <c r="AF521" s="1670"/>
      <c r="AG521" s="38" t="s">
        <v>403</v>
      </c>
      <c r="AH521" s="1670" t="s">
        <v>404</v>
      </c>
      <c r="AI521" s="1670"/>
      <c r="AJ521" s="1670"/>
      <c r="AK521" s="1859"/>
      <c r="AZ521" s="3"/>
      <c r="BA521" s="3"/>
      <c r="BB521" s="3"/>
      <c r="BC521" s="3"/>
      <c r="BD521" s="3"/>
      <c r="BE521" s="3"/>
      <c r="BF521" s="3"/>
      <c r="BG521" s="3"/>
      <c r="BH521" s="3"/>
      <c r="BI521" s="3"/>
      <c r="BJ521" s="3"/>
      <c r="BK521" s="3"/>
      <c r="BL521" s="3"/>
      <c r="BM521" s="3"/>
      <c r="BN521" s="3" t="s">
        <v>2061</v>
      </c>
    </row>
    <row r="522" spans="2:66" ht="12.95" customHeight="1">
      <c r="B522" s="1458" t="s">
        <v>414</v>
      </c>
      <c r="C522" s="1459"/>
      <c r="D522" s="1459"/>
      <c r="E522" s="1459"/>
      <c r="F522" s="1459"/>
      <c r="G522" s="1459"/>
      <c r="H522" s="1460"/>
      <c r="I522" s="42" t="s">
        <v>415</v>
      </c>
      <c r="J522" s="42"/>
      <c r="K522" s="42"/>
      <c r="L522" s="42"/>
      <c r="M522" s="42"/>
      <c r="N522" s="42"/>
      <c r="O522" s="42"/>
      <c r="P522" s="42"/>
      <c r="Q522" s="42"/>
      <c r="R522" s="42"/>
      <c r="S522" s="42"/>
      <c r="T522" s="42"/>
      <c r="U522" s="42"/>
      <c r="V522" s="42"/>
      <c r="W522" s="42"/>
      <c r="AC522" s="1531">
        <v>1</v>
      </c>
      <c r="AD522" s="1532"/>
      <c r="AE522" s="1532"/>
      <c r="AF522" s="1532"/>
      <c r="AG522" s="13" t="s">
        <v>403</v>
      </c>
      <c r="AH522" s="1384">
        <v>2026</v>
      </c>
      <c r="AI522" s="1384"/>
      <c r="AJ522" s="1384"/>
      <c r="AK522" s="1385"/>
      <c r="AZ522" s="3"/>
      <c r="BA522" s="3"/>
      <c r="BB522" s="3"/>
      <c r="BC522" s="3"/>
      <c r="BD522" s="3"/>
      <c r="BE522" s="3"/>
      <c r="BF522" s="3"/>
      <c r="BG522" s="3"/>
      <c r="BH522" s="3"/>
      <c r="BI522" s="3"/>
      <c r="BJ522" s="3"/>
      <c r="BK522" s="3"/>
      <c r="BL522" s="3"/>
      <c r="BM522" s="3"/>
      <c r="BN522" s="3" t="s">
        <v>2062</v>
      </c>
    </row>
    <row r="523" spans="2:66" ht="12.95" customHeight="1">
      <c r="B523" s="1461"/>
      <c r="C523" s="1462"/>
      <c r="D523" s="1462"/>
      <c r="E523" s="1462"/>
      <c r="F523" s="1462"/>
      <c r="G523" s="1462"/>
      <c r="H523" s="1463"/>
      <c r="I523" t="s">
        <v>416</v>
      </c>
      <c r="AC523" s="1531">
        <v>1</v>
      </c>
      <c r="AD523" s="1532"/>
      <c r="AE523" s="1532"/>
      <c r="AF523" s="1532"/>
      <c r="AG523" s="13" t="s">
        <v>403</v>
      </c>
      <c r="AH523" s="1384">
        <v>2026</v>
      </c>
      <c r="AI523" s="1384"/>
      <c r="AJ523" s="1384"/>
      <c r="AK523" s="1385"/>
      <c r="AZ523" s="3"/>
      <c r="BA523" s="3"/>
      <c r="BB523" s="3"/>
      <c r="BC523" s="3"/>
      <c r="BD523" s="3"/>
      <c r="BE523" s="3"/>
      <c r="BF523" s="3"/>
      <c r="BG523" s="3"/>
      <c r="BH523" s="3"/>
      <c r="BI523" s="3"/>
      <c r="BJ523" s="3"/>
      <c r="BK523" s="3"/>
      <c r="BL523" s="3"/>
      <c r="BM523" s="3"/>
      <c r="BN523" s="3" t="s">
        <v>2063</v>
      </c>
    </row>
    <row r="524" spans="2:66" ht="12.95" customHeight="1">
      <c r="B524" s="1461"/>
      <c r="C524" s="1462"/>
      <c r="D524" s="1462"/>
      <c r="E524" s="1462"/>
      <c r="F524" s="1462"/>
      <c r="G524" s="1462"/>
      <c r="H524" s="1463"/>
      <c r="I524" s="48" t="s">
        <v>417</v>
      </c>
      <c r="J524" s="48"/>
      <c r="K524" s="48"/>
      <c r="L524" s="48"/>
      <c r="M524" s="48"/>
      <c r="N524" s="48"/>
      <c r="O524" s="48"/>
      <c r="P524" s="48"/>
      <c r="Q524" s="48"/>
      <c r="R524" s="48"/>
      <c r="S524" s="48"/>
      <c r="T524" s="48"/>
      <c r="U524" s="48"/>
      <c r="V524" s="48"/>
      <c r="W524" s="48"/>
      <c r="X524" s="48"/>
      <c r="Y524" s="48"/>
      <c r="Z524" s="48"/>
      <c r="AA524" s="48"/>
      <c r="AB524" s="48"/>
      <c r="AC524" s="1531">
        <v>11</v>
      </c>
      <c r="AD524" s="1532"/>
      <c r="AE524" s="1532"/>
      <c r="AF524" s="1532"/>
      <c r="AG524" s="38" t="s">
        <v>403</v>
      </c>
      <c r="AH524" s="1384">
        <v>2026</v>
      </c>
      <c r="AI524" s="1384"/>
      <c r="AJ524" s="1384"/>
      <c r="AK524" s="1385"/>
      <c r="AZ524" s="3"/>
      <c r="BA524" s="3"/>
      <c r="BB524" s="3"/>
      <c r="BC524" s="3"/>
      <c r="BD524" s="3"/>
      <c r="BE524" s="3"/>
      <c r="BF524" s="3"/>
      <c r="BG524" s="3"/>
      <c r="BH524" s="3"/>
      <c r="BI524" s="3"/>
      <c r="BJ524" s="3"/>
      <c r="BK524" s="3"/>
      <c r="BL524" s="3"/>
      <c r="BM524" s="3"/>
      <c r="BN524" s="3" t="s">
        <v>2064</v>
      </c>
    </row>
    <row r="525" spans="2:66" ht="12.95" customHeight="1">
      <c r="B525" s="1458" t="s">
        <v>418</v>
      </c>
      <c r="C525" s="1459"/>
      <c r="D525" s="1459"/>
      <c r="E525" s="1459"/>
      <c r="F525" s="1459"/>
      <c r="G525" s="1459"/>
      <c r="H525" s="1460"/>
      <c r="I525" s="42" t="s">
        <v>415</v>
      </c>
      <c r="J525" s="42"/>
      <c r="K525" s="42"/>
      <c r="L525" s="42"/>
      <c r="M525" s="42"/>
      <c r="N525" s="42"/>
      <c r="O525" s="42"/>
      <c r="P525" s="42"/>
      <c r="Q525" s="42"/>
      <c r="R525" s="42"/>
      <c r="S525" s="42"/>
      <c r="T525" s="42"/>
      <c r="U525" s="42"/>
      <c r="V525" s="42"/>
      <c r="W525" s="42"/>
      <c r="X525" s="42"/>
      <c r="Y525" s="42"/>
      <c r="Z525" s="42"/>
      <c r="AA525" s="42"/>
      <c r="AB525" s="42"/>
      <c r="AC525" s="1371">
        <v>1</v>
      </c>
      <c r="AD525" s="1372"/>
      <c r="AE525" s="1372"/>
      <c r="AF525" s="1372"/>
      <c r="AG525" s="129" t="s">
        <v>403</v>
      </c>
      <c r="AH525" s="1384">
        <v>2026</v>
      </c>
      <c r="AI525" s="1384"/>
      <c r="AJ525" s="1384"/>
      <c r="AK525" s="1385"/>
      <c r="AZ525" s="3"/>
      <c r="BB525" s="3"/>
      <c r="BC525" s="3"/>
      <c r="BD525" s="3"/>
      <c r="BE525" s="3"/>
      <c r="BF525" s="3"/>
      <c r="BG525" s="3"/>
      <c r="BH525" s="3"/>
      <c r="BI525" s="3"/>
      <c r="BJ525" s="3"/>
      <c r="BK525" s="3"/>
      <c r="BL525" s="3"/>
      <c r="BM525" s="3"/>
      <c r="BN525" s="3" t="s">
        <v>2065</v>
      </c>
    </row>
    <row r="526" spans="2:66" ht="12.95" customHeight="1">
      <c r="B526" s="1461"/>
      <c r="C526" s="1462"/>
      <c r="D526" s="1462"/>
      <c r="E526" s="1462"/>
      <c r="F526" s="1462"/>
      <c r="G526" s="1462"/>
      <c r="H526" s="1463"/>
      <c r="I526" t="s">
        <v>416</v>
      </c>
      <c r="AC526" s="1531">
        <v>1</v>
      </c>
      <c r="AD526" s="1532"/>
      <c r="AE526" s="1532"/>
      <c r="AF526" s="1532"/>
      <c r="AG526" s="13" t="s">
        <v>403</v>
      </c>
      <c r="AH526" s="1384">
        <v>2026</v>
      </c>
      <c r="AI526" s="1384"/>
      <c r="AJ526" s="1384"/>
      <c r="AK526" s="1385"/>
      <c r="BB526" s="3"/>
      <c r="BC526" s="3"/>
      <c r="BD526" s="3"/>
      <c r="BE526" s="3"/>
      <c r="BF526" s="3"/>
      <c r="BG526" s="3"/>
      <c r="BH526" s="3"/>
      <c r="BI526" s="3"/>
      <c r="BJ526" s="3"/>
      <c r="BK526" s="3"/>
      <c r="BL526" s="3"/>
      <c r="BM526" s="3"/>
      <c r="BN526" s="3" t="s">
        <v>2066</v>
      </c>
    </row>
    <row r="527" spans="2:66" ht="12.95" customHeight="1">
      <c r="B527" s="1464"/>
      <c r="C527" s="1465"/>
      <c r="D527" s="1465"/>
      <c r="E527" s="1465"/>
      <c r="F527" s="1465"/>
      <c r="G527" s="1465"/>
      <c r="H527" s="1466"/>
      <c r="I527" s="48" t="s">
        <v>417</v>
      </c>
      <c r="J527" s="48"/>
      <c r="K527" s="48"/>
      <c r="L527" s="48"/>
      <c r="M527" s="48"/>
      <c r="N527" s="48"/>
      <c r="O527" s="48"/>
      <c r="P527" s="48"/>
      <c r="Q527" s="48"/>
      <c r="R527" s="48"/>
      <c r="S527" s="48"/>
      <c r="T527" s="48"/>
      <c r="U527" s="48"/>
      <c r="V527" s="48"/>
      <c r="W527" s="48"/>
      <c r="X527" s="48"/>
      <c r="Y527" s="48"/>
      <c r="Z527" s="48"/>
      <c r="AA527" s="48"/>
      <c r="AB527" s="48"/>
      <c r="AC527" s="1531">
        <v>2</v>
      </c>
      <c r="AD527" s="1532"/>
      <c r="AE527" s="1532"/>
      <c r="AF527" s="1532"/>
      <c r="AG527" s="38" t="s">
        <v>403</v>
      </c>
      <c r="AH527" s="1384">
        <v>2030</v>
      </c>
      <c r="AI527" s="1384"/>
      <c r="AJ527" s="1384"/>
      <c r="AK527" s="1385"/>
      <c r="BB527" s="3"/>
      <c r="BC527" s="3"/>
      <c r="BD527" s="3"/>
      <c r="BE527" s="3"/>
      <c r="BF527" s="3"/>
      <c r="BG527" s="3"/>
      <c r="BH527" s="3"/>
      <c r="BI527" s="3"/>
      <c r="BJ527" s="3"/>
      <c r="BK527" s="3"/>
      <c r="BL527" s="3"/>
      <c r="BM527" s="3"/>
      <c r="BN527" s="3" t="s">
        <v>2067</v>
      </c>
    </row>
    <row r="528" spans="2:66" ht="12.95" customHeight="1">
      <c r="B528" s="1458" t="s">
        <v>419</v>
      </c>
      <c r="C528" s="1459"/>
      <c r="D528" s="1459"/>
      <c r="E528" s="1459"/>
      <c r="F528" s="1459"/>
      <c r="G528" s="1459"/>
      <c r="H528" s="1460"/>
      <c r="I528" s="41" t="s">
        <v>420</v>
      </c>
      <c r="J528" s="42"/>
      <c r="K528" s="42"/>
      <c r="L528" s="42"/>
      <c r="M528" s="42"/>
      <c r="N528" s="42"/>
      <c r="O528" s="1762" t="s">
        <v>2741</v>
      </c>
      <c r="P528" s="1763"/>
      <c r="Q528" s="1763"/>
      <c r="R528" s="1763"/>
      <c r="S528" s="1763"/>
      <c r="T528" s="1763"/>
      <c r="U528" s="1763"/>
      <c r="V528" s="1763"/>
      <c r="W528" s="1763"/>
      <c r="X528" s="1763"/>
      <c r="Y528" s="1763"/>
      <c r="Z528" s="1763"/>
      <c r="AA528" s="1763"/>
      <c r="AB528" s="58"/>
      <c r="AC528" s="1371" t="s">
        <v>591</v>
      </c>
      <c r="AD528" s="1372"/>
      <c r="AE528" s="1372"/>
      <c r="AF528" s="1372"/>
      <c r="AG528" s="129" t="s">
        <v>403</v>
      </c>
      <c r="AH528" s="1384"/>
      <c r="AI528" s="1384"/>
      <c r="AJ528" s="1384"/>
      <c r="AK528" s="1385"/>
      <c r="AZ528" s="3"/>
      <c r="BB528" s="3"/>
      <c r="BC528" s="3"/>
      <c r="BD528" s="3"/>
      <c r="BE528" s="3"/>
      <c r="BF528" s="3"/>
      <c r="BG528" s="3"/>
      <c r="BH528" s="3"/>
      <c r="BI528" s="3"/>
      <c r="BJ528" s="3"/>
      <c r="BK528" s="3"/>
      <c r="BL528" s="3"/>
      <c r="BM528" s="3"/>
      <c r="BN528" s="3" t="s">
        <v>2068</v>
      </c>
    </row>
    <row r="529" spans="2:66" ht="12.95" customHeight="1">
      <c r="B529" s="1461"/>
      <c r="C529" s="1462"/>
      <c r="D529" s="1462"/>
      <c r="E529" s="1462"/>
      <c r="F529" s="1462"/>
      <c r="G529" s="1462"/>
      <c r="H529" s="1463"/>
      <c r="I529" s="114" t="s">
        <v>421</v>
      </c>
      <c r="AB529" s="65"/>
      <c r="AC529" s="1531">
        <v>3</v>
      </c>
      <c r="AD529" s="1532"/>
      <c r="AE529" s="1532"/>
      <c r="AF529" s="1532"/>
      <c r="AG529" s="13" t="s">
        <v>403</v>
      </c>
      <c r="AH529" s="1384">
        <v>2024</v>
      </c>
      <c r="AI529" s="1384"/>
      <c r="AJ529" s="1384"/>
      <c r="AK529" s="1385"/>
      <c r="AZ529" s="3"/>
      <c r="BB529" s="3"/>
      <c r="BC529" s="3"/>
      <c r="BD529" s="3"/>
      <c r="BE529" s="3"/>
      <c r="BF529" s="3"/>
      <c r="BG529" s="3"/>
      <c r="BH529" s="3"/>
      <c r="BI529" s="3"/>
      <c r="BJ529" s="3"/>
      <c r="BK529" s="3"/>
      <c r="BL529" s="3"/>
      <c r="BM529" s="3"/>
      <c r="BN529" s="3" t="s">
        <v>2069</v>
      </c>
    </row>
    <row r="530" spans="2:66" ht="12.95" customHeight="1">
      <c r="B530" s="1461"/>
      <c r="C530" s="1462"/>
      <c r="D530" s="1462"/>
      <c r="E530" s="1462"/>
      <c r="F530" s="1462"/>
      <c r="G530" s="1462"/>
      <c r="H530" s="1463"/>
      <c r="I530" s="47" t="s">
        <v>422</v>
      </c>
      <c r="J530" s="48"/>
      <c r="K530" s="48"/>
      <c r="L530" s="48"/>
      <c r="M530" s="48"/>
      <c r="N530" s="48"/>
      <c r="O530" s="48"/>
      <c r="P530" s="48"/>
      <c r="Q530" s="48"/>
      <c r="R530" s="48"/>
      <c r="S530" s="48"/>
      <c r="T530" s="48"/>
      <c r="U530" s="48"/>
      <c r="V530" s="48"/>
      <c r="W530" s="48"/>
      <c r="X530" s="48"/>
      <c r="Y530" s="48"/>
      <c r="Z530" s="48"/>
      <c r="AA530" s="48"/>
      <c r="AB530" s="49"/>
      <c r="AC530" s="1531">
        <v>2</v>
      </c>
      <c r="AD530" s="1532"/>
      <c r="AE530" s="1532"/>
      <c r="AF530" s="1532"/>
      <c r="AG530" s="38" t="s">
        <v>403</v>
      </c>
      <c r="AH530" s="1384">
        <v>2025</v>
      </c>
      <c r="AI530" s="1384"/>
      <c r="AJ530" s="1384"/>
      <c r="AK530" s="1385"/>
      <c r="AZ530" s="3"/>
      <c r="BA530" s="3"/>
      <c r="BB530" s="3"/>
      <c r="BC530" s="3"/>
      <c r="BD530" s="3"/>
      <c r="BE530" s="3"/>
      <c r="BF530" s="3"/>
      <c r="BG530" s="3"/>
      <c r="BH530" s="3"/>
      <c r="BI530" s="3"/>
      <c r="BJ530" s="3"/>
      <c r="BK530" s="3"/>
      <c r="BL530" s="3"/>
      <c r="BM530" s="3"/>
      <c r="BN530" s="3" t="s">
        <v>2070</v>
      </c>
    </row>
    <row r="531" spans="2:66" ht="12.95" customHeight="1">
      <c r="B531" s="1461"/>
      <c r="C531" s="1462"/>
      <c r="D531" s="1462"/>
      <c r="E531" s="1462"/>
      <c r="F531" s="1462"/>
      <c r="G531" s="1462"/>
      <c r="H531" s="1463"/>
      <c r="I531" s="42" t="s">
        <v>423</v>
      </c>
      <c r="J531" s="42"/>
      <c r="K531" s="42"/>
      <c r="L531" s="42"/>
      <c r="M531" s="42"/>
      <c r="N531" s="42"/>
      <c r="O531" s="1762" t="s">
        <v>334</v>
      </c>
      <c r="P531" s="1763"/>
      <c r="Q531" s="1763"/>
      <c r="R531" s="1763"/>
      <c r="S531" s="1763"/>
      <c r="T531" s="1763"/>
      <c r="U531" s="1763"/>
      <c r="V531" s="1763"/>
      <c r="W531" s="1763"/>
      <c r="X531" s="1763"/>
      <c r="Y531" s="1763"/>
      <c r="Z531" s="1763"/>
      <c r="AA531" s="1763"/>
      <c r="AC531" s="1531" t="s">
        <v>591</v>
      </c>
      <c r="AD531" s="1532"/>
      <c r="AE531" s="1532"/>
      <c r="AF531" s="1532"/>
      <c r="AG531" s="13" t="s">
        <v>403</v>
      </c>
      <c r="AH531" s="1384"/>
      <c r="AI531" s="1384"/>
      <c r="AJ531" s="1384"/>
      <c r="AK531" s="1385"/>
      <c r="AZ531" s="3"/>
      <c r="BA531" s="3"/>
      <c r="BB531" s="3"/>
      <c r="BC531" s="3"/>
      <c r="BD531" s="3"/>
      <c r="BE531" s="3"/>
      <c r="BF531" s="3"/>
      <c r="BG531" s="3"/>
      <c r="BH531" s="3"/>
      <c r="BI531" s="3"/>
      <c r="BJ531" s="3"/>
      <c r="BK531" s="3"/>
      <c r="BL531" s="3"/>
      <c r="BM531" s="3"/>
      <c r="BN531" s="3" t="s">
        <v>2071</v>
      </c>
    </row>
    <row r="532" spans="2:66" ht="12.95" customHeight="1">
      <c r="B532" s="1461"/>
      <c r="C532" s="1462"/>
      <c r="D532" s="1462"/>
      <c r="E532" s="1462"/>
      <c r="F532" s="1462"/>
      <c r="G532" s="1462"/>
      <c r="H532" s="1463"/>
      <c r="I532" t="s">
        <v>421</v>
      </c>
      <c r="AC532" s="1531" t="s">
        <v>591</v>
      </c>
      <c r="AD532" s="1532"/>
      <c r="AE532" s="1532"/>
      <c r="AF532" s="1532"/>
      <c r="AG532" s="13" t="s">
        <v>403</v>
      </c>
      <c r="AH532" s="1384"/>
      <c r="AI532" s="1384"/>
      <c r="AJ532" s="1384"/>
      <c r="AK532" s="1385"/>
      <c r="AZ532" s="3"/>
      <c r="BA532" s="3"/>
      <c r="BB532" s="3"/>
      <c r="BC532" s="3"/>
      <c r="BD532" s="3"/>
      <c r="BE532" s="3"/>
      <c r="BF532" s="3"/>
      <c r="BG532" s="3"/>
      <c r="BH532" s="3"/>
      <c r="BI532" s="3"/>
      <c r="BJ532" s="3"/>
      <c r="BK532" s="3"/>
      <c r="BL532" s="3"/>
      <c r="BM532" s="3"/>
      <c r="BN532" s="3" t="s">
        <v>2072</v>
      </c>
    </row>
    <row r="533" spans="2:66" ht="12.95" customHeight="1">
      <c r="B533" s="1461"/>
      <c r="C533" s="1462"/>
      <c r="D533" s="1462"/>
      <c r="E533" s="1462"/>
      <c r="F533" s="1462"/>
      <c r="G533" s="1462"/>
      <c r="H533" s="1463"/>
      <c r="I533" s="48" t="s">
        <v>422</v>
      </c>
      <c r="J533" s="48"/>
      <c r="K533" s="48"/>
      <c r="L533" s="48"/>
      <c r="M533" s="48"/>
      <c r="N533" s="48"/>
      <c r="O533" s="48"/>
      <c r="P533" s="48"/>
      <c r="Q533" s="48"/>
      <c r="R533" s="48"/>
      <c r="S533" s="48"/>
      <c r="T533" s="48"/>
      <c r="U533" s="48"/>
      <c r="V533" s="48"/>
      <c r="W533" s="48"/>
      <c r="X533" s="48"/>
      <c r="Y533" s="48"/>
      <c r="Z533" s="48"/>
      <c r="AA533" s="48"/>
      <c r="AB533" s="48"/>
      <c r="AC533" s="1531" t="s">
        <v>591</v>
      </c>
      <c r="AD533" s="1532"/>
      <c r="AE533" s="1532"/>
      <c r="AF533" s="1532"/>
      <c r="AG533" s="38" t="s">
        <v>403</v>
      </c>
      <c r="AH533" s="1384"/>
      <c r="AI533" s="1384"/>
      <c r="AJ533" s="1384"/>
      <c r="AK533" s="1385"/>
      <c r="AZ533" s="3"/>
      <c r="BA533" s="3"/>
      <c r="BB533" s="3"/>
      <c r="BC533" s="3"/>
      <c r="BD533" s="3"/>
      <c r="BE533" s="3"/>
      <c r="BF533" s="3"/>
      <c r="BG533" s="3"/>
      <c r="BH533" s="3"/>
      <c r="BI533" s="3"/>
      <c r="BJ533" s="3"/>
      <c r="BK533" s="3"/>
      <c r="BL533" s="3"/>
      <c r="BM533" s="3"/>
      <c r="BN533" s="3" t="s">
        <v>2073</v>
      </c>
    </row>
    <row r="534" spans="2:66" ht="12.95" customHeight="1">
      <c r="B534" s="1461"/>
      <c r="C534" s="1462"/>
      <c r="D534" s="1462"/>
      <c r="E534" s="1462"/>
      <c r="F534" s="1462"/>
      <c r="G534" s="1462"/>
      <c r="H534" s="1463"/>
      <c r="I534" s="42" t="s">
        <v>423</v>
      </c>
      <c r="J534" s="42"/>
      <c r="K534" s="42"/>
      <c r="L534" s="42"/>
      <c r="M534" s="42"/>
      <c r="N534" s="42"/>
      <c r="O534" s="1762" t="s">
        <v>334</v>
      </c>
      <c r="P534" s="1763"/>
      <c r="Q534" s="1763"/>
      <c r="R534" s="1763"/>
      <c r="S534" s="1763"/>
      <c r="T534" s="1763"/>
      <c r="U534" s="1763"/>
      <c r="V534" s="1763"/>
      <c r="W534" s="1763"/>
      <c r="X534" s="1763"/>
      <c r="Y534" s="1763"/>
      <c r="Z534" s="1763"/>
      <c r="AA534" s="1763"/>
      <c r="AC534" s="1531" t="s">
        <v>591</v>
      </c>
      <c r="AD534" s="1532"/>
      <c r="AE534" s="1532"/>
      <c r="AF534" s="1532"/>
      <c r="AG534" s="13" t="s">
        <v>403</v>
      </c>
      <c r="AH534" s="1384"/>
      <c r="AI534" s="1384"/>
      <c r="AJ534" s="1384"/>
      <c r="AK534" s="1385"/>
      <c r="AZ534" s="3"/>
      <c r="BA534" s="3"/>
      <c r="BB534" s="3"/>
      <c r="BC534" s="3"/>
      <c r="BD534" s="3"/>
      <c r="BE534" s="3"/>
      <c r="BF534" s="3"/>
      <c r="BG534" s="3"/>
      <c r="BH534" s="3"/>
      <c r="BI534" s="3"/>
      <c r="BJ534" s="3"/>
      <c r="BK534" s="3"/>
      <c r="BL534" s="3"/>
      <c r="BM534" s="3"/>
      <c r="BN534" s="3" t="s">
        <v>2074</v>
      </c>
    </row>
    <row r="535" spans="2:66" ht="12.95" customHeight="1">
      <c r="B535" s="1461"/>
      <c r="C535" s="1462"/>
      <c r="D535" s="1462"/>
      <c r="E535" s="1462"/>
      <c r="F535" s="1462"/>
      <c r="G535" s="1462"/>
      <c r="H535" s="1463"/>
      <c r="I535" t="s">
        <v>421</v>
      </c>
      <c r="AC535" s="1531" t="s">
        <v>591</v>
      </c>
      <c r="AD535" s="1532"/>
      <c r="AE535" s="1532"/>
      <c r="AF535" s="1532"/>
      <c r="AG535" s="13" t="s">
        <v>403</v>
      </c>
      <c r="AH535" s="1384"/>
      <c r="AI535" s="1384"/>
      <c r="AJ535" s="1384"/>
      <c r="AK535" s="1385"/>
      <c r="AZ535" s="3"/>
      <c r="BA535" s="3"/>
      <c r="BB535" s="3"/>
      <c r="BC535" s="3"/>
      <c r="BD535" s="3"/>
      <c r="BE535" s="3"/>
      <c r="BF535" s="3"/>
      <c r="BG535" s="3"/>
      <c r="BH535" s="3"/>
      <c r="BI535" s="3"/>
      <c r="BJ535" s="3"/>
      <c r="BK535" s="3"/>
      <c r="BL535" s="3"/>
      <c r="BM535" s="3"/>
      <c r="BN535" s="3" t="s">
        <v>2075</v>
      </c>
    </row>
    <row r="536" spans="2:66" ht="12.95" customHeight="1">
      <c r="B536" s="1461"/>
      <c r="C536" s="1462"/>
      <c r="D536" s="1462"/>
      <c r="E536" s="1462"/>
      <c r="F536" s="1462"/>
      <c r="G536" s="1462"/>
      <c r="H536" s="1463"/>
      <c r="I536" s="48" t="s">
        <v>422</v>
      </c>
      <c r="J536" s="48"/>
      <c r="K536" s="48"/>
      <c r="L536" s="48"/>
      <c r="M536" s="48"/>
      <c r="N536" s="48"/>
      <c r="O536" s="48"/>
      <c r="P536" s="48"/>
      <c r="Q536" s="48"/>
      <c r="R536" s="48"/>
      <c r="S536" s="48"/>
      <c r="T536" s="48"/>
      <c r="U536" s="48"/>
      <c r="V536" s="48"/>
      <c r="W536" s="48"/>
      <c r="X536" s="48"/>
      <c r="Y536" s="48"/>
      <c r="Z536" s="48"/>
      <c r="AA536" s="48"/>
      <c r="AB536" s="48"/>
      <c r="AC536" s="1531" t="s">
        <v>591</v>
      </c>
      <c r="AD536" s="1532"/>
      <c r="AE536" s="1532"/>
      <c r="AF536" s="1532"/>
      <c r="AG536" s="38" t="s">
        <v>403</v>
      </c>
      <c r="AH536" s="1384"/>
      <c r="AI536" s="1384"/>
      <c r="AJ536" s="1384"/>
      <c r="AK536" s="1385"/>
      <c r="AZ536" s="3"/>
      <c r="BA536" s="3"/>
      <c r="BB536" s="3"/>
      <c r="BC536" s="3"/>
      <c r="BD536" s="3"/>
      <c r="BE536" s="3"/>
      <c r="BF536" s="3"/>
      <c r="BG536" s="3"/>
      <c r="BH536" s="3"/>
      <c r="BI536" s="3"/>
      <c r="BJ536" s="3"/>
      <c r="BK536" s="3"/>
      <c r="BL536" s="3"/>
      <c r="BM536" s="3"/>
      <c r="BN536" s="3" t="s">
        <v>2076</v>
      </c>
    </row>
    <row r="537" spans="2:66" ht="12.95" customHeight="1">
      <c r="B537" s="1461"/>
      <c r="C537" s="1462"/>
      <c r="D537" s="1462"/>
      <c r="E537" s="1462"/>
      <c r="F537" s="1462"/>
      <c r="G537" s="1462"/>
      <c r="H537" s="1463"/>
      <c r="I537" s="42" t="s">
        <v>423</v>
      </c>
      <c r="J537" s="42"/>
      <c r="K537" s="42"/>
      <c r="L537" s="42"/>
      <c r="M537" s="42"/>
      <c r="N537" s="42"/>
      <c r="O537" s="1762" t="s">
        <v>334</v>
      </c>
      <c r="P537" s="1763"/>
      <c r="Q537" s="1763"/>
      <c r="R537" s="1763"/>
      <c r="S537" s="1763"/>
      <c r="T537" s="1763"/>
      <c r="U537" s="1763"/>
      <c r="V537" s="1763"/>
      <c r="W537" s="1763"/>
      <c r="X537" s="1763"/>
      <c r="Y537" s="1763"/>
      <c r="Z537" s="1763"/>
      <c r="AA537" s="1763"/>
      <c r="AC537" s="1531" t="s">
        <v>591</v>
      </c>
      <c r="AD537" s="1532"/>
      <c r="AE537" s="1532"/>
      <c r="AF537" s="1532"/>
      <c r="AG537" s="13" t="s">
        <v>403</v>
      </c>
      <c r="AH537" s="1384"/>
      <c r="AI537" s="1384"/>
      <c r="AJ537" s="1384"/>
      <c r="AK537" s="1385"/>
      <c r="AZ537" s="3"/>
      <c r="BA537" s="3"/>
      <c r="BB537" s="3"/>
      <c r="BC537" s="3"/>
      <c r="BD537" s="3"/>
      <c r="BE537" s="3"/>
      <c r="BF537" s="3"/>
      <c r="BG537" s="3"/>
      <c r="BH537" s="3"/>
      <c r="BI537" s="3"/>
      <c r="BJ537" s="3"/>
      <c r="BK537" s="3"/>
      <c r="BL537" s="3"/>
      <c r="BM537" s="3"/>
      <c r="BN537" s="3" t="s">
        <v>2077</v>
      </c>
    </row>
    <row r="538" spans="2:66" ht="12.95" customHeight="1">
      <c r="B538" s="1461"/>
      <c r="C538" s="1462"/>
      <c r="D538" s="1462"/>
      <c r="E538" s="1462"/>
      <c r="F538" s="1462"/>
      <c r="G538" s="1462"/>
      <c r="H538" s="1463"/>
      <c r="I538" t="s">
        <v>421</v>
      </c>
      <c r="AC538" s="1531" t="s">
        <v>591</v>
      </c>
      <c r="AD538" s="1532"/>
      <c r="AE538" s="1532"/>
      <c r="AF538" s="1532"/>
      <c r="AG538" s="13" t="s">
        <v>403</v>
      </c>
      <c r="AH538" s="1384"/>
      <c r="AI538" s="1384"/>
      <c r="AJ538" s="1384"/>
      <c r="AK538" s="1385"/>
      <c r="AZ538" s="3"/>
      <c r="BA538" s="3"/>
      <c r="BB538" s="3"/>
      <c r="BC538" s="3"/>
      <c r="BD538" s="3"/>
      <c r="BE538" s="3"/>
      <c r="BF538" s="3"/>
      <c r="BG538" s="3"/>
      <c r="BH538" s="3"/>
      <c r="BI538" s="3"/>
      <c r="BJ538" s="3"/>
      <c r="BK538" s="3"/>
      <c r="BL538" s="3"/>
      <c r="BM538" s="3"/>
      <c r="BN538" s="3" t="s">
        <v>2078</v>
      </c>
    </row>
    <row r="539" spans="2:66" ht="12.95" customHeight="1">
      <c r="B539" s="1461"/>
      <c r="C539" s="1462"/>
      <c r="D539" s="1462"/>
      <c r="E539" s="1462"/>
      <c r="F539" s="1462"/>
      <c r="G539" s="1462"/>
      <c r="H539" s="1463"/>
      <c r="I539" s="48" t="s">
        <v>422</v>
      </c>
      <c r="J539" s="48"/>
      <c r="K539" s="48"/>
      <c r="L539" s="48"/>
      <c r="M539" s="48"/>
      <c r="N539" s="48"/>
      <c r="O539" s="48"/>
      <c r="P539" s="48"/>
      <c r="Q539" s="48"/>
      <c r="R539" s="48"/>
      <c r="S539" s="48"/>
      <c r="T539" s="48"/>
      <c r="U539" s="48"/>
      <c r="V539" s="48"/>
      <c r="W539" s="48"/>
      <c r="X539" s="48"/>
      <c r="Y539" s="48"/>
      <c r="Z539" s="48"/>
      <c r="AA539" s="48"/>
      <c r="AB539" s="48"/>
      <c r="AC539" s="1531" t="s">
        <v>591</v>
      </c>
      <c r="AD539" s="1532"/>
      <c r="AE539" s="1532"/>
      <c r="AF539" s="1532"/>
      <c r="AG539" s="38" t="s">
        <v>403</v>
      </c>
      <c r="AH539" s="1384"/>
      <c r="AI539" s="1384"/>
      <c r="AJ539" s="1384"/>
      <c r="AK539" s="1385"/>
      <c r="AZ539" s="3"/>
      <c r="BA539" s="3"/>
      <c r="BB539" s="3"/>
      <c r="BC539" s="3"/>
      <c r="BD539" s="3"/>
      <c r="BE539" s="3"/>
      <c r="BF539" s="3"/>
      <c r="BG539" s="3"/>
      <c r="BH539" s="3"/>
      <c r="BI539" s="3"/>
      <c r="BJ539" s="3"/>
      <c r="BK539" s="3"/>
      <c r="BL539" s="3"/>
      <c r="BM539" s="3"/>
      <c r="BN539" s="3" t="s">
        <v>2079</v>
      </c>
    </row>
    <row r="540" spans="2:66" ht="12.95" customHeight="1">
      <c r="B540" s="1461"/>
      <c r="C540" s="1462"/>
      <c r="D540" s="1462"/>
      <c r="E540" s="1462"/>
      <c r="F540" s="1462"/>
      <c r="G540" s="1462"/>
      <c r="H540" s="1463"/>
      <c r="I540" s="42" t="s">
        <v>423</v>
      </c>
      <c r="J540" s="42"/>
      <c r="K540" s="42"/>
      <c r="L540" s="42"/>
      <c r="M540" s="42"/>
      <c r="N540" s="42"/>
      <c r="O540" s="1762" t="s">
        <v>334</v>
      </c>
      <c r="P540" s="1763"/>
      <c r="Q540" s="1763"/>
      <c r="R540" s="1763"/>
      <c r="S540" s="1763"/>
      <c r="T540" s="1763"/>
      <c r="U540" s="1763"/>
      <c r="V540" s="1763"/>
      <c r="W540" s="1763"/>
      <c r="X540" s="1763"/>
      <c r="Y540" s="1763"/>
      <c r="Z540" s="1763"/>
      <c r="AA540" s="1763"/>
      <c r="AC540" s="1531" t="s">
        <v>591</v>
      </c>
      <c r="AD540" s="1532"/>
      <c r="AE540" s="1532"/>
      <c r="AF540" s="1532"/>
      <c r="AG540" s="13" t="s">
        <v>403</v>
      </c>
      <c r="AH540" s="1384"/>
      <c r="AI540" s="1384"/>
      <c r="AJ540" s="1384"/>
      <c r="AK540" s="1385"/>
      <c r="AZ540" s="3"/>
      <c r="BA540" s="3"/>
      <c r="BB540" s="3"/>
      <c r="BC540" s="3"/>
      <c r="BD540" s="3"/>
      <c r="BE540" s="3"/>
      <c r="BF540" s="3"/>
      <c r="BG540" s="3"/>
      <c r="BH540" s="3"/>
      <c r="BI540" s="3"/>
      <c r="BJ540" s="3"/>
      <c r="BK540" s="3"/>
      <c r="BL540" s="3"/>
      <c r="BM540" s="3"/>
      <c r="BN540" s="3" t="s">
        <v>2080</v>
      </c>
    </row>
    <row r="541" spans="2:66" ht="12.95" customHeight="1">
      <c r="B541" s="1461"/>
      <c r="C541" s="1462"/>
      <c r="D541" s="1462"/>
      <c r="E541" s="1462"/>
      <c r="F541" s="1462"/>
      <c r="G541" s="1462"/>
      <c r="H541" s="1463"/>
      <c r="I541" t="s">
        <v>421</v>
      </c>
      <c r="AC541" s="1531" t="s">
        <v>591</v>
      </c>
      <c r="AD541" s="1532"/>
      <c r="AE541" s="1532"/>
      <c r="AF541" s="1532"/>
      <c r="AG541" s="38" t="s">
        <v>403</v>
      </c>
      <c r="AH541" s="1384"/>
      <c r="AI541" s="1384"/>
      <c r="AJ541" s="1384"/>
      <c r="AK541" s="1385"/>
      <c r="AZ541" s="3"/>
      <c r="BA541" s="3"/>
      <c r="BB541" s="3"/>
      <c r="BC541" s="3"/>
      <c r="BD541" s="3"/>
      <c r="BE541" s="3"/>
      <c r="BF541" s="3"/>
      <c r="BG541" s="3"/>
      <c r="BH541" s="3"/>
      <c r="BI541" s="3"/>
      <c r="BJ541" s="3"/>
      <c r="BK541" s="3"/>
      <c r="BL541" s="3"/>
      <c r="BM541" s="3"/>
      <c r="BN541" s="3" t="s">
        <v>2081</v>
      </c>
    </row>
    <row r="542" spans="2:66" ht="12.95" customHeight="1">
      <c r="B542" s="1461"/>
      <c r="C542" s="1462"/>
      <c r="D542" s="1462"/>
      <c r="E542" s="1462"/>
      <c r="F542" s="1462"/>
      <c r="G542" s="1462"/>
      <c r="H542" s="1463"/>
      <c r="I542" s="48" t="s">
        <v>422</v>
      </c>
      <c r="J542" s="48"/>
      <c r="K542" s="48"/>
      <c r="L542" s="48"/>
      <c r="M542" s="48"/>
      <c r="N542" s="48"/>
      <c r="O542" s="48"/>
      <c r="P542" s="48"/>
      <c r="Q542" s="48"/>
      <c r="R542" s="48"/>
      <c r="S542" s="48"/>
      <c r="T542" s="48"/>
      <c r="U542" s="48"/>
      <c r="V542" s="48"/>
      <c r="W542" s="48"/>
      <c r="X542" s="48"/>
      <c r="Y542" s="48"/>
      <c r="Z542" s="48"/>
      <c r="AA542" s="48"/>
      <c r="AB542" s="48"/>
      <c r="AC542" s="1531" t="s">
        <v>591</v>
      </c>
      <c r="AD542" s="1532"/>
      <c r="AE542" s="1532"/>
      <c r="AF542" s="1532"/>
      <c r="AG542" s="13" t="s">
        <v>403</v>
      </c>
      <c r="AH542" s="1384"/>
      <c r="AI542" s="1384"/>
      <c r="AJ542" s="1384"/>
      <c r="AK542" s="1385"/>
      <c r="AZ542" s="3"/>
      <c r="BA542" s="3"/>
      <c r="BB542" s="3"/>
      <c r="BC542" s="3"/>
      <c r="BD542" s="3"/>
      <c r="BE542" s="3"/>
      <c r="BF542" s="3"/>
      <c r="BG542" s="3"/>
      <c r="BH542" s="3"/>
      <c r="BI542" s="3"/>
      <c r="BJ542" s="3"/>
      <c r="BK542" s="3"/>
      <c r="BL542" s="3"/>
      <c r="BM542" s="3"/>
      <c r="BN542" s="3" t="s">
        <v>2082</v>
      </c>
    </row>
    <row r="543" spans="2:66" ht="12.95" customHeight="1">
      <c r="B543" s="1461"/>
      <c r="C543" s="1462"/>
      <c r="D543" s="1462"/>
      <c r="E543" s="1462"/>
      <c r="F543" s="1462"/>
      <c r="G543" s="1462"/>
      <c r="H543" s="1463"/>
      <c r="I543" s="42" t="s">
        <v>423</v>
      </c>
      <c r="J543" s="42"/>
      <c r="K543" s="42"/>
      <c r="L543" s="42"/>
      <c r="M543" s="42"/>
      <c r="N543" s="42"/>
      <c r="O543" s="1762" t="s">
        <v>334</v>
      </c>
      <c r="P543" s="1763"/>
      <c r="Q543" s="1763"/>
      <c r="R543" s="1763"/>
      <c r="S543" s="1763"/>
      <c r="T543" s="1763"/>
      <c r="U543" s="1763"/>
      <c r="V543" s="1763"/>
      <c r="W543" s="1763"/>
      <c r="X543" s="1763"/>
      <c r="Y543" s="1763"/>
      <c r="Z543" s="1763"/>
      <c r="AA543" s="1763"/>
      <c r="AC543" s="1531" t="s">
        <v>591</v>
      </c>
      <c r="AD543" s="1532"/>
      <c r="AE543" s="1532"/>
      <c r="AF543" s="1532"/>
      <c r="AG543" s="38" t="s">
        <v>403</v>
      </c>
      <c r="AH543" s="1384"/>
      <c r="AI543" s="1384"/>
      <c r="AJ543" s="1384"/>
      <c r="AK543" s="1385"/>
      <c r="AZ543" s="3"/>
      <c r="BA543" s="3"/>
      <c r="BB543" s="3"/>
      <c r="BC543" s="3"/>
      <c r="BD543" s="3"/>
      <c r="BE543" s="3"/>
      <c r="BF543" s="3"/>
      <c r="BG543" s="3"/>
      <c r="BH543" s="3"/>
      <c r="BI543" s="3"/>
      <c r="BJ543" s="3"/>
      <c r="BK543" s="3"/>
      <c r="BL543" s="3"/>
      <c r="BM543" s="3"/>
      <c r="BN543" s="3" t="s">
        <v>2083</v>
      </c>
    </row>
    <row r="544" spans="2:66" ht="12.95" customHeight="1">
      <c r="B544" s="1461"/>
      <c r="C544" s="1462"/>
      <c r="D544" s="1462"/>
      <c r="E544" s="1462"/>
      <c r="F544" s="1462"/>
      <c r="G544" s="1462"/>
      <c r="H544" s="1463"/>
      <c r="I544" t="s">
        <v>421</v>
      </c>
      <c r="AC544" s="1531" t="s">
        <v>591</v>
      </c>
      <c r="AD544" s="1532"/>
      <c r="AE544" s="1532"/>
      <c r="AF544" s="1532"/>
      <c r="AG544" s="13" t="s">
        <v>403</v>
      </c>
      <c r="AH544" s="1384"/>
      <c r="AI544" s="1384"/>
      <c r="AJ544" s="1384"/>
      <c r="AK544" s="1385"/>
      <c r="AZ544" s="3"/>
      <c r="BA544" s="3"/>
      <c r="BB544" s="3"/>
      <c r="BC544" s="3"/>
      <c r="BD544" s="3"/>
      <c r="BE544" s="3"/>
      <c r="BF544" s="3"/>
      <c r="BG544" s="3"/>
      <c r="BH544" s="3"/>
      <c r="BI544" s="3"/>
      <c r="BJ544" s="3"/>
      <c r="BK544" s="3"/>
      <c r="BL544" s="3"/>
      <c r="BM544" s="3"/>
      <c r="BN544" s="3" t="s">
        <v>2084</v>
      </c>
    </row>
    <row r="545" spans="1:66" ht="12.95" customHeight="1">
      <c r="B545" s="1461"/>
      <c r="C545" s="1462"/>
      <c r="D545" s="1462"/>
      <c r="E545" s="1462"/>
      <c r="F545" s="1462"/>
      <c r="G545" s="1462"/>
      <c r="H545" s="1463"/>
      <c r="I545" s="48" t="s">
        <v>422</v>
      </c>
      <c r="J545" s="48"/>
      <c r="K545" s="48"/>
      <c r="L545" s="48"/>
      <c r="M545" s="48"/>
      <c r="N545" s="48"/>
      <c r="O545" s="48"/>
      <c r="P545" s="48"/>
      <c r="Q545" s="48"/>
      <c r="R545" s="48"/>
      <c r="S545" s="48"/>
      <c r="T545" s="48"/>
      <c r="U545" s="48"/>
      <c r="V545" s="48"/>
      <c r="W545" s="48"/>
      <c r="X545" s="48"/>
      <c r="Y545" s="48"/>
      <c r="Z545" s="48"/>
      <c r="AA545" s="48"/>
      <c r="AB545" s="48"/>
      <c r="AC545" s="1531" t="s">
        <v>591</v>
      </c>
      <c r="AD545" s="1532"/>
      <c r="AE545" s="1532"/>
      <c r="AF545" s="1532"/>
      <c r="AG545" s="38" t="s">
        <v>403</v>
      </c>
      <c r="AH545" s="1384"/>
      <c r="AI545" s="1384"/>
      <c r="AJ545" s="1384"/>
      <c r="AK545" s="1385"/>
      <c r="AZ545" s="3"/>
      <c r="BA545" s="3"/>
      <c r="BB545" s="3"/>
      <c r="BC545" s="3"/>
      <c r="BD545" s="3"/>
      <c r="BE545" s="3"/>
      <c r="BF545" s="3"/>
      <c r="BG545" s="3"/>
      <c r="BH545" s="3"/>
      <c r="BI545" s="3"/>
      <c r="BJ545" s="3"/>
      <c r="BK545" s="3"/>
      <c r="BL545" s="3"/>
      <c r="BM545" s="3"/>
      <c r="BN545" s="3" t="s">
        <v>2085</v>
      </c>
    </row>
    <row r="546" spans="1:66" ht="12.95" customHeight="1">
      <c r="B546" s="1461"/>
      <c r="C546" s="1462"/>
      <c r="D546" s="1462"/>
      <c r="E546" s="1462"/>
      <c r="F546" s="1462"/>
      <c r="G546" s="1462"/>
      <c r="H546" s="1463"/>
      <c r="I546" s="42" t="s">
        <v>562</v>
      </c>
      <c r="J546" s="42"/>
      <c r="K546" s="42"/>
      <c r="L546" s="42"/>
      <c r="M546" s="42"/>
      <c r="N546" s="42"/>
      <c r="O546" s="42"/>
      <c r="P546" s="42"/>
      <c r="Q546" s="42"/>
      <c r="R546" s="42"/>
      <c r="S546" s="42"/>
      <c r="T546" s="42"/>
      <c r="U546" s="42"/>
      <c r="V546" s="42"/>
      <c r="W546" s="42"/>
      <c r="AC546" s="1531">
        <v>12</v>
      </c>
      <c r="AD546" s="1532"/>
      <c r="AE546" s="1532"/>
      <c r="AF546" s="1532"/>
      <c r="AG546" s="38" t="s">
        <v>403</v>
      </c>
      <c r="AH546" s="1384">
        <v>2026</v>
      </c>
      <c r="AI546" s="1384"/>
      <c r="AJ546" s="1384"/>
      <c r="AK546" s="1385"/>
      <c r="AZ546" s="3"/>
      <c r="BA546" s="3"/>
      <c r="BB546" s="3"/>
      <c r="BC546" s="3"/>
      <c r="BD546" s="3"/>
      <c r="BE546" s="3"/>
      <c r="BF546" s="3"/>
      <c r="BG546" s="3"/>
      <c r="BH546" s="3"/>
      <c r="BI546" s="3"/>
      <c r="BJ546" s="3"/>
      <c r="BK546" s="3"/>
      <c r="BL546" s="3"/>
      <c r="BM546" s="3"/>
      <c r="BN546" s="3"/>
    </row>
    <row r="547" spans="1:66" ht="12.95" customHeight="1">
      <c r="B547" s="1461"/>
      <c r="C547" s="1462"/>
      <c r="D547" s="1462"/>
      <c r="E547" s="1462"/>
      <c r="F547" s="1462"/>
      <c r="G547" s="1462"/>
      <c r="H547" s="1463"/>
      <c r="I547" t="s">
        <v>563</v>
      </c>
      <c r="AC547" s="1531">
        <v>11</v>
      </c>
      <c r="AD547" s="1532"/>
      <c r="AE547" s="1532"/>
      <c r="AF547" s="1532"/>
      <c r="AG547" s="13" t="s">
        <v>403</v>
      </c>
      <c r="AH547" s="1384">
        <v>2026</v>
      </c>
      <c r="AI547" s="1384"/>
      <c r="AJ547" s="1384"/>
      <c r="AK547" s="1385"/>
      <c r="AZ547" s="3"/>
      <c r="BA547" s="3"/>
      <c r="BB547" s="3"/>
      <c r="BC547" s="3"/>
      <c r="BD547" s="3"/>
      <c r="BE547" s="3"/>
      <c r="BF547" s="3"/>
      <c r="BG547" s="3"/>
      <c r="BH547" s="3"/>
      <c r="BI547" s="3"/>
      <c r="BJ547" s="3"/>
      <c r="BK547" s="3"/>
      <c r="BL547" s="3"/>
      <c r="BM547" s="3"/>
      <c r="BN547" s="3"/>
    </row>
    <row r="548" spans="1:66" ht="12.95" customHeight="1">
      <c r="B548" s="1461"/>
      <c r="C548" s="1462"/>
      <c r="D548" s="1462"/>
      <c r="E548" s="1462"/>
      <c r="F548" s="1462"/>
      <c r="G548" s="1462"/>
      <c r="H548" s="1463"/>
      <c r="I548" t="s">
        <v>564</v>
      </c>
      <c r="AC548" s="1531">
        <v>1</v>
      </c>
      <c r="AD548" s="1532"/>
      <c r="AE548" s="1532"/>
      <c r="AF548" s="1532"/>
      <c r="AG548" s="38" t="s">
        <v>403</v>
      </c>
      <c r="AH548" s="1384">
        <v>2029</v>
      </c>
      <c r="AI548" s="1384"/>
      <c r="AJ548" s="1384"/>
      <c r="AK548" s="1385"/>
      <c r="AZ548" s="3"/>
      <c r="BA548" s="3"/>
      <c r="BB548" s="3"/>
      <c r="BC548" s="3"/>
      <c r="BD548" s="3"/>
      <c r="BE548" s="3"/>
      <c r="BF548" s="3"/>
      <c r="BG548" s="3"/>
      <c r="BH548" s="3"/>
      <c r="BI548" s="3"/>
      <c r="BJ548" s="3"/>
      <c r="BK548" s="3"/>
      <c r="BL548" s="3"/>
      <c r="BM548" s="3"/>
      <c r="BN548" s="3"/>
    </row>
    <row r="549" spans="1:66" ht="12.95" customHeight="1">
      <c r="B549" s="1461"/>
      <c r="C549" s="1462"/>
      <c r="D549" s="1462"/>
      <c r="E549" s="1462"/>
      <c r="F549" s="1462"/>
      <c r="G549" s="1462"/>
      <c r="H549" s="1463"/>
      <c r="I549" t="s">
        <v>565</v>
      </c>
      <c r="AC549" s="1531">
        <v>1</v>
      </c>
      <c r="AD549" s="1532"/>
      <c r="AE549" s="1532"/>
      <c r="AF549" s="1532"/>
      <c r="AG549" s="38" t="s">
        <v>403</v>
      </c>
      <c r="AH549" s="1384">
        <v>2029</v>
      </c>
      <c r="AI549" s="1384"/>
      <c r="AJ549" s="1384"/>
      <c r="AK549" s="1385"/>
      <c r="AZ549" s="3"/>
      <c r="BA549" s="3"/>
      <c r="BB549" s="3"/>
      <c r="BC549" s="3"/>
      <c r="BD549" s="3"/>
      <c r="BE549" s="3"/>
      <c r="BF549" s="3"/>
      <c r="BG549" s="3"/>
      <c r="BH549" s="3"/>
      <c r="BI549" s="3"/>
      <c r="BJ549" s="3"/>
      <c r="BK549" s="3"/>
      <c r="BL549" s="3"/>
      <c r="BM549" s="3"/>
      <c r="BN549" s="3"/>
    </row>
    <row r="550" spans="1:66" ht="12.95" customHeight="1">
      <c r="B550" s="1464"/>
      <c r="C550" s="1465"/>
      <c r="D550" s="1465"/>
      <c r="E550" s="1465"/>
      <c r="F550" s="1465"/>
      <c r="G550" s="1465"/>
      <c r="H550" s="1466"/>
      <c r="I550" s="48" t="s">
        <v>451</v>
      </c>
      <c r="J550" s="48"/>
      <c r="K550" s="48"/>
      <c r="L550" s="48"/>
      <c r="M550" s="48"/>
      <c r="N550" s="48"/>
      <c r="O550" s="48"/>
      <c r="P550" s="48"/>
      <c r="Q550" s="48"/>
      <c r="R550" s="48"/>
      <c r="S550" s="48"/>
      <c r="T550" s="48"/>
      <c r="U550" s="48"/>
      <c r="V550" s="48"/>
      <c r="W550" s="48"/>
      <c r="X550" s="48"/>
      <c r="Y550" s="48"/>
      <c r="Z550" s="48"/>
      <c r="AA550" s="48"/>
      <c r="AB550" s="48"/>
      <c r="AC550" s="1531">
        <v>1</v>
      </c>
      <c r="AD550" s="1532"/>
      <c r="AE550" s="1532"/>
      <c r="AF550" s="1532"/>
      <c r="AG550" s="38" t="s">
        <v>403</v>
      </c>
      <c r="AH550" s="1384">
        <v>2030</v>
      </c>
      <c r="AI550" s="1384"/>
      <c r="AJ550" s="1384"/>
      <c r="AK550" s="1385"/>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8" t="s">
        <v>543</v>
      </c>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c r="AD552" s="1268"/>
      <c r="AE552" s="1268"/>
      <c r="AF552" s="1268"/>
      <c r="AG552" s="1268"/>
      <c r="AH552" s="1268"/>
      <c r="AI552" s="1268"/>
      <c r="AJ552" s="1268"/>
      <c r="AK552" s="1268"/>
      <c r="AL552" s="1268"/>
      <c r="AM552" s="1268"/>
      <c r="AN552" s="1268"/>
      <c r="AO552" s="1268"/>
      <c r="AP552" s="1268"/>
      <c r="AQ552" s="1268"/>
      <c r="AR552" s="1268"/>
      <c r="AS552" s="1268"/>
      <c r="AT552" s="126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c r="AD553" s="1268"/>
      <c r="AE553" s="1268"/>
      <c r="AF553" s="1268"/>
      <c r="AG553" s="1268"/>
      <c r="AH553" s="1268"/>
      <c r="AI553" s="1268"/>
      <c r="AJ553" s="1268"/>
      <c r="AK553" s="1268"/>
      <c r="AL553" s="1268"/>
      <c r="AM553" s="1268"/>
      <c r="AN553" s="1268"/>
      <c r="AO553" s="1268"/>
      <c r="AP553" s="1268"/>
      <c r="AQ553" s="1268"/>
      <c r="AR553" s="1268"/>
      <c r="AS553" s="1268"/>
      <c r="AT553" s="126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58" t="s">
        <v>2059</v>
      </c>
      <c r="C559" s="1459"/>
      <c r="D559" s="1459"/>
      <c r="E559" s="1459"/>
      <c r="F559" s="1459"/>
      <c r="G559" s="1459"/>
      <c r="H559" s="1459"/>
      <c r="I559" s="1459"/>
      <c r="J559" s="1459"/>
      <c r="K559" s="1459"/>
      <c r="L559" s="1460"/>
      <c r="M559" s="1458" t="s">
        <v>2060</v>
      </c>
      <c r="N559" s="1459"/>
      <c r="O559" s="1459"/>
      <c r="P559" s="1460"/>
      <c r="Q559" s="1458" t="s">
        <v>2086</v>
      </c>
      <c r="R559" s="1459"/>
      <c r="S559" s="1460"/>
      <c r="T559" s="1458" t="s">
        <v>2087</v>
      </c>
      <c r="U559" s="1459"/>
      <c r="V559" s="1460"/>
      <c r="W559" s="1458" t="s">
        <v>453</v>
      </c>
      <c r="X559" s="1459"/>
      <c r="Y559" s="1460"/>
      <c r="Z559" s="1458" t="s">
        <v>1828</v>
      </c>
      <c r="AA559" s="1459"/>
      <c r="AB559" s="1459"/>
      <c r="AC559" s="1459"/>
      <c r="AD559" s="1460"/>
      <c r="AE559" s="1458" t="s">
        <v>1665</v>
      </c>
      <c r="AF559" s="1459"/>
      <c r="AG559" s="1459"/>
      <c r="AH559" s="1460"/>
      <c r="AI559" s="1458" t="s">
        <v>1666</v>
      </c>
      <c r="AJ559" s="1459"/>
      <c r="AK559" s="1459"/>
      <c r="AL559" s="1460"/>
      <c r="AM559" s="1458" t="s">
        <v>454</v>
      </c>
      <c r="AN559" s="1459"/>
      <c r="AO559" s="1459"/>
      <c r="AP559" s="1459"/>
      <c r="AQ559" s="1459"/>
      <c r="AR559" s="1459"/>
      <c r="AS559" s="1460"/>
      <c r="BB559" s="3"/>
      <c r="BC559" s="3"/>
      <c r="BD559" s="3"/>
      <c r="BE559" s="3"/>
      <c r="BF559" s="3"/>
      <c r="BG559" s="3"/>
      <c r="BH559" s="3" t="s">
        <v>581</v>
      </c>
      <c r="BI559" s="3" t="str">
        <f>AG665</f>
        <v>Yes</v>
      </c>
    </row>
    <row r="560" spans="1:66" ht="12.95" customHeight="1">
      <c r="B560" s="1461"/>
      <c r="C560" s="1462"/>
      <c r="D560" s="1462"/>
      <c r="E560" s="1462"/>
      <c r="F560" s="1462"/>
      <c r="G560" s="1462"/>
      <c r="H560" s="1462"/>
      <c r="I560" s="1462"/>
      <c r="J560" s="1462"/>
      <c r="K560" s="1462"/>
      <c r="L560" s="1463"/>
      <c r="M560" s="1461"/>
      <c r="N560" s="1462"/>
      <c r="O560" s="1462"/>
      <c r="P560" s="1463"/>
      <c r="Q560" s="1461"/>
      <c r="R560" s="1462"/>
      <c r="S560" s="1463"/>
      <c r="T560" s="1461"/>
      <c r="U560" s="1462"/>
      <c r="V560" s="1463"/>
      <c r="W560" s="1461"/>
      <c r="X560" s="1462"/>
      <c r="Y560" s="1463"/>
      <c r="Z560" s="1461"/>
      <c r="AA560" s="1462"/>
      <c r="AB560" s="1462"/>
      <c r="AC560" s="1462"/>
      <c r="AD560" s="1463"/>
      <c r="AE560" s="1461"/>
      <c r="AF560" s="1462"/>
      <c r="AG560" s="1462"/>
      <c r="AH560" s="1463"/>
      <c r="AI560" s="1461"/>
      <c r="AJ560" s="1462"/>
      <c r="AK560" s="1462"/>
      <c r="AL560" s="1463"/>
      <c r="AM560" s="1461"/>
      <c r="AN560" s="1462"/>
      <c r="AO560" s="1462"/>
      <c r="AP560" s="1462"/>
      <c r="AQ560" s="1462"/>
      <c r="AR560" s="1462"/>
      <c r="AS560" s="1463"/>
      <c r="AU560" s="1141"/>
      <c r="BB560" s="3"/>
      <c r="BC560" s="3"/>
      <c r="BD560" s="3"/>
      <c r="BE560" s="3"/>
      <c r="BF560" s="3"/>
      <c r="BG560" s="3"/>
      <c r="BH560" s="3"/>
      <c r="BI560" s="3"/>
    </row>
    <row r="561" spans="1:61" ht="12.95" customHeight="1">
      <c r="B561" s="1464"/>
      <c r="C561" s="1465"/>
      <c r="D561" s="1465"/>
      <c r="E561" s="1465"/>
      <c r="F561" s="1465"/>
      <c r="G561" s="1465"/>
      <c r="H561" s="1465"/>
      <c r="I561" s="1465"/>
      <c r="J561" s="1465"/>
      <c r="K561" s="1465"/>
      <c r="L561" s="1466"/>
      <c r="M561" s="1464"/>
      <c r="N561" s="1465"/>
      <c r="O561" s="1465"/>
      <c r="P561" s="1466"/>
      <c r="Q561" s="1464"/>
      <c r="R561" s="1465"/>
      <c r="S561" s="1466"/>
      <c r="T561" s="1464"/>
      <c r="U561" s="1465"/>
      <c r="V561" s="1466"/>
      <c r="W561" s="1464"/>
      <c r="X561" s="1465"/>
      <c r="Y561" s="1466"/>
      <c r="Z561" s="1464"/>
      <c r="AA561" s="1465"/>
      <c r="AB561" s="1465"/>
      <c r="AC561" s="1465"/>
      <c r="AD561" s="1466"/>
      <c r="AE561" s="1464"/>
      <c r="AF561" s="1465"/>
      <c r="AG561" s="1465"/>
      <c r="AH561" s="1466"/>
      <c r="AI561" s="1464"/>
      <c r="AJ561" s="1465"/>
      <c r="AK561" s="1465"/>
      <c r="AL561" s="1466"/>
      <c r="AM561" s="1464"/>
      <c r="AN561" s="1465"/>
      <c r="AO561" s="1465"/>
      <c r="AP561" s="1465"/>
      <c r="AQ561" s="1465"/>
      <c r="AR561" s="1465"/>
      <c r="AS561" s="1466"/>
      <c r="AU561" s="1141"/>
      <c r="BB561" s="3"/>
      <c r="BC561" s="3"/>
      <c r="BD561" s="3"/>
      <c r="BE561" s="3"/>
      <c r="BF561" s="3"/>
      <c r="BG561" s="3"/>
      <c r="BH561" s="3"/>
      <c r="BI561" s="3"/>
    </row>
    <row r="562" spans="1:61" ht="12.95" customHeight="1">
      <c r="B562" s="51" t="s">
        <v>112</v>
      </c>
      <c r="C562" s="1497" t="s">
        <v>2717</v>
      </c>
      <c r="D562" s="1497"/>
      <c r="E562" s="1497"/>
      <c r="F562" s="1497"/>
      <c r="G562" s="1497"/>
      <c r="H562" s="1497"/>
      <c r="I562" s="1497"/>
      <c r="J562" s="1497"/>
      <c r="K562" s="1497"/>
      <c r="L562" s="1497"/>
      <c r="M562" s="1497" t="s">
        <v>2076</v>
      </c>
      <c r="N562" s="1497"/>
      <c r="O562" s="1497"/>
      <c r="P562" s="1497"/>
      <c r="Q562" s="1494">
        <v>42</v>
      </c>
      <c r="R562" s="1494"/>
      <c r="S562" s="1495"/>
      <c r="T562" s="1493"/>
      <c r="U562" s="1494"/>
      <c r="V562" s="1495"/>
      <c r="W562" s="1519">
        <v>6.0999999999999999E-2</v>
      </c>
      <c r="X562" s="1520"/>
      <c r="Y562" s="1521"/>
      <c r="Z562" s="1693" t="s">
        <v>2721</v>
      </c>
      <c r="AA562" s="1693"/>
      <c r="AB562" s="1693"/>
      <c r="AC562" s="1693"/>
      <c r="AD562" s="1693"/>
      <c r="AE562" s="1510">
        <v>1</v>
      </c>
      <c r="AF562" s="1511"/>
      <c r="AG562" s="1511"/>
      <c r="AH562" s="1512"/>
      <c r="AI562" s="1490"/>
      <c r="AJ562" s="1491"/>
      <c r="AK562" s="1491"/>
      <c r="AL562" s="1492"/>
      <c r="AM562" s="1483">
        <v>39598317</v>
      </c>
      <c r="AN562" s="1484"/>
      <c r="AO562" s="1484"/>
      <c r="AP562" s="1484"/>
      <c r="AQ562" s="1484"/>
      <c r="AR562" s="1484"/>
      <c r="AS562" s="1485"/>
      <c r="AT562" s="1142"/>
      <c r="AU562" s="1141"/>
      <c r="BB562" s="3"/>
      <c r="BC562" s="3"/>
      <c r="BD562" s="3"/>
      <c r="BE562" s="3"/>
      <c r="BF562" s="3"/>
      <c r="BG562" s="3"/>
      <c r="BH562" s="3"/>
      <c r="BI562" s="3"/>
    </row>
    <row r="563" spans="1:61" ht="12.95" customHeight="1">
      <c r="B563" s="52" t="s">
        <v>113</v>
      </c>
      <c r="C563" s="1522" t="s">
        <v>2718</v>
      </c>
      <c r="D563" s="1522"/>
      <c r="E563" s="1522"/>
      <c r="F563" s="1522"/>
      <c r="G563" s="1522"/>
      <c r="H563" s="1522"/>
      <c r="I563" s="1522"/>
      <c r="J563" s="1522"/>
      <c r="K563" s="1522"/>
      <c r="L563" s="1522"/>
      <c r="M563" s="1497" t="s">
        <v>2075</v>
      </c>
      <c r="N563" s="1497"/>
      <c r="O563" s="1497"/>
      <c r="P563" s="1497"/>
      <c r="Q563" s="1493">
        <v>42</v>
      </c>
      <c r="R563" s="1494"/>
      <c r="S563" s="1495"/>
      <c r="T563" s="1493"/>
      <c r="U563" s="1494"/>
      <c r="V563" s="1495"/>
      <c r="W563" s="1519">
        <v>6.8500000000000005E-2</v>
      </c>
      <c r="X563" s="1520"/>
      <c r="Y563" s="1521"/>
      <c r="Z563" s="1693" t="s">
        <v>2721</v>
      </c>
      <c r="AA563" s="1693"/>
      <c r="AB563" s="1693"/>
      <c r="AC563" s="1693"/>
      <c r="AD563" s="1693"/>
      <c r="AE563" s="1510">
        <v>1</v>
      </c>
      <c r="AF563" s="1511"/>
      <c r="AG563" s="1511"/>
      <c r="AH563" s="1512"/>
      <c r="AI563" s="1490"/>
      <c r="AJ563" s="1491"/>
      <c r="AK563" s="1491"/>
      <c r="AL563" s="1492"/>
      <c r="AM563" s="1483">
        <f>101041831-AM562</f>
        <v>61443514</v>
      </c>
      <c r="AN563" s="1484"/>
      <c r="AO563" s="1484"/>
      <c r="AP563" s="1484"/>
      <c r="AQ563" s="1484"/>
      <c r="AR563" s="1484"/>
      <c r="AS563" s="1485"/>
      <c r="AT563" s="1142" t="str">
        <f>IF(AND(NOT(C562=""),C563="",NOT(C564="")),"!","")</f>
        <v/>
      </c>
      <c r="AU563" s="1141"/>
      <c r="BB563" s="3"/>
      <c r="BC563" s="3"/>
      <c r="BD563" s="3"/>
      <c r="BE563" s="3"/>
      <c r="BF563" s="3"/>
      <c r="BG563" s="3"/>
      <c r="BH563" s="3"/>
      <c r="BI563" s="3"/>
    </row>
    <row r="564" spans="1:61" ht="12.95" customHeight="1">
      <c r="B564" s="52" t="s">
        <v>119</v>
      </c>
      <c r="C564" s="1522" t="s">
        <v>2690</v>
      </c>
      <c r="D564" s="1522"/>
      <c r="E564" s="1522"/>
      <c r="F564" s="1522"/>
      <c r="G564" s="1522"/>
      <c r="H564" s="1522"/>
      <c r="I564" s="1522"/>
      <c r="J564" s="1522"/>
      <c r="K564" s="1522"/>
      <c r="L564" s="1522"/>
      <c r="M564" s="1497" t="s">
        <v>2067</v>
      </c>
      <c r="N564" s="1497"/>
      <c r="O564" s="1497"/>
      <c r="P564" s="1497"/>
      <c r="Q564" s="1493"/>
      <c r="R564" s="1494"/>
      <c r="S564" s="1495"/>
      <c r="T564" s="1493"/>
      <c r="U564" s="1494"/>
      <c r="V564" s="1495"/>
      <c r="W564" s="1519"/>
      <c r="X564" s="1520"/>
      <c r="Y564" s="1521"/>
      <c r="Z564" s="1693" t="s">
        <v>591</v>
      </c>
      <c r="AA564" s="1693"/>
      <c r="AB564" s="1693"/>
      <c r="AC564" s="1693"/>
      <c r="AD564" s="1693"/>
      <c r="AE564" s="1510"/>
      <c r="AF564" s="1511"/>
      <c r="AG564" s="1511"/>
      <c r="AH564" s="1512"/>
      <c r="AI564" s="1490"/>
      <c r="AJ564" s="1491"/>
      <c r="AK564" s="1491"/>
      <c r="AL564" s="1492"/>
      <c r="AM564" s="1483">
        <v>19012072</v>
      </c>
      <c r="AN564" s="1484"/>
      <c r="AO564" s="1484"/>
      <c r="AP564" s="1484"/>
      <c r="AQ564" s="1484"/>
      <c r="AR564" s="1484"/>
      <c r="AS564" s="1485"/>
      <c r="AT564" s="1142" t="str">
        <f>IF(AND(NOT(C563=""),C564="",NOT(C565="")),"!","")</f>
        <v/>
      </c>
      <c r="AU564" s="1141"/>
      <c r="BB564" s="3"/>
      <c r="BC564" s="3"/>
      <c r="BD564" s="3"/>
      <c r="BE564" s="3"/>
      <c r="BF564" s="3"/>
      <c r="BG564" s="3"/>
      <c r="BH564" s="3"/>
      <c r="BI564" s="3"/>
    </row>
    <row r="565" spans="1:61" ht="12.95" customHeight="1">
      <c r="B565" s="52" t="s">
        <v>581</v>
      </c>
      <c r="C565" s="1522" t="s">
        <v>2719</v>
      </c>
      <c r="D565" s="1522"/>
      <c r="E565" s="1522"/>
      <c r="F565" s="1522"/>
      <c r="G565" s="1522"/>
      <c r="H565" s="1522"/>
      <c r="I565" s="1522"/>
      <c r="J565" s="1522"/>
      <c r="K565" s="1522"/>
      <c r="L565" s="1522"/>
      <c r="M565" s="1497" t="s">
        <v>2078</v>
      </c>
      <c r="N565" s="1497"/>
      <c r="O565" s="1497"/>
      <c r="P565" s="1497"/>
      <c r="Q565" s="1493"/>
      <c r="R565" s="1494"/>
      <c r="S565" s="1495"/>
      <c r="T565" s="1493"/>
      <c r="U565" s="1494"/>
      <c r="V565" s="1495"/>
      <c r="W565" s="1519"/>
      <c r="X565" s="1520"/>
      <c r="Y565" s="1521"/>
      <c r="Z565" s="1693" t="s">
        <v>591</v>
      </c>
      <c r="AA565" s="1693"/>
      <c r="AB565" s="1693"/>
      <c r="AC565" s="1693"/>
      <c r="AD565" s="1693"/>
      <c r="AE565" s="1510"/>
      <c r="AF565" s="1511"/>
      <c r="AG565" s="1511"/>
      <c r="AH565" s="1512"/>
      <c r="AI565" s="1490"/>
      <c r="AJ565" s="1491"/>
      <c r="AK565" s="1491"/>
      <c r="AL565" s="1492"/>
      <c r="AM565" s="1483">
        <v>600000</v>
      </c>
      <c r="AN565" s="1484"/>
      <c r="AO565" s="1484"/>
      <c r="AP565" s="1484"/>
      <c r="AQ565" s="1484"/>
      <c r="AR565" s="1484"/>
      <c r="AS565" s="1485"/>
      <c r="AT565" s="1142" t="str">
        <f>IF(AND(NOT(C564=""),C565="",NOT(C566="")),"!","")</f>
        <v/>
      </c>
      <c r="AU565" s="1141"/>
      <c r="BB565" s="3"/>
      <c r="BC565" s="3"/>
      <c r="BD565" s="3"/>
      <c r="BE565" s="3"/>
      <c r="BF565" s="3"/>
      <c r="BG565" s="3"/>
      <c r="BH565" s="3"/>
      <c r="BI565" s="3"/>
    </row>
    <row r="566" spans="1:61" ht="12.95" customHeight="1">
      <c r="B566" s="52" t="s">
        <v>763</v>
      </c>
      <c r="C566" s="1522" t="s">
        <v>2720</v>
      </c>
      <c r="D566" s="1522"/>
      <c r="E566" s="1522"/>
      <c r="F566" s="1522"/>
      <c r="G566" s="1522"/>
      <c r="H566" s="1522"/>
      <c r="I566" s="1522"/>
      <c r="J566" s="1522"/>
      <c r="K566" s="1522"/>
      <c r="L566" s="1522"/>
      <c r="M566" s="1497" t="s">
        <v>2062</v>
      </c>
      <c r="N566" s="1497"/>
      <c r="O566" s="1497"/>
      <c r="P566" s="1497"/>
      <c r="Q566" s="1493"/>
      <c r="R566" s="1494"/>
      <c r="S566" s="1495"/>
      <c r="T566" s="1493"/>
      <c r="U566" s="1494"/>
      <c r="V566" s="1495"/>
      <c r="W566" s="1519"/>
      <c r="X566" s="1520"/>
      <c r="Y566" s="1521"/>
      <c r="Z566" s="1693" t="s">
        <v>591</v>
      </c>
      <c r="AA566" s="1693"/>
      <c r="AB566" s="1693"/>
      <c r="AC566" s="1693"/>
      <c r="AD566" s="1693"/>
      <c r="AE566" s="1510"/>
      <c r="AF566" s="1511"/>
      <c r="AG566" s="1511"/>
      <c r="AH566" s="1512"/>
      <c r="AI566" s="1490"/>
      <c r="AJ566" s="1491"/>
      <c r="AK566" s="1491"/>
      <c r="AL566" s="1492"/>
      <c r="AM566" s="1483">
        <f>'Sources and Uses Budget'!C105-SUM(Application!AM562:AS565)</f>
        <v>22054929</v>
      </c>
      <c r="AN566" s="1484"/>
      <c r="AO566" s="1484"/>
      <c r="AP566" s="1484"/>
      <c r="AQ566" s="1484"/>
      <c r="AR566" s="1484"/>
      <c r="AS566" s="1485"/>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522"/>
      <c r="D567" s="1522"/>
      <c r="E567" s="1522"/>
      <c r="F567" s="1522"/>
      <c r="G567" s="1522"/>
      <c r="H567" s="1522"/>
      <c r="I567" s="1522"/>
      <c r="J567" s="1522"/>
      <c r="K567" s="1522"/>
      <c r="L567" s="1522"/>
      <c r="M567" s="1497" t="s">
        <v>1184</v>
      </c>
      <c r="N567" s="1497"/>
      <c r="O567" s="1497"/>
      <c r="P567" s="1497"/>
      <c r="Q567" s="1493"/>
      <c r="R567" s="1494"/>
      <c r="S567" s="1495"/>
      <c r="T567" s="1493"/>
      <c r="U567" s="1494"/>
      <c r="V567" s="1495"/>
      <c r="W567" s="1519"/>
      <c r="X567" s="1520"/>
      <c r="Y567" s="1521"/>
      <c r="Z567" s="1693" t="s">
        <v>1184</v>
      </c>
      <c r="AA567" s="1693"/>
      <c r="AB567" s="1693"/>
      <c r="AC567" s="1693"/>
      <c r="AD567" s="1693"/>
      <c r="AE567" s="1510"/>
      <c r="AF567" s="1511"/>
      <c r="AG567" s="1511"/>
      <c r="AH567" s="1512"/>
      <c r="AI567" s="1490"/>
      <c r="AJ567" s="1491"/>
      <c r="AK567" s="1491"/>
      <c r="AL567" s="1492"/>
      <c r="AM567" s="1483"/>
      <c r="AN567" s="1484"/>
      <c r="AO567" s="1484"/>
      <c r="AP567" s="1484"/>
      <c r="AQ567" s="1484"/>
      <c r="AR567" s="1484"/>
      <c r="AS567" s="1485"/>
      <c r="AT567" s="1142" t="str">
        <f t="shared" si="2"/>
        <v/>
      </c>
      <c r="AU567" s="1141"/>
      <c r="BB567" s="3"/>
      <c r="BC567" s="3"/>
      <c r="BD567" s="3"/>
      <c r="BE567" s="3"/>
      <c r="BF567" s="3"/>
      <c r="BG567" s="3"/>
      <c r="BH567" s="3" t="s">
        <v>584</v>
      </c>
      <c r="BI567" s="3" t="str">
        <f>AG673</f>
        <v>No</v>
      </c>
    </row>
    <row r="568" spans="1:61" ht="12.95" customHeight="1">
      <c r="B568" s="52" t="s">
        <v>455</v>
      </c>
      <c r="C568" s="1522"/>
      <c r="D568" s="1522"/>
      <c r="E568" s="1522"/>
      <c r="F568" s="1522"/>
      <c r="G568" s="1522"/>
      <c r="H568" s="1522"/>
      <c r="I568" s="1522"/>
      <c r="J568" s="1522"/>
      <c r="K568" s="1522"/>
      <c r="L568" s="1522"/>
      <c r="M568" s="1497" t="s">
        <v>1184</v>
      </c>
      <c r="N568" s="1497"/>
      <c r="O568" s="1497"/>
      <c r="P568" s="1497"/>
      <c r="Q568" s="1493"/>
      <c r="R568" s="1494"/>
      <c r="S568" s="1495"/>
      <c r="T568" s="1493"/>
      <c r="U568" s="1494"/>
      <c r="V568" s="1495"/>
      <c r="W568" s="1519"/>
      <c r="X568" s="1520"/>
      <c r="Y568" s="1521"/>
      <c r="Z568" s="1693" t="s">
        <v>1184</v>
      </c>
      <c r="AA568" s="1693"/>
      <c r="AB568" s="1693"/>
      <c r="AC568" s="1693"/>
      <c r="AD568" s="1693"/>
      <c r="AE568" s="1510"/>
      <c r="AF568" s="1511"/>
      <c r="AG568" s="1511"/>
      <c r="AH568" s="1512"/>
      <c r="AI568" s="1490"/>
      <c r="AJ568" s="1491"/>
      <c r="AK568" s="1491"/>
      <c r="AL568" s="1492"/>
      <c r="AM568" s="1483"/>
      <c r="AN568" s="1484"/>
      <c r="AO568" s="1484"/>
      <c r="AP568" s="1484"/>
      <c r="AQ568" s="1484"/>
      <c r="AR568" s="1484"/>
      <c r="AS568" s="1485"/>
      <c r="AT568" s="1142" t="str">
        <f t="shared" si="2"/>
        <v/>
      </c>
      <c r="AU568" s="1141"/>
      <c r="BB568" s="3"/>
      <c r="BC568" s="3"/>
      <c r="BD568" s="3"/>
      <c r="BE568" s="3"/>
      <c r="BF568" s="3"/>
      <c r="BG568" s="3"/>
      <c r="BH568" s="3"/>
      <c r="BI568" s="3"/>
    </row>
    <row r="569" spans="1:61" ht="12.95" customHeight="1">
      <c r="B569" s="52" t="s">
        <v>456</v>
      </c>
      <c r="C569" s="1522"/>
      <c r="D569" s="1522"/>
      <c r="E569" s="1522"/>
      <c r="F569" s="1522"/>
      <c r="G569" s="1522"/>
      <c r="H569" s="1522"/>
      <c r="I569" s="1522"/>
      <c r="J569" s="1522"/>
      <c r="K569" s="1522"/>
      <c r="L569" s="1522"/>
      <c r="M569" s="1497" t="s">
        <v>1184</v>
      </c>
      <c r="N569" s="1497"/>
      <c r="O569" s="1497"/>
      <c r="P569" s="1497"/>
      <c r="Q569" s="1493"/>
      <c r="R569" s="1494"/>
      <c r="S569" s="1495"/>
      <c r="T569" s="1493"/>
      <c r="U569" s="1494"/>
      <c r="V569" s="1495"/>
      <c r="W569" s="1519"/>
      <c r="X569" s="1520"/>
      <c r="Y569" s="1521"/>
      <c r="Z569" s="1693" t="s">
        <v>1184</v>
      </c>
      <c r="AA569" s="1693"/>
      <c r="AB569" s="1693"/>
      <c r="AC569" s="1693"/>
      <c r="AD569" s="1693"/>
      <c r="AE569" s="1510"/>
      <c r="AF569" s="1511"/>
      <c r="AG569" s="1511"/>
      <c r="AH569" s="1512"/>
      <c r="AI569" s="1490"/>
      <c r="AJ569" s="1491"/>
      <c r="AK569" s="1491"/>
      <c r="AL569" s="1492"/>
      <c r="AM569" s="1483"/>
      <c r="AN569" s="1484"/>
      <c r="AO569" s="1484"/>
      <c r="AP569" s="1484"/>
      <c r="AQ569" s="1484"/>
      <c r="AR569" s="1484"/>
      <c r="AS569" s="1485"/>
      <c r="AT569" s="1142" t="str">
        <f t="shared" si="2"/>
        <v/>
      </c>
      <c r="AU569" s="1141"/>
      <c r="BB569" s="3"/>
      <c r="BC569" s="3"/>
      <c r="BD569" s="3"/>
      <c r="BE569" s="3"/>
      <c r="BF569" s="3"/>
      <c r="BG569" s="3"/>
      <c r="BH569" s="3"/>
      <c r="BI569" s="3"/>
    </row>
    <row r="570" spans="1:61" ht="12.95" customHeight="1">
      <c r="B570" s="52" t="s">
        <v>461</v>
      </c>
      <c r="C570" s="1522"/>
      <c r="D570" s="1522"/>
      <c r="E570" s="1522"/>
      <c r="F570" s="1522"/>
      <c r="G570" s="1522"/>
      <c r="H570" s="1522"/>
      <c r="I570" s="1522"/>
      <c r="J570" s="1522"/>
      <c r="K570" s="1522"/>
      <c r="L570" s="1522"/>
      <c r="M570" s="1497" t="s">
        <v>1184</v>
      </c>
      <c r="N570" s="1497"/>
      <c r="O570" s="1497"/>
      <c r="P570" s="1497"/>
      <c r="Q570" s="1493"/>
      <c r="R570" s="1494"/>
      <c r="S570" s="1495"/>
      <c r="T570" s="1493"/>
      <c r="U570" s="1494"/>
      <c r="V570" s="1495"/>
      <c r="W570" s="1519"/>
      <c r="X570" s="1520"/>
      <c r="Y570" s="1521"/>
      <c r="Z570" s="1693" t="s">
        <v>1184</v>
      </c>
      <c r="AA570" s="1693"/>
      <c r="AB570" s="1693"/>
      <c r="AC570" s="1693"/>
      <c r="AD570" s="1693"/>
      <c r="AE570" s="1510"/>
      <c r="AF570" s="1511"/>
      <c r="AG570" s="1511"/>
      <c r="AH570" s="1512"/>
      <c r="AI570" s="1490"/>
      <c r="AJ570" s="1491"/>
      <c r="AK570" s="1491"/>
      <c r="AL570" s="1492"/>
      <c r="AM570" s="1483"/>
      <c r="AN570" s="1484"/>
      <c r="AO570" s="1484"/>
      <c r="AP570" s="1484"/>
      <c r="AQ570" s="1484"/>
      <c r="AR570" s="1484"/>
      <c r="AS570" s="1485"/>
      <c r="AT570" s="1142" t="str">
        <f t="shared" si="2"/>
        <v/>
      </c>
      <c r="AU570" s="1141"/>
      <c r="BB570" s="3"/>
      <c r="BC570" s="3"/>
      <c r="BD570" s="3"/>
      <c r="BE570" s="3"/>
      <c r="BF570" s="3"/>
      <c r="BG570" s="3"/>
      <c r="BH570" s="3"/>
      <c r="BI570" s="3"/>
    </row>
    <row r="571" spans="1:61" ht="12.95" customHeight="1">
      <c r="B571" s="52" t="s">
        <v>646</v>
      </c>
      <c r="C571" s="1522"/>
      <c r="D571" s="1522"/>
      <c r="E571" s="1522"/>
      <c r="F571" s="1522"/>
      <c r="G571" s="1522"/>
      <c r="H571" s="1522"/>
      <c r="I571" s="1522"/>
      <c r="J571" s="1522"/>
      <c r="K571" s="1522"/>
      <c r="L571" s="1522"/>
      <c r="M571" s="1497" t="s">
        <v>1184</v>
      </c>
      <c r="N571" s="1497"/>
      <c r="O571" s="1497"/>
      <c r="P571" s="1497"/>
      <c r="Q571" s="1493"/>
      <c r="R571" s="1494"/>
      <c r="S571" s="1495"/>
      <c r="T571" s="1493"/>
      <c r="U571" s="1494"/>
      <c r="V571" s="1495"/>
      <c r="W571" s="1519"/>
      <c r="X571" s="1520"/>
      <c r="Y571" s="1521"/>
      <c r="Z571" s="1693" t="s">
        <v>1184</v>
      </c>
      <c r="AA571" s="1693"/>
      <c r="AB571" s="1693"/>
      <c r="AC571" s="1693"/>
      <c r="AD571" s="1693"/>
      <c r="AE571" s="1510"/>
      <c r="AF571" s="1511"/>
      <c r="AG571" s="1511"/>
      <c r="AH571" s="1512"/>
      <c r="AI571" s="1490"/>
      <c r="AJ571" s="1491"/>
      <c r="AK571" s="1491"/>
      <c r="AL571" s="1492"/>
      <c r="AM571" s="1483"/>
      <c r="AN571" s="1484"/>
      <c r="AO571" s="1484"/>
      <c r="AP571" s="1484"/>
      <c r="AQ571" s="1484"/>
      <c r="AR571" s="1484"/>
      <c r="AS571" s="1485"/>
      <c r="AT571" s="1142" t="str">
        <f t="shared" si="2"/>
        <v/>
      </c>
      <c r="BB571" s="3"/>
      <c r="BC571" s="3"/>
      <c r="BD571" s="3"/>
      <c r="BE571" s="3"/>
      <c r="BF571" s="3"/>
      <c r="BG571" s="3"/>
      <c r="BH571" s="3"/>
      <c r="BI571" s="3"/>
    </row>
    <row r="572" spans="1:61" ht="12.95" customHeight="1">
      <c r="B572" s="52" t="s">
        <v>362</v>
      </c>
      <c r="C572" s="1522"/>
      <c r="D572" s="1522"/>
      <c r="E572" s="1522"/>
      <c r="F572" s="1522"/>
      <c r="G572" s="1522"/>
      <c r="H572" s="1522"/>
      <c r="I572" s="1522"/>
      <c r="J572" s="1522"/>
      <c r="K572" s="1522"/>
      <c r="L572" s="1522"/>
      <c r="M572" s="1497" t="s">
        <v>1184</v>
      </c>
      <c r="N572" s="1497"/>
      <c r="O572" s="1497"/>
      <c r="P572" s="1497"/>
      <c r="Q572" s="1493"/>
      <c r="R572" s="1494"/>
      <c r="S572" s="1495"/>
      <c r="T572" s="1493"/>
      <c r="U572" s="1494"/>
      <c r="V572" s="1495"/>
      <c r="W572" s="1519"/>
      <c r="X572" s="1520"/>
      <c r="Y572" s="1521"/>
      <c r="Z572" s="1693" t="s">
        <v>1184</v>
      </c>
      <c r="AA572" s="1693"/>
      <c r="AB572" s="1693"/>
      <c r="AC572" s="1693"/>
      <c r="AD572" s="1693"/>
      <c r="AE572" s="1510"/>
      <c r="AF572" s="1511"/>
      <c r="AG572" s="1511"/>
      <c r="AH572" s="1512"/>
      <c r="AI572" s="1490"/>
      <c r="AJ572" s="1491"/>
      <c r="AK572" s="1491"/>
      <c r="AL572" s="1492"/>
      <c r="AM572" s="1483"/>
      <c r="AN572" s="1484"/>
      <c r="AO572" s="1484"/>
      <c r="AP572" s="1484"/>
      <c r="AQ572" s="1484"/>
      <c r="AR572" s="1484"/>
      <c r="AS572" s="1485"/>
      <c r="AT572" s="1142" t="str">
        <f t="shared" si="2"/>
        <v/>
      </c>
      <c r="BB572" s="3"/>
      <c r="BC572" s="3"/>
      <c r="BD572" s="3"/>
      <c r="BE572" s="3"/>
      <c r="BF572" s="3"/>
      <c r="BG572" s="3"/>
      <c r="BH572" s="3"/>
      <c r="BI572" s="3"/>
    </row>
    <row r="573" spans="1:61" ht="12.95" customHeight="1">
      <c r="B573" s="52" t="s">
        <v>363</v>
      </c>
      <c r="C573" s="1522"/>
      <c r="D573" s="1522"/>
      <c r="E573" s="1522"/>
      <c r="F573" s="1522"/>
      <c r="G573" s="1522"/>
      <c r="H573" s="1522"/>
      <c r="I573" s="1522"/>
      <c r="J573" s="1522"/>
      <c r="K573" s="1522"/>
      <c r="L573" s="1522"/>
      <c r="M573" s="1497" t="s">
        <v>1184</v>
      </c>
      <c r="N573" s="1497"/>
      <c r="O573" s="1497"/>
      <c r="P573" s="1497"/>
      <c r="Q573" s="1493"/>
      <c r="R573" s="1494"/>
      <c r="S573" s="1495"/>
      <c r="T573" s="1493"/>
      <c r="U573" s="1494"/>
      <c r="V573" s="1495"/>
      <c r="W573" s="1519"/>
      <c r="X573" s="1520"/>
      <c r="Y573" s="1521"/>
      <c r="Z573" s="1693" t="s">
        <v>1184</v>
      </c>
      <c r="AA573" s="1693"/>
      <c r="AB573" s="1693"/>
      <c r="AC573" s="1693"/>
      <c r="AD573" s="1693"/>
      <c r="AE573" s="1510"/>
      <c r="AF573" s="1511"/>
      <c r="AG573" s="1511"/>
      <c r="AH573" s="1512"/>
      <c r="AI573" s="1490"/>
      <c r="AJ573" s="1491"/>
      <c r="AK573" s="1491"/>
      <c r="AL573" s="1492"/>
      <c r="AM573" s="1483"/>
      <c r="AN573" s="1484"/>
      <c r="AO573" s="1484"/>
      <c r="AP573" s="1484"/>
      <c r="AQ573" s="1484"/>
      <c r="AR573" s="1484"/>
      <c r="AS573" s="1485"/>
      <c r="AT573" s="1142" t="str">
        <f t="shared" si="2"/>
        <v/>
      </c>
      <c r="BB573" s="3"/>
      <c r="BC573" s="3"/>
      <c r="BD573" s="3"/>
      <c r="BE573" s="3"/>
      <c r="BF573" s="3"/>
      <c r="BG573" s="3"/>
      <c r="BH573" s="3"/>
      <c r="BI573" s="3"/>
    </row>
    <row r="574" spans="1:61" ht="12.95" customHeight="1">
      <c r="B574" s="1677" t="s">
        <v>127</v>
      </c>
      <c r="C574" s="1678"/>
      <c r="D574" s="1678"/>
      <c r="E574" s="1678"/>
      <c r="F574" s="1678"/>
      <c r="G574" s="1678"/>
      <c r="H574" s="1678"/>
      <c r="I574" s="1678"/>
      <c r="J574" s="1678"/>
      <c r="K574" s="1678"/>
      <c r="L574" s="1678"/>
      <c r="M574" s="1678"/>
      <c r="N574" s="1678"/>
      <c r="O574" s="1678"/>
      <c r="P574" s="1678"/>
      <c r="Q574" s="1678"/>
      <c r="R574" s="1678"/>
      <c r="S574" s="1678"/>
      <c r="T574" s="1678"/>
      <c r="U574" s="1696"/>
      <c r="V574" s="1678"/>
      <c r="W574" s="1678"/>
      <c r="X574" s="1678"/>
      <c r="Y574" s="1678"/>
      <c r="Z574" s="1678"/>
      <c r="AA574" s="1678"/>
      <c r="AB574" s="1678"/>
      <c r="AC574" s="1678"/>
      <c r="AD574" s="1678"/>
      <c r="AE574" s="1678"/>
      <c r="AF574" s="1678"/>
      <c r="AG574" s="1678"/>
      <c r="AH574" s="1678"/>
      <c r="AI574" s="1678"/>
      <c r="AJ574" s="1678"/>
      <c r="AK574" s="1678"/>
      <c r="AL574" s="1679"/>
      <c r="AM574" s="1524">
        <f>SUM(AM562:AS573)</f>
        <v>142708832</v>
      </c>
      <c r="AN574" s="1525"/>
      <c r="AO574" s="1525"/>
      <c r="AP574" s="1525"/>
      <c r="AQ574" s="1525"/>
      <c r="AR574" s="1525"/>
      <c r="AS574" s="1526"/>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89" t="str">
        <f>C562</f>
        <v>Citi Community Capital - TE</v>
      </c>
      <c r="H576" s="1489"/>
      <c r="I576" s="1489"/>
      <c r="J576" s="1489"/>
      <c r="K576" s="1489"/>
      <c r="L576" s="1489"/>
      <c r="M576" s="1489"/>
      <c r="N576" s="1489"/>
      <c r="O576" s="1489"/>
      <c r="P576" s="1489"/>
      <c r="Q576" s="1489"/>
      <c r="R576" s="1489"/>
      <c r="S576" s="8"/>
      <c r="T576" s="55" t="s">
        <v>113</v>
      </c>
      <c r="U576" t="s">
        <v>463</v>
      </c>
      <c r="Z576" s="1489" t="str">
        <f>C563</f>
        <v>Citi Community Capital - Taxable</v>
      </c>
      <c r="AA576" s="1489"/>
      <c r="AB576" s="1489"/>
      <c r="AC576" s="1489"/>
      <c r="AD576" s="1489"/>
      <c r="AE576" s="1489"/>
      <c r="AF576" s="1489"/>
      <c r="AG576" s="1489"/>
      <c r="AH576" s="1489"/>
      <c r="AI576" s="1489"/>
      <c r="AJ576" s="1489"/>
      <c r="AK576" s="1489"/>
      <c r="BB576" s="3"/>
      <c r="BC576" s="3"/>
      <c r="BD576" s="3"/>
      <c r="BE576" s="3"/>
      <c r="BF576" s="3"/>
      <c r="BG576" s="3"/>
      <c r="BH576" s="3"/>
      <c r="BI576" s="3"/>
    </row>
    <row r="577" spans="1:61" ht="12.95" customHeight="1">
      <c r="A577" s="22"/>
      <c r="B577" t="s">
        <v>85</v>
      </c>
      <c r="G577" s="1399" t="s">
        <v>2728</v>
      </c>
      <c r="H577" s="1399"/>
      <c r="I577" s="1399"/>
      <c r="J577" s="1399"/>
      <c r="K577" s="1399"/>
      <c r="L577" s="1399"/>
      <c r="M577" s="1399"/>
      <c r="N577" s="1399"/>
      <c r="O577" s="1399"/>
      <c r="P577" s="1399"/>
      <c r="Q577" s="1399"/>
      <c r="R577" s="1399"/>
      <c r="S577" s="8"/>
      <c r="T577" s="22"/>
      <c r="U577" t="s">
        <v>85</v>
      </c>
      <c r="Z577" s="1399" t="str">
        <f>G577</f>
        <v>2700 Post Oak Boulevard, Suite 510</v>
      </c>
      <c r="AA577" s="1399"/>
      <c r="AB577" s="1399"/>
      <c r="AC577" s="1399"/>
      <c r="AD577" s="1399"/>
      <c r="AE577" s="1399"/>
      <c r="AF577" s="1399"/>
      <c r="AG577" s="1399"/>
      <c r="AH577" s="1399"/>
      <c r="AI577" s="1399"/>
      <c r="AJ577" s="1399"/>
      <c r="AK577" s="1399"/>
      <c r="BB577" s="3"/>
      <c r="BC577" s="3"/>
      <c r="BD577" s="3"/>
      <c r="BE577" s="3"/>
      <c r="BF577" s="3"/>
      <c r="BG577" s="3"/>
      <c r="BH577" s="3"/>
      <c r="BI577" s="3"/>
    </row>
    <row r="578" spans="1:61" ht="12.95" customHeight="1">
      <c r="A578" s="22"/>
      <c r="B578" t="s">
        <v>580</v>
      </c>
      <c r="G578" s="1399" t="s">
        <v>2729</v>
      </c>
      <c r="H578" s="1399"/>
      <c r="I578" s="1399"/>
      <c r="J578" s="1399"/>
      <c r="K578" s="1399"/>
      <c r="L578" s="1399"/>
      <c r="M578" s="1399"/>
      <c r="N578" s="1399"/>
      <c r="O578" s="1399"/>
      <c r="P578" s="1399"/>
      <c r="Q578" s="1399"/>
      <c r="R578" s="1399"/>
      <c r="T578" s="22"/>
      <c r="U578" t="s">
        <v>580</v>
      </c>
      <c r="Z578" s="1454" t="str">
        <f>G578</f>
        <v>Houston, TX 77056</v>
      </c>
      <c r="AA578" s="1454"/>
      <c r="AB578" s="1454"/>
      <c r="AC578" s="1454"/>
      <c r="AD578" s="1454"/>
      <c r="AE578" s="1454"/>
      <c r="AF578" s="1454"/>
      <c r="AG578" s="1454"/>
      <c r="AH578" s="1454"/>
      <c r="AI578" s="1454"/>
      <c r="AJ578" s="1454"/>
      <c r="AK578" s="1454"/>
      <c r="BB578" s="3"/>
      <c r="BC578" s="3"/>
      <c r="BD578" s="3"/>
      <c r="BE578" s="3"/>
      <c r="BF578" s="3"/>
      <c r="BG578" s="3"/>
      <c r="BH578" s="3"/>
      <c r="BI578" s="3"/>
    </row>
    <row r="579" spans="1:61" ht="12.95" customHeight="1">
      <c r="A579" s="22"/>
      <c r="B579" t="s">
        <v>17</v>
      </c>
      <c r="G579" s="1399" t="s">
        <v>2730</v>
      </c>
      <c r="H579" s="1399"/>
      <c r="I579" s="1399"/>
      <c r="J579" s="1399"/>
      <c r="K579" s="1399"/>
      <c r="L579" s="1399"/>
      <c r="M579" s="1399"/>
      <c r="N579" s="1399"/>
      <c r="O579" s="1399"/>
      <c r="P579" s="1399"/>
      <c r="Q579" s="1399"/>
      <c r="R579" s="1399"/>
      <c r="S579" s="8"/>
      <c r="T579" s="22"/>
      <c r="U579" t="s">
        <v>17</v>
      </c>
      <c r="Z579" s="1454" t="str">
        <f>G579</f>
        <v>Fisher Sutterfield</v>
      </c>
      <c r="AA579" s="1454"/>
      <c r="AB579" s="1454"/>
      <c r="AC579" s="1454"/>
      <c r="AD579" s="1454"/>
      <c r="AE579" s="1454"/>
      <c r="AF579" s="1454"/>
      <c r="AG579" s="1454"/>
      <c r="AH579" s="1454"/>
      <c r="AI579" s="1454"/>
      <c r="AJ579" s="1454"/>
      <c r="AK579" s="1454"/>
      <c r="BB579" s="3"/>
      <c r="BC579" s="3"/>
      <c r="BD579" s="3"/>
      <c r="BE579" s="3"/>
      <c r="BF579" s="3"/>
      <c r="BG579" s="3"/>
      <c r="BH579" s="3"/>
      <c r="BI579" s="3"/>
    </row>
    <row r="580" spans="1:61" ht="12.95" customHeight="1">
      <c r="A580" s="22"/>
      <c r="B580" t="s">
        <v>316</v>
      </c>
      <c r="G580" s="1473">
        <v>7136936509</v>
      </c>
      <c r="H580" s="1473"/>
      <c r="I580" s="1473"/>
      <c r="J580" s="1473"/>
      <c r="K580" s="1473"/>
      <c r="L580" s="1473"/>
      <c r="O580" s="33" t="s">
        <v>206</v>
      </c>
      <c r="P580" s="1444"/>
      <c r="Q580" s="1444"/>
      <c r="R580" s="1444"/>
      <c r="S580" s="10"/>
      <c r="T580" s="22"/>
      <c r="U580" t="s">
        <v>316</v>
      </c>
      <c r="Z580" s="1473">
        <f>G580</f>
        <v>7136936509</v>
      </c>
      <c r="AA580" s="1473"/>
      <c r="AB580" s="1473"/>
      <c r="AC580" s="1473"/>
      <c r="AD580" s="1473"/>
      <c r="AE580" s="1473"/>
      <c r="AH580" s="33" t="s">
        <v>206</v>
      </c>
      <c r="AI580" s="1444"/>
      <c r="AJ580" s="1444"/>
      <c r="AK580" s="1444"/>
      <c r="BB580" s="3"/>
      <c r="BC580" s="3"/>
      <c r="BD580" s="3"/>
      <c r="BE580" s="3"/>
      <c r="BF580" s="3"/>
      <c r="BG580" s="3"/>
      <c r="BH580" s="3"/>
      <c r="BI580" s="3"/>
    </row>
    <row r="581" spans="1:61" ht="12.95" customHeight="1">
      <c r="A581" s="22"/>
      <c r="B581" t="s">
        <v>18</v>
      </c>
      <c r="H581" s="1399" t="str">
        <f>M562</f>
        <v>Loan, Tax-Exempt</v>
      </c>
      <c r="I581" s="1399"/>
      <c r="J581" s="1399"/>
      <c r="K581" s="1399"/>
      <c r="L581" s="1399"/>
      <c r="M581" s="1399"/>
      <c r="N581" s="1399"/>
      <c r="O581" s="1399"/>
      <c r="P581" s="1399"/>
      <c r="Q581" s="1399"/>
      <c r="R581" s="1399"/>
      <c r="S581" s="8"/>
      <c r="T581" s="22"/>
      <c r="U581" t="s">
        <v>18</v>
      </c>
      <c r="AA581" s="1399" t="str">
        <f>M563</f>
        <v>Loan, Taxable</v>
      </c>
      <c r="AB581" s="1399"/>
      <c r="AC581" s="1399"/>
      <c r="AD581" s="1399"/>
      <c r="AE581" s="1399"/>
      <c r="AF581" s="1399"/>
      <c r="AG581" s="1399"/>
      <c r="AH581" s="1399"/>
      <c r="AI581" s="1399"/>
      <c r="AJ581" s="1399"/>
      <c r="AK581" s="1399"/>
      <c r="BB581" s="3"/>
      <c r="BC581" s="3"/>
      <c r="BD581" s="3"/>
      <c r="BE581" s="3"/>
      <c r="BF581" s="3"/>
      <c r="BG581" s="3"/>
      <c r="BH581" s="3"/>
      <c r="BI581" s="3"/>
    </row>
    <row r="582" spans="1:61" ht="12.95" customHeight="1">
      <c r="A582" s="22"/>
      <c r="B582" s="320" t="s">
        <v>1185</v>
      </c>
      <c r="H582" s="8"/>
      <c r="I582" s="8"/>
      <c r="J582" s="8"/>
      <c r="K582" s="8"/>
      <c r="L582" s="8"/>
      <c r="M582" s="1692"/>
      <c r="N582" s="1692"/>
      <c r="O582" s="1692"/>
      <c r="P582" s="1692"/>
      <c r="Q582" s="1692"/>
      <c r="R582" s="1692"/>
      <c r="S582" s="8"/>
      <c r="T582" s="22"/>
      <c r="U582" s="320" t="s">
        <v>1185</v>
      </c>
      <c r="AA582" s="8"/>
      <c r="AB582" s="8"/>
      <c r="AC582" s="8"/>
      <c r="AD582" s="8"/>
      <c r="AE582" s="8"/>
      <c r="AF582" s="1692"/>
      <c r="AG582" s="1692"/>
      <c r="AH582" s="1692"/>
      <c r="AI582" s="1692"/>
      <c r="AJ582" s="1692"/>
      <c r="AK582" s="1692"/>
      <c r="BB582" s="3"/>
      <c r="BC582" s="3"/>
      <c r="BD582" s="3"/>
      <c r="BE582" s="3"/>
      <c r="BF582" s="3"/>
      <c r="BG582" s="3"/>
      <c r="BH582" s="3"/>
      <c r="BI582" s="3"/>
    </row>
    <row r="583" spans="1:61" ht="12.95" customHeight="1">
      <c r="A583" s="22"/>
      <c r="B583" t="s">
        <v>20</v>
      </c>
      <c r="N583" s="1347" t="s">
        <v>545</v>
      </c>
      <c r="O583" s="1347"/>
      <c r="T583" s="22"/>
      <c r="U583" t="s">
        <v>20</v>
      </c>
      <c r="AG583" s="1347" t="s">
        <v>545</v>
      </c>
      <c r="AH583" s="134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89" t="str">
        <f>C564</f>
        <v>Hudson Housing Capital</v>
      </c>
      <c r="H585" s="1489"/>
      <c r="I585" s="1489"/>
      <c r="J585" s="1489"/>
      <c r="K585" s="1489"/>
      <c r="L585" s="1489"/>
      <c r="M585" s="1489"/>
      <c r="N585" s="1489"/>
      <c r="O585" s="1489"/>
      <c r="P585" s="1489"/>
      <c r="Q585" s="1489"/>
      <c r="R585" s="1489"/>
      <c r="T585" s="55" t="s">
        <v>581</v>
      </c>
      <c r="U585" t="s">
        <v>463</v>
      </c>
      <c r="Z585" s="1489" t="str">
        <f>C565</f>
        <v>NOI</v>
      </c>
      <c r="AA585" s="1489"/>
      <c r="AB585" s="1489"/>
      <c r="AC585" s="1489"/>
      <c r="AD585" s="1489"/>
      <c r="AE585" s="1489"/>
      <c r="AF585" s="1489"/>
      <c r="AG585" s="1489"/>
      <c r="AH585" s="1489"/>
      <c r="AI585" s="1489"/>
      <c r="AJ585" s="1489"/>
      <c r="AK585" s="1489"/>
      <c r="BB585" s="3"/>
      <c r="BC585" s="3"/>
    </row>
    <row r="586" spans="1:61" ht="12.95" customHeight="1">
      <c r="A586" s="22"/>
      <c r="B586" t="s">
        <v>85</v>
      </c>
      <c r="G586" s="1399" t="str">
        <f>AA321</f>
        <v>45 Rockefeller Plaza #2580</v>
      </c>
      <c r="H586" s="1399"/>
      <c r="I586" s="1399"/>
      <c r="J586" s="1399"/>
      <c r="K586" s="1399"/>
      <c r="L586" s="1399"/>
      <c r="M586" s="1399"/>
      <c r="N586" s="1399"/>
      <c r="O586" s="1399"/>
      <c r="P586" s="1399"/>
      <c r="Q586" s="1399"/>
      <c r="R586" s="1399"/>
      <c r="T586" s="22"/>
      <c r="U586" t="s">
        <v>85</v>
      </c>
      <c r="Z586" s="1399" t="str">
        <f>G594</f>
        <v>30141 Agoura Rd Ste 100</v>
      </c>
      <c r="AA586" s="1399"/>
      <c r="AB586" s="1399"/>
      <c r="AC586" s="1399"/>
      <c r="AD586" s="1399"/>
      <c r="AE586" s="1399"/>
      <c r="AF586" s="1399"/>
      <c r="AG586" s="1399"/>
      <c r="AH586" s="1399"/>
      <c r="AI586" s="1399"/>
      <c r="AJ586" s="1399"/>
      <c r="AK586" s="1399"/>
      <c r="BB586" s="3"/>
      <c r="BC586" s="3"/>
    </row>
    <row r="587" spans="1:61" ht="12.95" customHeight="1">
      <c r="A587" s="22"/>
      <c r="B587" t="s">
        <v>580</v>
      </c>
      <c r="G587" s="1454" t="str">
        <f>AA322</f>
        <v>New York, NY 10111</v>
      </c>
      <c r="H587" s="1454"/>
      <c r="I587" s="1454"/>
      <c r="J587" s="1454"/>
      <c r="K587" s="1454"/>
      <c r="L587" s="1454"/>
      <c r="M587" s="1454"/>
      <c r="N587" s="1454"/>
      <c r="O587" s="1454"/>
      <c r="P587" s="1454"/>
      <c r="Q587" s="1454"/>
      <c r="R587" s="1454"/>
      <c r="T587" s="22"/>
      <c r="U587" t="s">
        <v>580</v>
      </c>
      <c r="Z587" s="1454" t="str">
        <f>G595</f>
        <v>Agoura Hills, CA 91301</v>
      </c>
      <c r="AA587" s="1454"/>
      <c r="AB587" s="1454"/>
      <c r="AC587" s="1454"/>
      <c r="AD587" s="1454"/>
      <c r="AE587" s="1454"/>
      <c r="AF587" s="1454"/>
      <c r="AG587" s="1454"/>
      <c r="AH587" s="1454"/>
      <c r="AI587" s="1454"/>
      <c r="AJ587" s="1454"/>
      <c r="AK587" s="1454"/>
      <c r="BB587" s="3"/>
      <c r="BC587" s="3"/>
    </row>
    <row r="588" spans="1:61" ht="12.95" customHeight="1">
      <c r="A588" s="22"/>
      <c r="B588" t="s">
        <v>17</v>
      </c>
      <c r="G588" s="1454" t="s">
        <v>2693</v>
      </c>
      <c r="H588" s="1454"/>
      <c r="I588" s="1454"/>
      <c r="J588" s="1454"/>
      <c r="K588" s="1454"/>
      <c r="L588" s="1454"/>
      <c r="M588" s="1454"/>
      <c r="N588" s="1454"/>
      <c r="O588" s="1454"/>
      <c r="P588" s="1454"/>
      <c r="Q588" s="1454"/>
      <c r="R588" s="1454"/>
      <c r="T588" s="22"/>
      <c r="U588" t="s">
        <v>17</v>
      </c>
      <c r="Z588" s="1454" t="str">
        <f>G596</f>
        <v>Ramir Kianfar</v>
      </c>
      <c r="AA588" s="1454"/>
      <c r="AB588" s="1454"/>
      <c r="AC588" s="1454"/>
      <c r="AD588" s="1454"/>
      <c r="AE588" s="1454"/>
      <c r="AF588" s="1454"/>
      <c r="AG588" s="1454"/>
      <c r="AH588" s="1454"/>
      <c r="AI588" s="1454"/>
      <c r="AJ588" s="1454"/>
      <c r="AK588" s="1454"/>
      <c r="BB588" s="3"/>
      <c r="BC588" s="3"/>
    </row>
    <row r="589" spans="1:61" ht="12.95" customHeight="1">
      <c r="A589" s="22"/>
      <c r="B589" t="s">
        <v>316</v>
      </c>
      <c r="G589" s="1473">
        <v>9493399585</v>
      </c>
      <c r="H589" s="1473"/>
      <c r="I589" s="1473"/>
      <c r="J589" s="1473"/>
      <c r="K589" s="1473"/>
      <c r="L589" s="1473"/>
      <c r="O589" s="33" t="s">
        <v>206</v>
      </c>
      <c r="P589" s="1444"/>
      <c r="Q589" s="1444"/>
      <c r="R589" s="1444"/>
      <c r="T589" s="22"/>
      <c r="U589" t="s">
        <v>316</v>
      </c>
      <c r="Z589" s="1473">
        <f>G597</f>
        <v>8187060694</v>
      </c>
      <c r="AA589" s="1473"/>
      <c r="AB589" s="1473"/>
      <c r="AC589" s="1473"/>
      <c r="AD589" s="1473"/>
      <c r="AE589" s="1473"/>
      <c r="AH589" s="33" t="s">
        <v>206</v>
      </c>
      <c r="AI589" s="1444">
        <v>106</v>
      </c>
      <c r="AJ589" s="1444"/>
      <c r="AK589" s="1444"/>
      <c r="BB589" s="3"/>
      <c r="BC589" s="3"/>
    </row>
    <row r="590" spans="1:61" ht="12.95" customHeight="1">
      <c r="A590" s="22"/>
      <c r="B590" t="s">
        <v>18</v>
      </c>
      <c r="H590" s="1399" t="str">
        <f>M564</f>
        <v>Equity, LIHTC Investor</v>
      </c>
      <c r="I590" s="1399"/>
      <c r="J590" s="1399"/>
      <c r="K590" s="1399"/>
      <c r="L590" s="1399"/>
      <c r="M590" s="1399"/>
      <c r="N590" s="1399"/>
      <c r="O590" s="1399"/>
      <c r="P590" s="1399"/>
      <c r="Q590" s="1399"/>
      <c r="R590" s="1399"/>
      <c r="T590" s="22"/>
      <c r="U590" t="s">
        <v>18</v>
      </c>
      <c r="AA590" s="1399" t="str">
        <f>M565</f>
        <v>Net Operating Income</v>
      </c>
      <c r="AB590" s="1399"/>
      <c r="AC590" s="1399"/>
      <c r="AD590" s="1399"/>
      <c r="AE590" s="1399"/>
      <c r="AF590" s="1399"/>
      <c r="AG590" s="1399"/>
      <c r="AH590" s="1399"/>
      <c r="AI590" s="1399"/>
      <c r="AJ590" s="1399"/>
      <c r="AK590" s="1399"/>
      <c r="BB590" s="3"/>
      <c r="BC590" s="3"/>
    </row>
    <row r="591" spans="1:61" ht="12.95" customHeight="1">
      <c r="A591" s="22"/>
      <c r="B591" t="s">
        <v>20</v>
      </c>
      <c r="N591" s="1347" t="s">
        <v>545</v>
      </c>
      <c r="O591" s="1347"/>
      <c r="T591" s="22"/>
      <c r="U591" t="s">
        <v>20</v>
      </c>
      <c r="AG591" s="1347" t="s">
        <v>545</v>
      </c>
      <c r="AH591" s="1347"/>
      <c r="BB591" s="3"/>
      <c r="BC591" s="3"/>
    </row>
    <row r="592" spans="1:61" ht="12.95" customHeight="1">
      <c r="A592" s="22"/>
      <c r="T592" s="22"/>
      <c r="BB592" s="3"/>
      <c r="BC592" s="3"/>
    </row>
    <row r="593" spans="1:55" ht="12.95" customHeight="1">
      <c r="A593" s="55" t="s">
        <v>763</v>
      </c>
      <c r="B593" t="s">
        <v>463</v>
      </c>
      <c r="G593" s="1489" t="str">
        <f>C566</f>
        <v>Deferred Costs</v>
      </c>
      <c r="H593" s="1489"/>
      <c r="I593" s="1489"/>
      <c r="J593" s="1489"/>
      <c r="K593" s="1489"/>
      <c r="L593" s="1489"/>
      <c r="M593" s="1489"/>
      <c r="N593" s="1489"/>
      <c r="O593" s="1489"/>
      <c r="P593" s="1489"/>
      <c r="Q593" s="1489"/>
      <c r="R593" s="1489"/>
      <c r="T593" s="55" t="s">
        <v>584</v>
      </c>
      <c r="U593" t="s">
        <v>463</v>
      </c>
      <c r="Z593" s="1489">
        <f>C567</f>
        <v>0</v>
      </c>
      <c r="AA593" s="1489"/>
      <c r="AB593" s="1489"/>
      <c r="AC593" s="1489"/>
      <c r="AD593" s="1489"/>
      <c r="AE593" s="1489"/>
      <c r="AF593" s="1489"/>
      <c r="AG593" s="1489"/>
      <c r="AH593" s="1489"/>
      <c r="AI593" s="1489"/>
      <c r="AJ593" s="1489"/>
      <c r="AK593" s="1489"/>
      <c r="BB593" s="3"/>
      <c r="BC593" s="3"/>
    </row>
    <row r="594" spans="1:55" ht="12.95" customHeight="1">
      <c r="A594" s="22"/>
      <c r="B594" t="s">
        <v>85</v>
      </c>
      <c r="G594" s="1399" t="str">
        <f>H297</f>
        <v>30141 Agoura Rd Ste 100</v>
      </c>
      <c r="H594" s="1399"/>
      <c r="I594" s="1399"/>
      <c r="J594" s="1399"/>
      <c r="K594" s="1399"/>
      <c r="L594" s="1399"/>
      <c r="M594" s="1399"/>
      <c r="N594" s="1399"/>
      <c r="O594" s="1399"/>
      <c r="P594" s="1399"/>
      <c r="Q594" s="1399"/>
      <c r="R594" s="1399"/>
      <c r="T594" s="22"/>
      <c r="U594" t="s">
        <v>85</v>
      </c>
      <c r="Z594" s="1399"/>
      <c r="AA594" s="1399"/>
      <c r="AB594" s="1399"/>
      <c r="AC594" s="1399"/>
      <c r="AD594" s="1399"/>
      <c r="AE594" s="1399"/>
      <c r="AF594" s="1399"/>
      <c r="AG594" s="1399"/>
      <c r="AH594" s="1399"/>
      <c r="AI594" s="1399"/>
      <c r="AJ594" s="1399"/>
      <c r="AK594" s="1399"/>
      <c r="BB594" s="3"/>
      <c r="BC594" s="3"/>
    </row>
    <row r="595" spans="1:55" ht="12.95" customHeight="1">
      <c r="A595" s="22"/>
      <c r="B595" t="s">
        <v>580</v>
      </c>
      <c r="G595" s="1399" t="str">
        <f>H298</f>
        <v>Agoura Hills, CA 91301</v>
      </c>
      <c r="H595" s="1399"/>
      <c r="I595" s="1399"/>
      <c r="J595" s="1399"/>
      <c r="K595" s="1399"/>
      <c r="L595" s="1399"/>
      <c r="M595" s="1399"/>
      <c r="N595" s="1399"/>
      <c r="O595" s="1399"/>
      <c r="P595" s="1399"/>
      <c r="Q595" s="1399"/>
      <c r="R595" s="1399"/>
      <c r="T595" s="22"/>
      <c r="U595" t="s">
        <v>580</v>
      </c>
      <c r="Z595" s="1454"/>
      <c r="AA595" s="1454"/>
      <c r="AB595" s="1454"/>
      <c r="AC595" s="1454"/>
      <c r="AD595" s="1454"/>
      <c r="AE595" s="1454"/>
      <c r="AF595" s="1454"/>
      <c r="AG595" s="1454"/>
      <c r="AH595" s="1454"/>
      <c r="AI595" s="1454"/>
      <c r="AJ595" s="1454"/>
      <c r="AK595" s="1454"/>
      <c r="BB595" s="3"/>
      <c r="BC595" s="3"/>
    </row>
    <row r="596" spans="1:55" ht="12.95" customHeight="1">
      <c r="A596" s="22"/>
      <c r="B596" t="s">
        <v>17</v>
      </c>
      <c r="G596" s="1399" t="str">
        <f>H299</f>
        <v>Ramir Kianfar</v>
      </c>
      <c r="H596" s="1399"/>
      <c r="I596" s="1399"/>
      <c r="J596" s="1399"/>
      <c r="K596" s="1399"/>
      <c r="L596" s="1399"/>
      <c r="M596" s="1399"/>
      <c r="N596" s="1399"/>
      <c r="O596" s="1399"/>
      <c r="P596" s="1399"/>
      <c r="Q596" s="1399"/>
      <c r="R596" s="1399"/>
      <c r="T596" s="22"/>
      <c r="U596" t="s">
        <v>17</v>
      </c>
      <c r="Z596" s="1454"/>
      <c r="AA596" s="1454"/>
      <c r="AB596" s="1454"/>
      <c r="AC596" s="1454"/>
      <c r="AD596" s="1454"/>
      <c r="AE596" s="1454"/>
      <c r="AF596" s="1454"/>
      <c r="AG596" s="1454"/>
      <c r="AH596" s="1454"/>
      <c r="AI596" s="1454"/>
      <c r="AJ596" s="1454"/>
      <c r="AK596" s="1454"/>
    </row>
    <row r="597" spans="1:55" ht="12.95" customHeight="1">
      <c r="A597" s="22"/>
      <c r="B597" t="s">
        <v>316</v>
      </c>
      <c r="G597" s="1473">
        <f>H300</f>
        <v>8187060694</v>
      </c>
      <c r="H597" s="1473"/>
      <c r="I597" s="1473"/>
      <c r="J597" s="1473"/>
      <c r="K597" s="1473"/>
      <c r="L597" s="1473"/>
      <c r="O597" s="33" t="s">
        <v>206</v>
      </c>
      <c r="P597" s="1444">
        <v>106</v>
      </c>
      <c r="Q597" s="1444"/>
      <c r="R597" s="1444"/>
      <c r="T597" s="22"/>
      <c r="U597" t="s">
        <v>316</v>
      </c>
      <c r="Z597" s="1473"/>
      <c r="AA597" s="1473"/>
      <c r="AB597" s="1473"/>
      <c r="AC597" s="1473"/>
      <c r="AD597" s="1473"/>
      <c r="AE597" s="1473"/>
      <c r="AH597" s="33" t="s">
        <v>206</v>
      </c>
      <c r="AI597" s="1444"/>
      <c r="AJ597" s="1444"/>
      <c r="AK597" s="1444"/>
      <c r="AZ597" s="3"/>
      <c r="BA597" s="3"/>
      <c r="BB597" s="3"/>
      <c r="BC597" s="3"/>
    </row>
    <row r="598" spans="1:55" ht="12.95" customHeight="1">
      <c r="A598" s="22"/>
      <c r="B598" t="s">
        <v>18</v>
      </c>
      <c r="H598" s="1399" t="str">
        <f>M566</f>
        <v>Cost Deferral</v>
      </c>
      <c r="I598" s="1399"/>
      <c r="J598" s="1399"/>
      <c r="K598" s="1399"/>
      <c r="L598" s="1399"/>
      <c r="M598" s="1399"/>
      <c r="N598" s="1399"/>
      <c r="O598" s="1399"/>
      <c r="P598" s="1399"/>
      <c r="Q598" s="1399"/>
      <c r="R598" s="1399"/>
      <c r="T598" s="22"/>
      <c r="U598" t="s">
        <v>18</v>
      </c>
      <c r="AA598" s="1399"/>
      <c r="AB598" s="1399"/>
      <c r="AC598" s="1399"/>
      <c r="AD598" s="1399"/>
      <c r="AE598" s="1399"/>
      <c r="AF598" s="1399"/>
      <c r="AG598" s="1399"/>
      <c r="AH598" s="1399"/>
      <c r="AI598" s="1399"/>
      <c r="AJ598" s="1399"/>
      <c r="AK598" s="1399"/>
      <c r="AZ598" s="3"/>
      <c r="BA598" s="3"/>
      <c r="BB598" s="3"/>
      <c r="BC598" s="3"/>
    </row>
    <row r="599" spans="1:55" ht="12.95" customHeight="1">
      <c r="A599" s="22"/>
      <c r="B599" t="s">
        <v>20</v>
      </c>
      <c r="N599" s="1347" t="s">
        <v>545</v>
      </c>
      <c r="O599" s="1347"/>
      <c r="T599" s="22"/>
      <c r="U599" t="s">
        <v>20</v>
      </c>
      <c r="AG599" s="1347" t="s">
        <v>669</v>
      </c>
      <c r="AH599" s="1347"/>
      <c r="AZ599" s="3"/>
      <c r="BA599" s="3"/>
      <c r="BB599" s="3"/>
      <c r="BC599" s="3"/>
    </row>
    <row r="600" spans="1:55" ht="12.95" customHeight="1">
      <c r="A600" s="22"/>
      <c r="T600" s="22"/>
      <c r="AZ600" s="3"/>
      <c r="BA600" s="3"/>
      <c r="BB600" s="3"/>
      <c r="BC600" s="3"/>
    </row>
    <row r="601" spans="1:55" ht="12.95" customHeight="1">
      <c r="A601" s="55" t="s">
        <v>455</v>
      </c>
      <c r="B601" t="s">
        <v>463</v>
      </c>
      <c r="G601" s="1489">
        <f>C568</f>
        <v>0</v>
      </c>
      <c r="H601" s="1489"/>
      <c r="I601" s="1489"/>
      <c r="J601" s="1489"/>
      <c r="K601" s="1489"/>
      <c r="L601" s="1489"/>
      <c r="M601" s="1489"/>
      <c r="N601" s="1489"/>
      <c r="O601" s="1489"/>
      <c r="P601" s="1489"/>
      <c r="Q601" s="1489"/>
      <c r="R601" s="1489"/>
      <c r="T601" s="55" t="s">
        <v>456</v>
      </c>
      <c r="U601" t="s">
        <v>463</v>
      </c>
      <c r="Z601" s="1489">
        <f>C569</f>
        <v>0</v>
      </c>
      <c r="AA601" s="1489"/>
      <c r="AB601" s="1489"/>
      <c r="AC601" s="1489"/>
      <c r="AD601" s="1489"/>
      <c r="AE601" s="1489"/>
      <c r="AF601" s="1489"/>
      <c r="AG601" s="1489"/>
      <c r="AH601" s="1489"/>
      <c r="AI601" s="1489"/>
      <c r="AJ601" s="1489"/>
      <c r="AK601" s="1489"/>
      <c r="AZ601" s="3"/>
      <c r="BA601" s="3"/>
      <c r="BB601" s="3"/>
      <c r="BC601" s="3"/>
    </row>
    <row r="602" spans="1:55" s="4" customFormat="1" ht="12.95" customHeight="1">
      <c r="A602" s="22"/>
      <c r="B602" t="s">
        <v>85</v>
      </c>
      <c r="C602"/>
      <c r="D602"/>
      <c r="E602"/>
      <c r="F602"/>
      <c r="G602" s="1399"/>
      <c r="H602" s="1399"/>
      <c r="I602" s="1399"/>
      <c r="J602" s="1399"/>
      <c r="K602" s="1399"/>
      <c r="L602" s="1399"/>
      <c r="M602" s="1399"/>
      <c r="N602" s="1399"/>
      <c r="O602" s="1399"/>
      <c r="P602" s="1399"/>
      <c r="Q602" s="1399"/>
      <c r="R602" s="1399"/>
      <c r="S602"/>
      <c r="T602" s="22"/>
      <c r="U602" t="s">
        <v>85</v>
      </c>
      <c r="V602"/>
      <c r="W602"/>
      <c r="X602"/>
      <c r="Y602"/>
      <c r="Z602" s="1399"/>
      <c r="AA602" s="1399"/>
      <c r="AB602" s="1399"/>
      <c r="AC602" s="1399"/>
      <c r="AD602" s="1399"/>
      <c r="AE602" s="1399"/>
      <c r="AF602" s="1399"/>
      <c r="AG602" s="1399"/>
      <c r="AH602" s="1399"/>
      <c r="AI602" s="1399"/>
      <c r="AJ602" s="1399"/>
      <c r="AK602" s="1399"/>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99"/>
      <c r="H603" s="1399"/>
      <c r="I603" s="1399"/>
      <c r="J603" s="1399"/>
      <c r="K603" s="1399"/>
      <c r="L603" s="1399"/>
      <c r="M603" s="1399"/>
      <c r="N603" s="1399"/>
      <c r="O603" s="1399"/>
      <c r="P603" s="1399"/>
      <c r="Q603" s="1399"/>
      <c r="R603" s="1399"/>
      <c r="S603"/>
      <c r="T603" s="22"/>
      <c r="U603" t="s">
        <v>580</v>
      </c>
      <c r="V603"/>
      <c r="W603"/>
      <c r="X603"/>
      <c r="Y603"/>
      <c r="Z603" s="1454"/>
      <c r="AA603" s="1454"/>
      <c r="AB603" s="1454"/>
      <c r="AC603" s="1454"/>
      <c r="AD603" s="1454"/>
      <c r="AE603" s="1454"/>
      <c r="AF603" s="1454"/>
      <c r="AG603" s="1454"/>
      <c r="AH603" s="1454"/>
      <c r="AI603" s="1454"/>
      <c r="AJ603" s="1454"/>
      <c r="AK603" s="1454"/>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99"/>
      <c r="H604" s="1399"/>
      <c r="I604" s="1399"/>
      <c r="J604" s="1399"/>
      <c r="K604" s="1399"/>
      <c r="L604" s="1399"/>
      <c r="M604" s="1399"/>
      <c r="N604" s="1399"/>
      <c r="O604" s="1399"/>
      <c r="P604" s="1399"/>
      <c r="Q604" s="1399"/>
      <c r="R604" s="1399"/>
      <c r="S604"/>
      <c r="T604" s="22"/>
      <c r="U604" t="s">
        <v>17</v>
      </c>
      <c r="V604"/>
      <c r="W604"/>
      <c r="X604"/>
      <c r="Y604"/>
      <c r="Z604" s="1454"/>
      <c r="AA604" s="1454"/>
      <c r="AB604" s="1454"/>
      <c r="AC604" s="1454"/>
      <c r="AD604" s="1454"/>
      <c r="AE604" s="1454"/>
      <c r="AF604" s="1454"/>
      <c r="AG604" s="1454"/>
      <c r="AH604" s="1454"/>
      <c r="AI604" s="1454"/>
      <c r="AJ604" s="1454"/>
      <c r="AK604" s="1454"/>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73"/>
      <c r="H605" s="1473"/>
      <c r="I605" s="1473"/>
      <c r="J605" s="1473"/>
      <c r="K605" s="1473"/>
      <c r="L605" s="1473"/>
      <c r="M605"/>
      <c r="N605"/>
      <c r="O605" s="33" t="s">
        <v>206</v>
      </c>
      <c r="P605" s="1444"/>
      <c r="Q605" s="1444"/>
      <c r="R605" s="1444"/>
      <c r="S605"/>
      <c r="T605" s="22"/>
      <c r="U605" t="s">
        <v>316</v>
      </c>
      <c r="V605"/>
      <c r="W605"/>
      <c r="X605"/>
      <c r="Y605"/>
      <c r="Z605" s="1473"/>
      <c r="AA605" s="1473"/>
      <c r="AB605" s="1473"/>
      <c r="AC605" s="1473"/>
      <c r="AD605" s="1473"/>
      <c r="AE605" s="1473"/>
      <c r="AF605"/>
      <c r="AG605"/>
      <c r="AH605" s="33" t="s">
        <v>206</v>
      </c>
      <c r="AI605" s="1444"/>
      <c r="AJ605" s="1444"/>
      <c r="AK605" s="1444"/>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99"/>
      <c r="I606" s="1399"/>
      <c r="J606" s="1399"/>
      <c r="K606" s="1399"/>
      <c r="L606" s="1399"/>
      <c r="M606" s="1399"/>
      <c r="N606" s="1399"/>
      <c r="O606" s="1399"/>
      <c r="P606" s="1399"/>
      <c r="Q606" s="1399"/>
      <c r="R606" s="1399"/>
      <c r="S606"/>
      <c r="T606" s="22"/>
      <c r="U606" t="s">
        <v>18</v>
      </c>
      <c r="V606"/>
      <c r="W606"/>
      <c r="X606"/>
      <c r="Y606"/>
      <c r="Z606"/>
      <c r="AA606" s="1399"/>
      <c r="AB606" s="1399"/>
      <c r="AC606" s="1399"/>
      <c r="AD606" s="1399"/>
      <c r="AE606" s="1399"/>
      <c r="AF606" s="1399"/>
      <c r="AG606" s="1399"/>
      <c r="AH606" s="1399"/>
      <c r="AI606" s="1399"/>
      <c r="AJ606" s="1399"/>
      <c r="AK606" s="1399"/>
      <c r="AL606"/>
      <c r="AM606"/>
      <c r="AN606"/>
      <c r="AO606"/>
      <c r="AP606"/>
      <c r="AQ606"/>
      <c r="AR606"/>
      <c r="AS606"/>
      <c r="AT606"/>
      <c r="AU606"/>
      <c r="AV606"/>
      <c r="AW606"/>
      <c r="AX606"/>
      <c r="AY606"/>
      <c r="BB606" s="3"/>
      <c r="BC606" s="3"/>
    </row>
    <row r="607" spans="1:55" ht="12.95" customHeight="1">
      <c r="A607" s="22"/>
      <c r="B607" t="s">
        <v>20</v>
      </c>
      <c r="N607" s="1347" t="s">
        <v>669</v>
      </c>
      <c r="O607" s="1347"/>
      <c r="T607" s="22"/>
      <c r="U607" t="s">
        <v>20</v>
      </c>
      <c r="AG607" s="1347" t="s">
        <v>669</v>
      </c>
      <c r="AH607" s="1347"/>
      <c r="BB607" s="3"/>
      <c r="BC607" s="3"/>
    </row>
    <row r="608" spans="1:55" ht="12.95" customHeight="1">
      <c r="A608" s="22"/>
      <c r="T608" s="22"/>
      <c r="BB608" s="3"/>
      <c r="BC608" s="3"/>
    </row>
    <row r="609" spans="1:55" ht="12.95" customHeight="1">
      <c r="A609" s="55" t="s">
        <v>461</v>
      </c>
      <c r="B609" t="s">
        <v>463</v>
      </c>
      <c r="G609" s="1489">
        <f>C570</f>
        <v>0</v>
      </c>
      <c r="H609" s="1489"/>
      <c r="I609" s="1489"/>
      <c r="J609" s="1489"/>
      <c r="K609" s="1489"/>
      <c r="L609" s="1489"/>
      <c r="M609" s="1489"/>
      <c r="N609" s="1489"/>
      <c r="O609" s="1489"/>
      <c r="P609" s="1489"/>
      <c r="Q609" s="1489"/>
      <c r="R609" s="1489"/>
      <c r="T609" s="55" t="s">
        <v>646</v>
      </c>
      <c r="U609" t="s">
        <v>463</v>
      </c>
      <c r="Z609" s="1489">
        <f>C571</f>
        <v>0</v>
      </c>
      <c r="AA609" s="1489"/>
      <c r="AB609" s="1489"/>
      <c r="AC609" s="1489"/>
      <c r="AD609" s="1489"/>
      <c r="AE609" s="1489"/>
      <c r="AF609" s="1489"/>
      <c r="AG609" s="1489"/>
      <c r="AH609" s="1489"/>
      <c r="AI609" s="1489"/>
      <c r="AJ609" s="1489"/>
      <c r="AK609" s="1489"/>
      <c r="BB609" s="3"/>
      <c r="BC609" s="3"/>
    </row>
    <row r="610" spans="1:55" ht="12.95" customHeight="1">
      <c r="A610" s="22"/>
      <c r="B610" t="s">
        <v>85</v>
      </c>
      <c r="G610" s="1399"/>
      <c r="H610" s="1399"/>
      <c r="I610" s="1399"/>
      <c r="J610" s="1399"/>
      <c r="K610" s="1399"/>
      <c r="L610" s="1399"/>
      <c r="M610" s="1399"/>
      <c r="N610" s="1399"/>
      <c r="O610" s="1399"/>
      <c r="P610" s="1399"/>
      <c r="Q610" s="1399"/>
      <c r="R610" s="1399"/>
      <c r="T610" s="22"/>
      <c r="U610" t="s">
        <v>85</v>
      </c>
      <c r="Z610" s="1399"/>
      <c r="AA610" s="1399"/>
      <c r="AB610" s="1399"/>
      <c r="AC610" s="1399"/>
      <c r="AD610" s="1399"/>
      <c r="AE610" s="1399"/>
      <c r="AF610" s="1399"/>
      <c r="AG610" s="1399"/>
      <c r="AH610" s="1399"/>
      <c r="AI610" s="1399"/>
      <c r="AJ610" s="1399"/>
      <c r="AK610" s="1399"/>
      <c r="AZ610" s="3"/>
      <c r="BA610" s="3"/>
      <c r="BB610" s="3"/>
      <c r="BC610" s="3"/>
    </row>
    <row r="611" spans="1:55" ht="12.95" customHeight="1">
      <c r="A611" s="22"/>
      <c r="B611" t="s">
        <v>580</v>
      </c>
      <c r="G611" s="1399"/>
      <c r="H611" s="1399"/>
      <c r="I611" s="1399"/>
      <c r="J611" s="1399"/>
      <c r="K611" s="1399"/>
      <c r="L611" s="1399"/>
      <c r="M611" s="1399"/>
      <c r="N611" s="1399"/>
      <c r="O611" s="1399"/>
      <c r="P611" s="1399"/>
      <c r="Q611" s="1399"/>
      <c r="R611" s="1399"/>
      <c r="T611" s="22"/>
      <c r="U611" t="s">
        <v>580</v>
      </c>
      <c r="Z611" s="1454"/>
      <c r="AA611" s="1454"/>
      <c r="AB611" s="1454"/>
      <c r="AC611" s="1454"/>
      <c r="AD611" s="1454"/>
      <c r="AE611" s="1454"/>
      <c r="AF611" s="1454"/>
      <c r="AG611" s="1454"/>
      <c r="AH611" s="1454"/>
      <c r="AI611" s="1454"/>
      <c r="AJ611" s="1454"/>
      <c r="AK611" s="1454"/>
      <c r="AZ611" s="3"/>
      <c r="BA611" s="3"/>
      <c r="BB611" s="3"/>
      <c r="BC611" s="3"/>
    </row>
    <row r="612" spans="1:55" ht="12.95" customHeight="1">
      <c r="A612" s="22"/>
      <c r="B612" t="s">
        <v>17</v>
      </c>
      <c r="G612" s="1399"/>
      <c r="H612" s="1399"/>
      <c r="I612" s="1399"/>
      <c r="J612" s="1399"/>
      <c r="K612" s="1399"/>
      <c r="L612" s="1399"/>
      <c r="M612" s="1399"/>
      <c r="N612" s="1399"/>
      <c r="O612" s="1399"/>
      <c r="P612" s="1399"/>
      <c r="Q612" s="1399"/>
      <c r="R612" s="1399"/>
      <c r="T612" s="22"/>
      <c r="U612" t="s">
        <v>17</v>
      </c>
      <c r="Z612" s="1454"/>
      <c r="AA612" s="1454"/>
      <c r="AB612" s="1454"/>
      <c r="AC612" s="1454"/>
      <c r="AD612" s="1454"/>
      <c r="AE612" s="1454"/>
      <c r="AF612" s="1454"/>
      <c r="AG612" s="1454"/>
      <c r="AH612" s="1454"/>
      <c r="AI612" s="1454"/>
      <c r="AJ612" s="1454"/>
      <c r="AK612" s="1454"/>
      <c r="AZ612" s="3"/>
      <c r="BA612" s="3"/>
      <c r="BB612" s="3"/>
      <c r="BC612" s="3"/>
    </row>
    <row r="613" spans="1:55" s="4" customFormat="1" ht="12.95" customHeight="1">
      <c r="A613" s="22"/>
      <c r="B613" t="s">
        <v>316</v>
      </c>
      <c r="C613"/>
      <c r="D613"/>
      <c r="E613"/>
      <c r="F613"/>
      <c r="G613" s="1473"/>
      <c r="H613" s="1473"/>
      <c r="I613" s="1473"/>
      <c r="J613" s="1473"/>
      <c r="K613" s="1473"/>
      <c r="L613" s="1473"/>
      <c r="M613"/>
      <c r="N613"/>
      <c r="O613" s="33" t="s">
        <v>206</v>
      </c>
      <c r="P613" s="1444"/>
      <c r="Q613" s="1444"/>
      <c r="R613" s="1444"/>
      <c r="S613"/>
      <c r="T613" s="22"/>
      <c r="U613" t="s">
        <v>316</v>
      </c>
      <c r="V613"/>
      <c r="W613"/>
      <c r="X613"/>
      <c r="Y613"/>
      <c r="Z613" s="1473"/>
      <c r="AA613" s="1473"/>
      <c r="AB613" s="1473"/>
      <c r="AC613" s="1473"/>
      <c r="AD613" s="1473"/>
      <c r="AE613" s="1473"/>
      <c r="AF613"/>
      <c r="AG613"/>
      <c r="AH613" s="33" t="s">
        <v>206</v>
      </c>
      <c r="AI613" s="1444"/>
      <c r="AJ613" s="1444"/>
      <c r="AK613" s="1444"/>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99"/>
      <c r="I614" s="1399"/>
      <c r="J614" s="1399"/>
      <c r="K614" s="1399"/>
      <c r="L614" s="1399"/>
      <c r="M614" s="1399"/>
      <c r="N614" s="1399"/>
      <c r="O614" s="1399"/>
      <c r="P614" s="1399"/>
      <c r="Q614" s="1399"/>
      <c r="R614" s="1399"/>
      <c r="S614"/>
      <c r="T614" s="22"/>
      <c r="U614" t="s">
        <v>18</v>
      </c>
      <c r="V614"/>
      <c r="W614"/>
      <c r="X614"/>
      <c r="Y614"/>
      <c r="Z614"/>
      <c r="AA614" s="1399"/>
      <c r="AB614" s="1399"/>
      <c r="AC614" s="1399"/>
      <c r="AD614" s="1399"/>
      <c r="AE614" s="1399"/>
      <c r="AF614" s="1399"/>
      <c r="AG614" s="1399"/>
      <c r="AH614" s="1399"/>
      <c r="AI614" s="1399"/>
      <c r="AJ614" s="1399"/>
      <c r="AK614" s="1399"/>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7" t="s">
        <v>669</v>
      </c>
      <c r="O615" s="1347"/>
      <c r="P615"/>
      <c r="Q615"/>
      <c r="R615"/>
      <c r="S615"/>
      <c r="T615" s="22"/>
      <c r="U615" t="s">
        <v>20</v>
      </c>
      <c r="V615"/>
      <c r="W615"/>
      <c r="X615"/>
      <c r="Y615"/>
      <c r="Z615"/>
      <c r="AA615"/>
      <c r="AB615"/>
      <c r="AC615"/>
      <c r="AD615"/>
      <c r="AE615"/>
      <c r="AF615"/>
      <c r="AG615" s="1347" t="s">
        <v>669</v>
      </c>
      <c r="AH615" s="134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89">
        <f>C572</f>
        <v>0</v>
      </c>
      <c r="H617" s="1489"/>
      <c r="I617" s="1489"/>
      <c r="J617" s="1489"/>
      <c r="K617" s="1489"/>
      <c r="L617" s="1489"/>
      <c r="M617" s="1489"/>
      <c r="N617" s="1489"/>
      <c r="O617" s="1489"/>
      <c r="P617" s="1489"/>
      <c r="Q617" s="1489"/>
      <c r="R617" s="1489"/>
      <c r="T617" s="55" t="s">
        <v>363</v>
      </c>
      <c r="U617" t="s">
        <v>463</v>
      </c>
      <c r="Z617" s="1489">
        <f>C573</f>
        <v>0</v>
      </c>
      <c r="AA617" s="1489"/>
      <c r="AB617" s="1489"/>
      <c r="AC617" s="1489"/>
      <c r="AD617" s="1489"/>
      <c r="AE617" s="1489"/>
      <c r="AF617" s="1489"/>
      <c r="AG617" s="1489"/>
      <c r="AH617" s="1489"/>
      <c r="AI617" s="1489"/>
      <c r="AJ617" s="1489"/>
      <c r="AK617" s="1489"/>
      <c r="AZ617" s="3"/>
      <c r="BA617" s="3"/>
      <c r="BB617" s="3"/>
      <c r="BC617" s="3"/>
    </row>
    <row r="618" spans="1:55" ht="12.95" customHeight="1">
      <c r="B618" t="s">
        <v>85</v>
      </c>
      <c r="G618" s="1399"/>
      <c r="H618" s="1399"/>
      <c r="I618" s="1399"/>
      <c r="J618" s="1399"/>
      <c r="K618" s="1399"/>
      <c r="L618" s="1399"/>
      <c r="M618" s="1399"/>
      <c r="N618" s="1399"/>
      <c r="O618" s="1399"/>
      <c r="P618" s="1399"/>
      <c r="Q618" s="1399"/>
      <c r="R618" s="1399"/>
      <c r="U618" t="s">
        <v>85</v>
      </c>
      <c r="Z618" s="1399"/>
      <c r="AA618" s="1399"/>
      <c r="AB618" s="1399"/>
      <c r="AC618" s="1399"/>
      <c r="AD618" s="1399"/>
      <c r="AE618" s="1399"/>
      <c r="AF618" s="1399"/>
      <c r="AG618" s="1399"/>
      <c r="AH618" s="1399"/>
      <c r="AI618" s="1399"/>
      <c r="AJ618" s="1399"/>
      <c r="AK618" s="1399"/>
      <c r="AZ618" s="3"/>
      <c r="BA618" s="3"/>
      <c r="BB618" s="3"/>
      <c r="BC618" s="3"/>
    </row>
    <row r="619" spans="1:55" ht="12.95" customHeight="1">
      <c r="B619" t="s">
        <v>580</v>
      </c>
      <c r="G619" s="1399"/>
      <c r="H619" s="1399"/>
      <c r="I619" s="1399"/>
      <c r="J619" s="1399"/>
      <c r="K619" s="1399"/>
      <c r="L619" s="1399"/>
      <c r="M619" s="1399"/>
      <c r="N619" s="1399"/>
      <c r="O619" s="1399"/>
      <c r="P619" s="1399"/>
      <c r="Q619" s="1399"/>
      <c r="R619" s="1399"/>
      <c r="U619" t="s">
        <v>580</v>
      </c>
      <c r="Z619" s="1454"/>
      <c r="AA619" s="1454"/>
      <c r="AB619" s="1454"/>
      <c r="AC619" s="1454"/>
      <c r="AD619" s="1454"/>
      <c r="AE619" s="1454"/>
      <c r="AF619" s="1454"/>
      <c r="AG619" s="1454"/>
      <c r="AH619" s="1454"/>
      <c r="AI619" s="1454"/>
      <c r="AJ619" s="1454"/>
      <c r="AK619" s="1454"/>
      <c r="AZ619" s="3"/>
      <c r="BA619" s="3"/>
      <c r="BB619" s="3"/>
      <c r="BC619" s="3"/>
    </row>
    <row r="620" spans="1:55" ht="12.95" customHeight="1">
      <c r="B620" t="s">
        <v>17</v>
      </c>
      <c r="G620" s="1399"/>
      <c r="H620" s="1399"/>
      <c r="I620" s="1399"/>
      <c r="J620" s="1399"/>
      <c r="K620" s="1399"/>
      <c r="L620" s="1399"/>
      <c r="M620" s="1399"/>
      <c r="N620" s="1399"/>
      <c r="O620" s="1399"/>
      <c r="P620" s="1399"/>
      <c r="Q620" s="1399"/>
      <c r="R620" s="1399"/>
      <c r="U620" t="s">
        <v>17</v>
      </c>
      <c r="Z620" s="1454"/>
      <c r="AA620" s="1454"/>
      <c r="AB620" s="1454"/>
      <c r="AC620" s="1454"/>
      <c r="AD620" s="1454"/>
      <c r="AE620" s="1454"/>
      <c r="AF620" s="1454"/>
      <c r="AG620" s="1454"/>
      <c r="AH620" s="1454"/>
      <c r="AI620" s="1454"/>
      <c r="AJ620" s="1454"/>
      <c r="AK620" s="1454"/>
      <c r="AZ620" s="3"/>
      <c r="BA620" s="3"/>
      <c r="BB620" s="3"/>
      <c r="BC620" s="3"/>
    </row>
    <row r="621" spans="1:55" ht="12.95" customHeight="1">
      <c r="B621" t="s">
        <v>316</v>
      </c>
      <c r="G621" s="1473"/>
      <c r="H621" s="1473"/>
      <c r="I621" s="1473"/>
      <c r="J621" s="1473"/>
      <c r="K621" s="1473"/>
      <c r="L621" s="1473"/>
      <c r="O621" s="33" t="s">
        <v>206</v>
      </c>
      <c r="P621" s="1444"/>
      <c r="Q621" s="1444"/>
      <c r="R621" s="1444"/>
      <c r="U621" t="s">
        <v>316</v>
      </c>
      <c r="Z621" s="1473"/>
      <c r="AA621" s="1473"/>
      <c r="AB621" s="1473"/>
      <c r="AC621" s="1473"/>
      <c r="AD621" s="1473"/>
      <c r="AE621" s="1473"/>
      <c r="AH621" s="33" t="s">
        <v>206</v>
      </c>
      <c r="AI621" s="1444"/>
      <c r="AJ621" s="1444"/>
      <c r="AK621" s="1444"/>
      <c r="AZ621" s="3"/>
      <c r="BA621" s="3"/>
      <c r="BB621" s="3"/>
      <c r="BC621" s="3"/>
    </row>
    <row r="622" spans="1:55" ht="12.95" customHeight="1">
      <c r="B622" t="s">
        <v>18</v>
      </c>
      <c r="H622" s="1399"/>
      <c r="I622" s="1399"/>
      <c r="J622" s="1399"/>
      <c r="K622" s="1399"/>
      <c r="L622" s="1399"/>
      <c r="M622" s="1399"/>
      <c r="N622" s="1399"/>
      <c r="O622" s="1399"/>
      <c r="P622" s="1399"/>
      <c r="Q622" s="1399"/>
      <c r="R622" s="1399"/>
      <c r="U622" t="s">
        <v>18</v>
      </c>
      <c r="AA622" s="1399"/>
      <c r="AB622" s="1399"/>
      <c r="AC622" s="1399"/>
      <c r="AD622" s="1399"/>
      <c r="AE622" s="1399"/>
      <c r="AF622" s="1399"/>
      <c r="AG622" s="1399"/>
      <c r="AH622" s="1399"/>
      <c r="AI622" s="1399"/>
      <c r="AJ622" s="1399"/>
      <c r="AK622" s="1399"/>
      <c r="AU622" s="895"/>
      <c r="AV622" s="895"/>
      <c r="AW622" s="895"/>
      <c r="AX622" s="895"/>
      <c r="AY622" s="895"/>
      <c r="AZ622" s="3"/>
      <c r="BA622" s="3"/>
      <c r="BB622" s="3"/>
      <c r="BC622" s="3"/>
    </row>
    <row r="623" spans="1:55" ht="12.95" customHeight="1">
      <c r="B623" t="s">
        <v>20</v>
      </c>
      <c r="N623" s="1347" t="s">
        <v>669</v>
      </c>
      <c r="O623" s="1347"/>
      <c r="U623" t="s">
        <v>20</v>
      </c>
      <c r="AG623" s="1347" t="s">
        <v>669</v>
      </c>
      <c r="AH623" s="1347"/>
      <c r="AU623" s="895"/>
      <c r="AV623" s="895"/>
      <c r="AW623" s="895"/>
      <c r="AX623" s="895"/>
      <c r="AY623" s="895"/>
      <c r="AZ623" s="3"/>
      <c r="BA623" s="3"/>
      <c r="BB623" s="3"/>
      <c r="BC623" s="3"/>
    </row>
    <row r="624" spans="1:55" ht="12.95" customHeight="1">
      <c r="AZ624" s="3"/>
      <c r="BA624" s="3"/>
      <c r="BB624" s="3"/>
      <c r="BC624" s="3"/>
    </row>
    <row r="625" spans="1:56" ht="12.95" customHeight="1">
      <c r="A625" s="1268" t="s">
        <v>544</v>
      </c>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c r="AD625" s="1268"/>
      <c r="AE625" s="1268"/>
      <c r="AF625" s="1268"/>
      <c r="AG625" s="1268"/>
      <c r="AH625" s="1268"/>
      <c r="AI625" s="1268"/>
      <c r="AJ625" s="1268"/>
      <c r="AK625" s="1268"/>
      <c r="AL625" s="1268"/>
      <c r="AM625" s="1268"/>
      <c r="AN625" s="1268"/>
      <c r="AO625" s="1268"/>
      <c r="AP625" s="1268"/>
      <c r="AQ625" s="1268"/>
      <c r="AR625" s="1268"/>
      <c r="AS625" s="1268"/>
      <c r="AT625" s="1268"/>
      <c r="AZ625" s="3"/>
      <c r="BA625" s="3"/>
      <c r="BB625" s="3"/>
      <c r="BC625" s="3"/>
    </row>
    <row r="626" spans="1:56" ht="12.95"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c r="AD626" s="1268"/>
      <c r="AE626" s="1268"/>
      <c r="AF626" s="1268"/>
      <c r="AG626" s="1268"/>
      <c r="AH626" s="1268"/>
      <c r="AI626" s="1268"/>
      <c r="AJ626" s="1268"/>
      <c r="AK626" s="1268"/>
      <c r="AL626" s="1268"/>
      <c r="AM626" s="1268"/>
      <c r="AN626" s="1268"/>
      <c r="AO626" s="1268"/>
      <c r="AP626" s="1268"/>
      <c r="AQ626" s="1268"/>
      <c r="AR626" s="1268"/>
      <c r="AS626" s="1268"/>
      <c r="AT626" s="1268"/>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537" t="s">
        <v>2059</v>
      </c>
      <c r="C632" s="1537"/>
      <c r="D632" s="1537"/>
      <c r="E632" s="1537"/>
      <c r="F632" s="1537"/>
      <c r="G632" s="1537"/>
      <c r="H632" s="1537"/>
      <c r="I632" s="1537"/>
      <c r="J632" s="1537"/>
      <c r="K632" s="1537"/>
      <c r="L632" s="1537"/>
      <c r="M632" s="1496" t="s">
        <v>2060</v>
      </c>
      <c r="N632" s="1496"/>
      <c r="O632" s="1496"/>
      <c r="P632" s="1496"/>
      <c r="Q632" s="1496" t="s">
        <v>1829</v>
      </c>
      <c r="R632" s="1496"/>
      <c r="S632" s="1496"/>
      <c r="T632" s="1496" t="s">
        <v>1827</v>
      </c>
      <c r="U632" s="1496"/>
      <c r="V632" s="1496"/>
      <c r="W632" s="1841" t="s">
        <v>453</v>
      </c>
      <c r="X632" s="1841"/>
      <c r="Y632" s="1841"/>
      <c r="Z632" s="1459" t="s">
        <v>2089</v>
      </c>
      <c r="AA632" s="1459"/>
      <c r="AB632" s="1460"/>
      <c r="AC632" s="1445" t="s">
        <v>1665</v>
      </c>
      <c r="AD632" s="1446"/>
      <c r="AE632" s="1447"/>
      <c r="AF632" s="1458" t="s">
        <v>1904</v>
      </c>
      <c r="AG632" s="1459"/>
      <c r="AH632" s="1459"/>
      <c r="AI632" s="1459"/>
      <c r="AJ632" s="1460"/>
      <c r="AK632" s="1699" t="s">
        <v>1905</v>
      </c>
      <c r="AL632" s="1700"/>
      <c r="AM632" s="1700"/>
      <c r="AN632" s="1701"/>
      <c r="AO632" s="1496" t="s">
        <v>454</v>
      </c>
      <c r="AP632" s="1496"/>
      <c r="AQ632" s="1496"/>
      <c r="AR632" s="1496"/>
      <c r="AS632" s="1496"/>
      <c r="AU632" s="3"/>
      <c r="AZ632" s="3"/>
      <c r="BA632" s="3"/>
      <c r="BB632" s="3"/>
      <c r="BC632" s="3"/>
    </row>
    <row r="633" spans="1:56" ht="12.95" customHeight="1">
      <c r="B633" s="1537"/>
      <c r="C633" s="1537"/>
      <c r="D633" s="1537"/>
      <c r="E633" s="1537"/>
      <c r="F633" s="1537"/>
      <c r="G633" s="1537"/>
      <c r="H633" s="1537"/>
      <c r="I633" s="1537"/>
      <c r="J633" s="1537"/>
      <c r="K633" s="1537"/>
      <c r="L633" s="1537"/>
      <c r="M633" s="1496"/>
      <c r="N633" s="1496"/>
      <c r="O633" s="1496"/>
      <c r="P633" s="1496"/>
      <c r="Q633" s="1496"/>
      <c r="R633" s="1496"/>
      <c r="S633" s="1496"/>
      <c r="T633" s="1496"/>
      <c r="U633" s="1496"/>
      <c r="V633" s="1496"/>
      <c r="W633" s="1841"/>
      <c r="X633" s="1841"/>
      <c r="Y633" s="1841"/>
      <c r="Z633" s="1462"/>
      <c r="AA633" s="1462"/>
      <c r="AB633" s="1463"/>
      <c r="AC633" s="1448"/>
      <c r="AD633" s="1449"/>
      <c r="AE633" s="1450"/>
      <c r="AF633" s="1461"/>
      <c r="AG633" s="1462"/>
      <c r="AH633" s="1462"/>
      <c r="AI633" s="1462"/>
      <c r="AJ633" s="1463"/>
      <c r="AK633" s="1702"/>
      <c r="AL633" s="1703"/>
      <c r="AM633" s="1703"/>
      <c r="AN633" s="1704"/>
      <c r="AO633" s="1496"/>
      <c r="AP633" s="1496"/>
      <c r="AQ633" s="1496"/>
      <c r="AR633" s="1496"/>
      <c r="AS633" s="1496"/>
      <c r="AU633" s="3"/>
      <c r="AZ633" s="3"/>
      <c r="BA633" s="3"/>
      <c r="BB633" s="3"/>
      <c r="BC633" s="3"/>
      <c r="BD633" s="3"/>
    </row>
    <row r="634" spans="1:56" ht="12.95" customHeight="1">
      <c r="B634" s="1537"/>
      <c r="C634" s="1537"/>
      <c r="D634" s="1537"/>
      <c r="E634" s="1537"/>
      <c r="F634" s="1537"/>
      <c r="G634" s="1537"/>
      <c r="H634" s="1537"/>
      <c r="I634" s="1537"/>
      <c r="J634" s="1537"/>
      <c r="K634" s="1537"/>
      <c r="L634" s="1537"/>
      <c r="M634" s="1496"/>
      <c r="N634" s="1496"/>
      <c r="O634" s="1496"/>
      <c r="P634" s="1496"/>
      <c r="Q634" s="1496"/>
      <c r="R634" s="1496"/>
      <c r="S634" s="1496"/>
      <c r="T634" s="1496"/>
      <c r="U634" s="1496"/>
      <c r="V634" s="1496"/>
      <c r="W634" s="1841"/>
      <c r="X634" s="1841"/>
      <c r="Y634" s="1841"/>
      <c r="Z634" s="1465"/>
      <c r="AA634" s="1465"/>
      <c r="AB634" s="1466"/>
      <c r="AC634" s="1451"/>
      <c r="AD634" s="1452"/>
      <c r="AE634" s="1453"/>
      <c r="AF634" s="1464"/>
      <c r="AG634" s="1465"/>
      <c r="AH634" s="1465"/>
      <c r="AI634" s="1465"/>
      <c r="AJ634" s="1466"/>
      <c r="AK634" s="1705"/>
      <c r="AL634" s="1706"/>
      <c r="AM634" s="1706"/>
      <c r="AN634" s="1707"/>
      <c r="AO634" s="1496"/>
      <c r="AP634" s="1496"/>
      <c r="AQ634" s="1496"/>
      <c r="AR634" s="1496"/>
      <c r="AS634" s="1496"/>
      <c r="AT634" s="3"/>
      <c r="AU634" s="3"/>
      <c r="AZ634" s="3"/>
      <c r="BA634" s="3"/>
      <c r="BB634" s="3"/>
      <c r="BC634" s="3"/>
      <c r="BD634" s="3"/>
    </row>
    <row r="635" spans="1:56" ht="12.95" customHeight="1">
      <c r="B635" s="51" t="s">
        <v>112</v>
      </c>
      <c r="C635" s="1533" t="s">
        <v>2746</v>
      </c>
      <c r="D635" s="1533"/>
      <c r="E635" s="1533"/>
      <c r="F635" s="1533"/>
      <c r="G635" s="1533"/>
      <c r="H635" s="1533"/>
      <c r="I635" s="1533"/>
      <c r="J635" s="1533"/>
      <c r="K635" s="1533"/>
      <c r="L635" s="1533"/>
      <c r="M635" s="1691" t="s">
        <v>2076</v>
      </c>
      <c r="N635" s="1691"/>
      <c r="O635" s="1691"/>
      <c r="P635" s="1691"/>
      <c r="Q635" s="1480">
        <f>17*12</f>
        <v>204</v>
      </c>
      <c r="R635" s="1480"/>
      <c r="S635" s="1481"/>
      <c r="T635" s="1479">
        <f>40*12</f>
        <v>480</v>
      </c>
      <c r="U635" s="1480"/>
      <c r="V635" s="1481"/>
      <c r="W635" s="1528">
        <v>0.06</v>
      </c>
      <c r="X635" s="1529"/>
      <c r="Y635" s="1530"/>
      <c r="Z635" s="1455" t="s">
        <v>2088</v>
      </c>
      <c r="AA635" s="1456"/>
      <c r="AB635" s="1457"/>
      <c r="AC635" s="1534">
        <v>1</v>
      </c>
      <c r="AD635" s="1535"/>
      <c r="AE635" s="1536"/>
      <c r="AF635" s="1554">
        <f>-PMT(W635/12,T635,AO635)*12</f>
        <v>2598164.2724672989</v>
      </c>
      <c r="AG635" s="1555"/>
      <c r="AH635" s="1555"/>
      <c r="AI635" s="1555"/>
      <c r="AJ635" s="1556"/>
      <c r="AK635" s="1470"/>
      <c r="AL635" s="1471"/>
      <c r="AM635" s="1471"/>
      <c r="AN635" s="1472"/>
      <c r="AO635" s="1482">
        <v>39350840</v>
      </c>
      <c r="AP635" s="1482"/>
      <c r="AQ635" s="1482"/>
      <c r="AR635" s="1482"/>
      <c r="AS635" s="1482"/>
      <c r="AT635" s="3"/>
      <c r="AU635" s="3"/>
      <c r="AZ635" s="3"/>
      <c r="BA635" s="3"/>
      <c r="BB635" s="3"/>
      <c r="BC635" s="3"/>
      <c r="BD635" s="3"/>
    </row>
    <row r="636" spans="1:56" ht="12.95" customHeight="1">
      <c r="B636" s="52" t="s">
        <v>113</v>
      </c>
      <c r="C636" s="1533" t="s">
        <v>2741</v>
      </c>
      <c r="D636" s="1533"/>
      <c r="E636" s="1533"/>
      <c r="F636" s="1533"/>
      <c r="G636" s="1533"/>
      <c r="H636" s="1533"/>
      <c r="I636" s="1533"/>
      <c r="J636" s="1533"/>
      <c r="K636" s="1533"/>
      <c r="L636" s="1533"/>
      <c r="M636" s="1691" t="s">
        <v>2072</v>
      </c>
      <c r="N636" s="1691"/>
      <c r="O636" s="1691"/>
      <c r="P636" s="1691"/>
      <c r="Q636" s="1479">
        <f>55*12</f>
        <v>660</v>
      </c>
      <c r="R636" s="1480"/>
      <c r="S636" s="1481"/>
      <c r="T636" s="1479"/>
      <c r="U636" s="1480"/>
      <c r="V636" s="1481"/>
      <c r="W636" s="1528">
        <v>0.03</v>
      </c>
      <c r="X636" s="1529"/>
      <c r="Y636" s="1530"/>
      <c r="Z636" s="1455" t="s">
        <v>457</v>
      </c>
      <c r="AA636" s="1456"/>
      <c r="AB636" s="1457"/>
      <c r="AC636" s="1534">
        <v>2</v>
      </c>
      <c r="AD636" s="1535"/>
      <c r="AE636" s="1536"/>
      <c r="AF636" s="1554">
        <f>0.42%*AO636</f>
        <v>146477.83499999999</v>
      </c>
      <c r="AG636" s="1555"/>
      <c r="AH636" s="1555"/>
      <c r="AI636" s="1555"/>
      <c r="AJ636" s="1556"/>
      <c r="AK636" s="1470"/>
      <c r="AL636" s="1471"/>
      <c r="AM636" s="1471"/>
      <c r="AN636" s="1472"/>
      <c r="AO636" s="1486">
        <v>34875675</v>
      </c>
      <c r="AP636" s="1487"/>
      <c r="AQ636" s="1487"/>
      <c r="AR636" s="1487"/>
      <c r="AS636" s="1488"/>
      <c r="AT636" s="1142" t="str">
        <f>IF(AND(NOT(C635=""),C636="",NOT(C637="")),"!","")</f>
        <v/>
      </c>
      <c r="AU636" s="3"/>
      <c r="AZ636" s="3"/>
      <c r="BA636" s="3"/>
      <c r="BB636" s="3"/>
      <c r="BC636" s="3"/>
      <c r="BD636" s="3"/>
    </row>
    <row r="637" spans="1:56" ht="12.95" customHeight="1">
      <c r="B637" s="52" t="s">
        <v>119</v>
      </c>
      <c r="C637" s="1533" t="s">
        <v>2719</v>
      </c>
      <c r="D637" s="1533"/>
      <c r="E637" s="1533"/>
      <c r="F637" s="1533"/>
      <c r="G637" s="1533"/>
      <c r="H637" s="1533"/>
      <c r="I637" s="1533"/>
      <c r="J637" s="1533"/>
      <c r="K637" s="1533"/>
      <c r="L637" s="1533"/>
      <c r="M637" s="1691" t="s">
        <v>2072</v>
      </c>
      <c r="N637" s="1691"/>
      <c r="O637" s="1691"/>
      <c r="P637" s="1691"/>
      <c r="Q637" s="1479"/>
      <c r="R637" s="1480"/>
      <c r="S637" s="1481"/>
      <c r="T637" s="1479"/>
      <c r="U637" s="1480"/>
      <c r="V637" s="1481"/>
      <c r="W637" s="1528"/>
      <c r="X637" s="1529"/>
      <c r="Y637" s="1530"/>
      <c r="Z637" s="1455" t="s">
        <v>300</v>
      </c>
      <c r="AA637" s="1456"/>
      <c r="AB637" s="1457"/>
      <c r="AC637" s="1534"/>
      <c r="AD637" s="1535"/>
      <c r="AE637" s="1536"/>
      <c r="AF637" s="1554"/>
      <c r="AG637" s="1555"/>
      <c r="AH637" s="1555"/>
      <c r="AI637" s="1555"/>
      <c r="AJ637" s="1556"/>
      <c r="AK637" s="1470"/>
      <c r="AL637" s="1471"/>
      <c r="AM637" s="1471"/>
      <c r="AN637" s="1472"/>
      <c r="AO637" s="1486">
        <v>600000</v>
      </c>
      <c r="AP637" s="1487"/>
      <c r="AQ637" s="1487"/>
      <c r="AR637" s="1487"/>
      <c r="AS637" s="1488"/>
      <c r="AT637" s="1142" t="str">
        <f t="shared" ref="AT637:AT646" si="3">IF(AND(NOT(C636=""),C637="",NOT(C638="")),"!","")</f>
        <v/>
      </c>
      <c r="AU637" s="3"/>
      <c r="AZ637" s="3"/>
      <c r="BA637" s="3"/>
      <c r="BB637" s="3"/>
      <c r="BC637" s="3"/>
      <c r="BD637" s="3"/>
    </row>
    <row r="638" spans="1:56" ht="12.95" customHeight="1">
      <c r="B638" s="52" t="s">
        <v>581</v>
      </c>
      <c r="C638" s="1533" t="s">
        <v>2264</v>
      </c>
      <c r="D638" s="1476"/>
      <c r="E638" s="1476"/>
      <c r="F638" s="1476"/>
      <c r="G638" s="1476"/>
      <c r="H638" s="1476"/>
      <c r="I638" s="1476"/>
      <c r="J638" s="1476"/>
      <c r="K638" s="1476"/>
      <c r="L638" s="1476"/>
      <c r="M638" s="1691" t="s">
        <v>2063</v>
      </c>
      <c r="N638" s="1691"/>
      <c r="O638" s="1691"/>
      <c r="P638" s="1691"/>
      <c r="Q638" s="1479"/>
      <c r="R638" s="1480"/>
      <c r="S638" s="1481"/>
      <c r="T638" s="1479"/>
      <c r="U638" s="1480"/>
      <c r="V638" s="1481"/>
      <c r="W638" s="1528"/>
      <c r="X638" s="1529"/>
      <c r="Y638" s="1530"/>
      <c r="Z638" s="1455" t="s">
        <v>458</v>
      </c>
      <c r="AA638" s="1456"/>
      <c r="AB638" s="1457"/>
      <c r="AC638" s="1534"/>
      <c r="AD638" s="1535"/>
      <c r="AE638" s="1536"/>
      <c r="AF638" s="1554"/>
      <c r="AG638" s="1555"/>
      <c r="AH638" s="1555"/>
      <c r="AI638" s="1555"/>
      <c r="AJ638" s="1556"/>
      <c r="AK638" s="1470"/>
      <c r="AL638" s="1471"/>
      <c r="AM638" s="1471"/>
      <c r="AN638" s="1472"/>
      <c r="AO638" s="1486">
        <v>13562110</v>
      </c>
      <c r="AP638" s="1487"/>
      <c r="AQ638" s="1487"/>
      <c r="AR638" s="1487"/>
      <c r="AS638" s="1488"/>
      <c r="AT638" s="1142" t="str">
        <f t="shared" si="3"/>
        <v/>
      </c>
      <c r="AU638" s="3"/>
      <c r="AZ638" s="3"/>
      <c r="BA638" s="3"/>
      <c r="BB638" s="3"/>
      <c r="BC638" s="3"/>
      <c r="BD638" s="3"/>
    </row>
    <row r="639" spans="1:56" ht="12.95" customHeight="1">
      <c r="B639" s="52" t="s">
        <v>763</v>
      </c>
      <c r="C639" s="1476"/>
      <c r="D639" s="1476"/>
      <c r="E639" s="1476"/>
      <c r="F639" s="1476"/>
      <c r="G639" s="1476"/>
      <c r="H639" s="1476"/>
      <c r="I639" s="1476"/>
      <c r="J639" s="1476"/>
      <c r="K639" s="1476"/>
      <c r="L639" s="1476"/>
      <c r="M639" s="1691" t="s">
        <v>1184</v>
      </c>
      <c r="N639" s="1691"/>
      <c r="O639" s="1691"/>
      <c r="P639" s="1691"/>
      <c r="Q639" s="1479"/>
      <c r="R639" s="1480"/>
      <c r="S639" s="1481"/>
      <c r="T639" s="1479"/>
      <c r="U639" s="1480"/>
      <c r="V639" s="1481"/>
      <c r="W639" s="1528"/>
      <c r="X639" s="1529"/>
      <c r="Y639" s="1530"/>
      <c r="Z639" s="1455" t="s">
        <v>1184</v>
      </c>
      <c r="AA639" s="1456"/>
      <c r="AB639" s="1457"/>
      <c r="AC639" s="1534"/>
      <c r="AD639" s="1535"/>
      <c r="AE639" s="1536"/>
      <c r="AF639" s="1554"/>
      <c r="AG639" s="1555"/>
      <c r="AH639" s="1555"/>
      <c r="AI639" s="1555"/>
      <c r="AJ639" s="1556"/>
      <c r="AK639" s="1470"/>
      <c r="AL639" s="1471"/>
      <c r="AM639" s="1471"/>
      <c r="AN639" s="1472"/>
      <c r="AO639" s="1486"/>
      <c r="AP639" s="1487"/>
      <c r="AQ639" s="1487"/>
      <c r="AR639" s="1487"/>
      <c r="AS639" s="1488"/>
      <c r="AT639" s="1142" t="str">
        <f t="shared" si="3"/>
        <v/>
      </c>
      <c r="AU639" s="3"/>
      <c r="AZ639" s="3"/>
      <c r="BA639" s="3"/>
      <c r="BB639" s="3"/>
      <c r="BC639" s="3"/>
      <c r="BD639" s="3"/>
    </row>
    <row r="640" spans="1:56" ht="12.95" customHeight="1">
      <c r="B640" s="52" t="s">
        <v>584</v>
      </c>
      <c r="C640" s="1476"/>
      <c r="D640" s="1476"/>
      <c r="E640" s="1476"/>
      <c r="F640" s="1476"/>
      <c r="G640" s="1476"/>
      <c r="H640" s="1476"/>
      <c r="I640" s="1476"/>
      <c r="J640" s="1476"/>
      <c r="K640" s="1476"/>
      <c r="L640" s="1476"/>
      <c r="M640" s="1691" t="s">
        <v>1184</v>
      </c>
      <c r="N640" s="1691"/>
      <c r="O640" s="1691"/>
      <c r="P640" s="1691"/>
      <c r="Q640" s="1479"/>
      <c r="R640" s="1480"/>
      <c r="S640" s="1481"/>
      <c r="T640" s="1479"/>
      <c r="U640" s="1480"/>
      <c r="V640" s="1481"/>
      <c r="W640" s="1528"/>
      <c r="X640" s="1529"/>
      <c r="Y640" s="1530"/>
      <c r="Z640" s="1455" t="s">
        <v>1184</v>
      </c>
      <c r="AA640" s="1456"/>
      <c r="AB640" s="1457"/>
      <c r="AC640" s="1534"/>
      <c r="AD640" s="1535"/>
      <c r="AE640" s="1536"/>
      <c r="AF640" s="1554"/>
      <c r="AG640" s="1555"/>
      <c r="AH640" s="1555"/>
      <c r="AI640" s="1555"/>
      <c r="AJ640" s="1556"/>
      <c r="AK640" s="1470"/>
      <c r="AL640" s="1471"/>
      <c r="AM640" s="1471"/>
      <c r="AN640" s="1472"/>
      <c r="AO640" s="1486"/>
      <c r="AP640" s="1487"/>
      <c r="AQ640" s="1487"/>
      <c r="AR640" s="1487"/>
      <c r="AS640" s="1488"/>
      <c r="AT640" s="1142" t="str">
        <f t="shared" si="3"/>
        <v/>
      </c>
      <c r="AU640" s="3"/>
      <c r="AZ640" s="3"/>
      <c r="BA640" s="3"/>
      <c r="BB640" s="3"/>
      <c r="BC640" s="3"/>
      <c r="BD640" s="3"/>
    </row>
    <row r="641" spans="1:157" ht="12.95" customHeight="1">
      <c r="B641" s="52" t="s">
        <v>455</v>
      </c>
      <c r="C641" s="1476"/>
      <c r="D641" s="1476"/>
      <c r="E641" s="1476"/>
      <c r="F641" s="1476"/>
      <c r="G641" s="1476"/>
      <c r="H641" s="1476"/>
      <c r="I641" s="1476"/>
      <c r="J641" s="1476"/>
      <c r="K641" s="1476"/>
      <c r="L641" s="1476"/>
      <c r="M641" s="1691" t="s">
        <v>1184</v>
      </c>
      <c r="N641" s="1691"/>
      <c r="O641" s="1691"/>
      <c r="P641" s="1691"/>
      <c r="Q641" s="1479"/>
      <c r="R641" s="1480"/>
      <c r="S641" s="1481"/>
      <c r="T641" s="1479"/>
      <c r="U641" s="1480"/>
      <c r="V641" s="1481"/>
      <c r="W641" s="1528"/>
      <c r="X641" s="1529"/>
      <c r="Y641" s="1530"/>
      <c r="Z641" s="1455" t="s">
        <v>1184</v>
      </c>
      <c r="AA641" s="1456"/>
      <c r="AB641" s="1457"/>
      <c r="AC641" s="1534"/>
      <c r="AD641" s="1535"/>
      <c r="AE641" s="1536"/>
      <c r="AF641" s="1554"/>
      <c r="AG641" s="1555"/>
      <c r="AH641" s="1555"/>
      <c r="AI641" s="1555"/>
      <c r="AJ641" s="1556"/>
      <c r="AK641" s="1470"/>
      <c r="AL641" s="1471"/>
      <c r="AM641" s="1471"/>
      <c r="AN641" s="1472"/>
      <c r="AO641" s="1486"/>
      <c r="AP641" s="1487"/>
      <c r="AQ641" s="1487"/>
      <c r="AR641" s="1487"/>
      <c r="AS641" s="1488"/>
      <c r="AT641" s="1142" t="str">
        <f t="shared" si="3"/>
        <v/>
      </c>
      <c r="AU641" s="3"/>
      <c r="AV641" s="3"/>
      <c r="AW641" s="3"/>
      <c r="AX641" s="3"/>
      <c r="AY641" s="3"/>
      <c r="AZ641" s="3"/>
      <c r="BA641" s="3"/>
      <c r="BB641" s="3"/>
      <c r="BC641" s="3"/>
      <c r="BD641" s="3"/>
    </row>
    <row r="642" spans="1:157" ht="12.95" customHeight="1">
      <c r="B642" s="52" t="s">
        <v>456</v>
      </c>
      <c r="C642" s="1476"/>
      <c r="D642" s="1476"/>
      <c r="E642" s="1476"/>
      <c r="F642" s="1476"/>
      <c r="G642" s="1476"/>
      <c r="H642" s="1476"/>
      <c r="I642" s="1476"/>
      <c r="J642" s="1476"/>
      <c r="K642" s="1476"/>
      <c r="L642" s="1476"/>
      <c r="M642" s="1691" t="s">
        <v>1184</v>
      </c>
      <c r="N642" s="1691"/>
      <c r="O642" s="1691"/>
      <c r="P642" s="1691"/>
      <c r="Q642" s="1479"/>
      <c r="R642" s="1480"/>
      <c r="S642" s="1481"/>
      <c r="T642" s="1479"/>
      <c r="U642" s="1480"/>
      <c r="V642" s="1481"/>
      <c r="W642" s="1528"/>
      <c r="X642" s="1529"/>
      <c r="Y642" s="1530"/>
      <c r="Z642" s="1455" t="s">
        <v>1184</v>
      </c>
      <c r="AA642" s="1456"/>
      <c r="AB642" s="1457"/>
      <c r="AC642" s="1534"/>
      <c r="AD642" s="1535"/>
      <c r="AE642" s="1536"/>
      <c r="AF642" s="1554"/>
      <c r="AG642" s="1555"/>
      <c r="AH642" s="1555"/>
      <c r="AI642" s="1555"/>
      <c r="AJ642" s="1556"/>
      <c r="AK642" s="1470"/>
      <c r="AL642" s="1471"/>
      <c r="AM642" s="1471"/>
      <c r="AN642" s="1472"/>
      <c r="AO642" s="1486"/>
      <c r="AP642" s="1487"/>
      <c r="AQ642" s="1487"/>
      <c r="AR642" s="1487"/>
      <c r="AS642" s="1488"/>
      <c r="AT642" s="1142" t="str">
        <f t="shared" si="3"/>
        <v/>
      </c>
      <c r="AU642" s="3"/>
      <c r="AV642" s="3"/>
      <c r="AW642" s="3"/>
      <c r="AX642" s="3"/>
      <c r="AY642" s="3"/>
      <c r="AZ642" s="3"/>
      <c r="BA642" s="3" t="s">
        <v>1184</v>
      </c>
      <c r="BB642" s="3"/>
      <c r="BC642" s="3"/>
      <c r="BD642" s="3"/>
    </row>
    <row r="643" spans="1:157" ht="12.95" customHeight="1">
      <c r="B643" s="52" t="s">
        <v>461</v>
      </c>
      <c r="C643" s="1476"/>
      <c r="D643" s="1476"/>
      <c r="E643" s="1476"/>
      <c r="F643" s="1476"/>
      <c r="G643" s="1476"/>
      <c r="H643" s="1476"/>
      <c r="I643" s="1476"/>
      <c r="J643" s="1476"/>
      <c r="K643" s="1476"/>
      <c r="L643" s="1476"/>
      <c r="M643" s="1691" t="s">
        <v>1184</v>
      </c>
      <c r="N643" s="1691"/>
      <c r="O643" s="1691"/>
      <c r="P643" s="1691"/>
      <c r="Q643" s="1479"/>
      <c r="R643" s="1480"/>
      <c r="S643" s="1481"/>
      <c r="T643" s="1479"/>
      <c r="U643" s="1480"/>
      <c r="V643" s="1481"/>
      <c r="W643" s="1528"/>
      <c r="X643" s="1529"/>
      <c r="Y643" s="1530"/>
      <c r="Z643" s="1455" t="s">
        <v>1184</v>
      </c>
      <c r="AA643" s="1456"/>
      <c r="AB643" s="1457"/>
      <c r="AC643" s="1534"/>
      <c r="AD643" s="1535"/>
      <c r="AE643" s="1536"/>
      <c r="AF643" s="1554"/>
      <c r="AG643" s="1555"/>
      <c r="AH643" s="1555"/>
      <c r="AI643" s="1555"/>
      <c r="AJ643" s="1556"/>
      <c r="AK643" s="1470"/>
      <c r="AL643" s="1471"/>
      <c r="AM643" s="1471"/>
      <c r="AN643" s="1472"/>
      <c r="AO643" s="1486"/>
      <c r="AP643" s="1487"/>
      <c r="AQ643" s="1487"/>
      <c r="AR643" s="1487"/>
      <c r="AS643" s="1488"/>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9" t="e">
        <f t="shared" ref="DX643:DX677" si="4">EZ726*(CP726/$CP$761)</f>
        <v>#VALUE!</v>
      </c>
      <c r="DY643" s="1539"/>
      <c r="DZ643" s="1539"/>
      <c r="EA643" s="1539"/>
      <c r="EB643" s="1539"/>
      <c r="EC643" s="1539">
        <f t="shared" ref="EC643:EC677" si="5">FE726*(CU726/$CU$761)</f>
        <v>159.69230769230771</v>
      </c>
      <c r="ED643" s="1539"/>
      <c r="EE643" s="1539"/>
      <c r="EF643" s="1539"/>
      <c r="EG643" s="1539"/>
      <c r="EH643" s="1539" t="e">
        <f t="shared" ref="EH643:EH677" si="6">FJ726*(CZ726/$CZ$761)</f>
        <v>#VALUE!</v>
      </c>
      <c r="EI643" s="1539"/>
      <c r="EJ643" s="1539"/>
      <c r="EK643" s="1539"/>
      <c r="EL643" s="1539"/>
      <c r="EM643" s="1539" t="e">
        <f t="shared" ref="EM643:EM677" si="7">FO726*(DE726/$DE$761)</f>
        <v>#VALUE!</v>
      </c>
      <c r="EN643" s="1539"/>
      <c r="EO643" s="1539"/>
      <c r="EP643" s="1539"/>
      <c r="EQ643" s="1539"/>
      <c r="ER643" s="1539" t="e">
        <f t="shared" ref="ER643:ER677" si="8">FT726*(DJ726/$DJ$761)</f>
        <v>#VALUE!</v>
      </c>
      <c r="ES643" s="1539"/>
      <c r="ET643" s="1539"/>
      <c r="EU643" s="1539"/>
      <c r="EV643" s="1539"/>
      <c r="EW643" s="1539" t="e">
        <f t="shared" ref="EW643:EW677" si="9">FY726*(DO726/$DO$761)</f>
        <v>#VALUE!</v>
      </c>
      <c r="EX643" s="1539"/>
      <c r="EY643" s="1539"/>
      <c r="EZ643" s="1539"/>
      <c r="FA643" s="1539"/>
    </row>
    <row r="644" spans="1:157" ht="12.95" customHeight="1">
      <c r="B644" s="52" t="s">
        <v>646</v>
      </c>
      <c r="C644" s="1476"/>
      <c r="D644" s="1476"/>
      <c r="E644" s="1476"/>
      <c r="F644" s="1476"/>
      <c r="G644" s="1476"/>
      <c r="H644" s="1476"/>
      <c r="I644" s="1476"/>
      <c r="J644" s="1476"/>
      <c r="K644" s="1476"/>
      <c r="L644" s="1476"/>
      <c r="M644" s="1691" t="s">
        <v>1184</v>
      </c>
      <c r="N644" s="1691"/>
      <c r="O644" s="1691"/>
      <c r="P644" s="1691"/>
      <c r="Q644" s="1479"/>
      <c r="R644" s="1480"/>
      <c r="S644" s="1481"/>
      <c r="T644" s="1479"/>
      <c r="U644" s="1480"/>
      <c r="V644" s="1481"/>
      <c r="W644" s="1528"/>
      <c r="X644" s="1529"/>
      <c r="Y644" s="1530"/>
      <c r="Z644" s="1455" t="s">
        <v>1184</v>
      </c>
      <c r="AA644" s="1456"/>
      <c r="AB644" s="1457"/>
      <c r="AC644" s="1534"/>
      <c r="AD644" s="1535"/>
      <c r="AE644" s="1536"/>
      <c r="AF644" s="1554"/>
      <c r="AG644" s="1555"/>
      <c r="AH644" s="1555"/>
      <c r="AI644" s="1555"/>
      <c r="AJ644" s="1556"/>
      <c r="AK644" s="1470"/>
      <c r="AL644" s="1471"/>
      <c r="AM644" s="1471"/>
      <c r="AN644" s="1472"/>
      <c r="AO644" s="1486"/>
      <c r="AP644" s="1487"/>
      <c r="AQ644" s="1487"/>
      <c r="AR644" s="1487"/>
      <c r="AS644" s="1488"/>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9" t="e">
        <f t="shared" si="4"/>
        <v>#VALUE!</v>
      </c>
      <c r="DY644" s="1539"/>
      <c r="DZ644" s="1539"/>
      <c r="EA644" s="1539"/>
      <c r="EB644" s="1539"/>
      <c r="EC644" s="1539">
        <f t="shared" si="5"/>
        <v>104.46923076923078</v>
      </c>
      <c r="ED644" s="1539"/>
      <c r="EE644" s="1539"/>
      <c r="EF644" s="1539"/>
      <c r="EG644" s="1539"/>
      <c r="EH644" s="1539" t="e">
        <f t="shared" si="6"/>
        <v>#VALUE!</v>
      </c>
      <c r="EI644" s="1539"/>
      <c r="EJ644" s="1539"/>
      <c r="EK644" s="1539"/>
      <c r="EL644" s="1539"/>
      <c r="EM644" s="1539" t="e">
        <f t="shared" si="7"/>
        <v>#VALUE!</v>
      </c>
      <c r="EN644" s="1539"/>
      <c r="EO644" s="1539"/>
      <c r="EP644" s="1539"/>
      <c r="EQ644" s="1539"/>
      <c r="ER644" s="1539" t="e">
        <f t="shared" si="8"/>
        <v>#VALUE!</v>
      </c>
      <c r="ES644" s="1539"/>
      <c r="ET644" s="1539"/>
      <c r="EU644" s="1539"/>
      <c r="EV644" s="1539"/>
      <c r="EW644" s="1539" t="e">
        <f t="shared" si="9"/>
        <v>#VALUE!</v>
      </c>
      <c r="EX644" s="1539"/>
      <c r="EY644" s="1539"/>
      <c r="EZ644" s="1539"/>
      <c r="FA644" s="1539"/>
    </row>
    <row r="645" spans="1:157" ht="12.95" customHeight="1">
      <c r="B645" s="52" t="s">
        <v>362</v>
      </c>
      <c r="C645" s="1476"/>
      <c r="D645" s="1476"/>
      <c r="E645" s="1476"/>
      <c r="F645" s="1476"/>
      <c r="G645" s="1476"/>
      <c r="H645" s="1476"/>
      <c r="I645" s="1476"/>
      <c r="J645" s="1476"/>
      <c r="K645" s="1476"/>
      <c r="L645" s="1476"/>
      <c r="M645" s="1691" t="s">
        <v>1184</v>
      </c>
      <c r="N645" s="1691"/>
      <c r="O645" s="1691"/>
      <c r="P645" s="1691"/>
      <c r="Q645" s="1479"/>
      <c r="R645" s="1480"/>
      <c r="S645" s="1481"/>
      <c r="T645" s="1479"/>
      <c r="U645" s="1480"/>
      <c r="V645" s="1481"/>
      <c r="W645" s="1528"/>
      <c r="X645" s="1529"/>
      <c r="Y645" s="1530"/>
      <c r="Z645" s="1455" t="s">
        <v>1184</v>
      </c>
      <c r="AA645" s="1456"/>
      <c r="AB645" s="1457"/>
      <c r="AC645" s="1534"/>
      <c r="AD645" s="1535"/>
      <c r="AE645" s="1536"/>
      <c r="AF645" s="1554"/>
      <c r="AG645" s="1555"/>
      <c r="AH645" s="1555"/>
      <c r="AI645" s="1555"/>
      <c r="AJ645" s="1556"/>
      <c r="AK645" s="1470"/>
      <c r="AL645" s="1471"/>
      <c r="AM645" s="1471"/>
      <c r="AN645" s="1472"/>
      <c r="AO645" s="1486"/>
      <c r="AP645" s="1487"/>
      <c r="AQ645" s="1487"/>
      <c r="AR645" s="1487"/>
      <c r="AS645" s="1488"/>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39" t="e">
        <f t="shared" si="4"/>
        <v>#VALUE!</v>
      </c>
      <c r="DY645" s="1539"/>
      <c r="DZ645" s="1539"/>
      <c r="EA645" s="1539"/>
      <c r="EB645" s="1539"/>
      <c r="EC645" s="1539">
        <f t="shared" si="5"/>
        <v>876.37307692307695</v>
      </c>
      <c r="ED645" s="1539"/>
      <c r="EE645" s="1539"/>
      <c r="EF645" s="1539"/>
      <c r="EG645" s="1539"/>
      <c r="EH645" s="1539" t="e">
        <f t="shared" si="6"/>
        <v>#VALUE!</v>
      </c>
      <c r="EI645" s="1539"/>
      <c r="EJ645" s="1539"/>
      <c r="EK645" s="1539"/>
      <c r="EL645" s="1539"/>
      <c r="EM645" s="1539" t="e">
        <f t="shared" si="7"/>
        <v>#VALUE!</v>
      </c>
      <c r="EN645" s="1539"/>
      <c r="EO645" s="1539"/>
      <c r="EP645" s="1539"/>
      <c r="EQ645" s="1539"/>
      <c r="ER645" s="1539" t="e">
        <f t="shared" si="8"/>
        <v>#VALUE!</v>
      </c>
      <c r="ES645" s="1539"/>
      <c r="ET645" s="1539"/>
      <c r="EU645" s="1539"/>
      <c r="EV645" s="1539"/>
      <c r="EW645" s="1539" t="e">
        <f t="shared" si="9"/>
        <v>#VALUE!</v>
      </c>
      <c r="EX645" s="1539"/>
      <c r="EY645" s="1539"/>
      <c r="EZ645" s="1539"/>
      <c r="FA645" s="1539"/>
    </row>
    <row r="646" spans="1:157" ht="12.95" customHeight="1">
      <c r="B646" s="52" t="s">
        <v>363</v>
      </c>
      <c r="C646" s="1476"/>
      <c r="D646" s="1476"/>
      <c r="E646" s="1476"/>
      <c r="F646" s="1476"/>
      <c r="G646" s="1476"/>
      <c r="H646" s="1476"/>
      <c r="I646" s="1476"/>
      <c r="J646" s="1476"/>
      <c r="K646" s="1476"/>
      <c r="L646" s="1476"/>
      <c r="M646" s="1691" t="s">
        <v>1184</v>
      </c>
      <c r="N646" s="1691"/>
      <c r="O646" s="1691"/>
      <c r="P646" s="1691"/>
      <c r="Q646" s="1479"/>
      <c r="R646" s="1480"/>
      <c r="S646" s="1481"/>
      <c r="T646" s="1479"/>
      <c r="U646" s="1480"/>
      <c r="V646" s="1481"/>
      <c r="W646" s="1528"/>
      <c r="X646" s="1529"/>
      <c r="Y646" s="1530"/>
      <c r="Z646" s="1455" t="s">
        <v>1184</v>
      </c>
      <c r="AA646" s="1456"/>
      <c r="AB646" s="1457"/>
      <c r="AC646" s="1534"/>
      <c r="AD646" s="1535"/>
      <c r="AE646" s="1536"/>
      <c r="AF646" s="1554"/>
      <c r="AG646" s="1555"/>
      <c r="AH646" s="1555"/>
      <c r="AI646" s="1555"/>
      <c r="AJ646" s="1556"/>
      <c r="AK646" s="1470"/>
      <c r="AL646" s="1471"/>
      <c r="AM646" s="1471"/>
      <c r="AN646" s="1472"/>
      <c r="AO646" s="1486"/>
      <c r="AP646" s="1487"/>
      <c r="AQ646" s="1487"/>
      <c r="AR646" s="1487"/>
      <c r="AS646" s="1488"/>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9" t="e">
        <f t="shared" si="4"/>
        <v>#VALUE!</v>
      </c>
      <c r="DY646" s="1539"/>
      <c r="DZ646" s="1539"/>
      <c r="EA646" s="1539"/>
      <c r="EB646" s="1539"/>
      <c r="EC646" s="1539" t="e">
        <f t="shared" si="5"/>
        <v>#VALUE!</v>
      </c>
      <c r="ED646" s="1539"/>
      <c r="EE646" s="1539"/>
      <c r="EF646" s="1539"/>
      <c r="EG646" s="1539"/>
      <c r="EH646" s="1539">
        <f t="shared" si="6"/>
        <v>301.92307692307696</v>
      </c>
      <c r="EI646" s="1539"/>
      <c r="EJ646" s="1539"/>
      <c r="EK646" s="1539"/>
      <c r="EL646" s="1539"/>
      <c r="EM646" s="1539" t="e">
        <f t="shared" si="7"/>
        <v>#VALUE!</v>
      </c>
      <c r="EN646" s="1539"/>
      <c r="EO646" s="1539"/>
      <c r="EP646" s="1539"/>
      <c r="EQ646" s="1539"/>
      <c r="ER646" s="1539" t="e">
        <f t="shared" si="8"/>
        <v>#VALUE!</v>
      </c>
      <c r="ES646" s="1539"/>
      <c r="ET646" s="1539"/>
      <c r="EU646" s="1539"/>
      <c r="EV646" s="1539"/>
      <c r="EW646" s="1539" t="e">
        <f t="shared" si="9"/>
        <v>#VALUE!</v>
      </c>
      <c r="EX646" s="1539"/>
      <c r="EY646" s="1539"/>
      <c r="EZ646" s="1539"/>
      <c r="FA646" s="1539"/>
    </row>
    <row r="647" spans="1:157" ht="12.95" customHeight="1">
      <c r="B647" s="1677" t="s">
        <v>128</v>
      </c>
      <c r="C647" s="1678"/>
      <c r="D647" s="1678"/>
      <c r="E647" s="1678"/>
      <c r="F647" s="1678"/>
      <c r="G647" s="1678"/>
      <c r="H647" s="1678"/>
      <c r="I647" s="1678"/>
      <c r="J647" s="1678"/>
      <c r="K647" s="1678"/>
      <c r="L647" s="1678"/>
      <c r="M647" s="1678"/>
      <c r="N647" s="1678"/>
      <c r="O647" s="1678"/>
      <c r="P647" s="1678"/>
      <c r="Q647" s="1678"/>
      <c r="R647" s="1678"/>
      <c r="S647" s="1678"/>
      <c r="T647" s="1678"/>
      <c r="U647" s="1678"/>
      <c r="V647" s="1678"/>
      <c r="W647" s="1678"/>
      <c r="X647" s="1678"/>
      <c r="Y647" s="1678"/>
      <c r="Z647" s="1678"/>
      <c r="AA647" s="1678"/>
      <c r="AB647" s="1678"/>
      <c r="AC647" s="1678"/>
      <c r="AD647" s="1678"/>
      <c r="AE647" s="1678"/>
      <c r="AF647" s="1678"/>
      <c r="AG647" s="1678"/>
      <c r="AH647" s="1678"/>
      <c r="AI647" s="1678"/>
      <c r="AJ647" s="1678"/>
      <c r="AK647" s="1678"/>
      <c r="AL647" s="1678"/>
      <c r="AM647" s="1678"/>
      <c r="AN647" s="1679"/>
      <c r="AO647" s="1524">
        <f>SUM(AO635:AR646)</f>
        <v>88388625</v>
      </c>
      <c r="AP647" s="1525"/>
      <c r="AQ647" s="1525"/>
      <c r="AR647" s="1525"/>
      <c r="AS647" s="152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9" t="e">
        <f t="shared" si="4"/>
        <v>#VALUE!</v>
      </c>
      <c r="DY647" s="1539"/>
      <c r="DZ647" s="1539"/>
      <c r="EA647" s="1539"/>
      <c r="EB647" s="1539"/>
      <c r="EC647" s="1539" t="e">
        <f t="shared" si="5"/>
        <v>#VALUE!</v>
      </c>
      <c r="ED647" s="1539"/>
      <c r="EE647" s="1539"/>
      <c r="EF647" s="1539"/>
      <c r="EG647" s="1539"/>
      <c r="EH647" s="1539">
        <f t="shared" si="6"/>
        <v>139.92923076923077</v>
      </c>
      <c r="EI647" s="1539"/>
      <c r="EJ647" s="1539"/>
      <c r="EK647" s="1539"/>
      <c r="EL647" s="1539"/>
      <c r="EM647" s="1539" t="e">
        <f t="shared" si="7"/>
        <v>#VALUE!</v>
      </c>
      <c r="EN647" s="1539"/>
      <c r="EO647" s="1539"/>
      <c r="EP647" s="1539"/>
      <c r="EQ647" s="1539"/>
      <c r="ER647" s="1539" t="e">
        <f t="shared" si="8"/>
        <v>#VALUE!</v>
      </c>
      <c r="ES647" s="1539"/>
      <c r="ET647" s="1539"/>
      <c r="EU647" s="1539"/>
      <c r="EV647" s="1539"/>
      <c r="EW647" s="1539" t="e">
        <f t="shared" si="9"/>
        <v>#VALUE!</v>
      </c>
      <c r="EX647" s="1539"/>
      <c r="EY647" s="1539"/>
      <c r="EZ647" s="1539"/>
      <c r="FA647" s="1539"/>
    </row>
    <row r="648" spans="1:157" ht="12.95" customHeight="1">
      <c r="B648" s="1677" t="s">
        <v>267</v>
      </c>
      <c r="C648" s="1678"/>
      <c r="D648" s="1678"/>
      <c r="E648" s="1678"/>
      <c r="F648" s="1678"/>
      <c r="G648" s="1678"/>
      <c r="H648" s="1678"/>
      <c r="I648" s="1678"/>
      <c r="J648" s="1678"/>
      <c r="K648" s="1678"/>
      <c r="L648" s="1678"/>
      <c r="M648" s="1678"/>
      <c r="N648" s="1678"/>
      <c r="O648" s="1678"/>
      <c r="P648" s="1678"/>
      <c r="Q648" s="1678"/>
      <c r="R648" s="1678"/>
      <c r="S648" s="1678"/>
      <c r="T648" s="1678"/>
      <c r="U648" s="1678"/>
      <c r="V648" s="1678"/>
      <c r="W648" s="1678"/>
      <c r="X648" s="1678"/>
      <c r="Y648" s="1678"/>
      <c r="Z648" s="1678"/>
      <c r="AA648" s="1678"/>
      <c r="AB648" s="1678"/>
      <c r="AC648" s="1678"/>
      <c r="AD648" s="1678"/>
      <c r="AE648" s="1678"/>
      <c r="AF648" s="1678"/>
      <c r="AG648" s="1678"/>
      <c r="AH648" s="1678"/>
      <c r="AI648" s="1678"/>
      <c r="AJ648" s="1678"/>
      <c r="AK648" s="1678"/>
      <c r="AL648" s="1678"/>
      <c r="AM648" s="1678"/>
      <c r="AN648" s="1679"/>
      <c r="AO648" s="1486">
        <v>54320207</v>
      </c>
      <c r="AP648" s="1487"/>
      <c r="AQ648" s="1487"/>
      <c r="AR648" s="1487"/>
      <c r="AS648" s="148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9" t="e">
        <f t="shared" si="4"/>
        <v>#VALUE!</v>
      </c>
      <c r="DY648" s="1539"/>
      <c r="DZ648" s="1539"/>
      <c r="EA648" s="1539"/>
      <c r="EB648" s="1539"/>
      <c r="EC648" s="1539" t="e">
        <f t="shared" si="5"/>
        <v>#VALUE!</v>
      </c>
      <c r="ED648" s="1539"/>
      <c r="EE648" s="1539"/>
      <c r="EF648" s="1539"/>
      <c r="EG648" s="1539"/>
      <c r="EH648" s="1539">
        <f t="shared" si="6"/>
        <v>836.05641025641012</v>
      </c>
      <c r="EI648" s="1539"/>
      <c r="EJ648" s="1539"/>
      <c r="EK648" s="1539"/>
      <c r="EL648" s="1539"/>
      <c r="EM648" s="1539" t="e">
        <f t="shared" si="7"/>
        <v>#VALUE!</v>
      </c>
      <c r="EN648" s="1539"/>
      <c r="EO648" s="1539"/>
      <c r="EP648" s="1539"/>
      <c r="EQ648" s="1539"/>
      <c r="ER648" s="1539" t="e">
        <f t="shared" si="8"/>
        <v>#VALUE!</v>
      </c>
      <c r="ES648" s="1539"/>
      <c r="ET648" s="1539"/>
      <c r="EU648" s="1539"/>
      <c r="EV648" s="1539"/>
      <c r="EW648" s="1539" t="e">
        <f t="shared" si="9"/>
        <v>#VALUE!</v>
      </c>
      <c r="EX648" s="1539"/>
      <c r="EY648" s="1539"/>
      <c r="EZ648" s="1539"/>
      <c r="FA648" s="1539"/>
    </row>
    <row r="649" spans="1:157" ht="12.95" customHeight="1">
      <c r="B649" s="1695" t="s">
        <v>268</v>
      </c>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96"/>
      <c r="AJ649" s="1696"/>
      <c r="AK649" s="1696"/>
      <c r="AL649" s="1696"/>
      <c r="AM649" s="1696"/>
      <c r="AN649" s="1697"/>
      <c r="AO649" s="1524">
        <f>AO647+AO648</f>
        <v>142708832</v>
      </c>
      <c r="AP649" s="1525"/>
      <c r="AQ649" s="1525"/>
      <c r="AR649" s="1525"/>
      <c r="AS649" s="152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9" t="e">
        <f t="shared" si="4"/>
        <v>#VALUE!</v>
      </c>
      <c r="DY649" s="1539"/>
      <c r="DZ649" s="1539"/>
      <c r="EA649" s="1539"/>
      <c r="EB649" s="1539"/>
      <c r="EC649" s="1539" t="e">
        <f t="shared" si="5"/>
        <v>#VALUE!</v>
      </c>
      <c r="ED649" s="1539"/>
      <c r="EE649" s="1539"/>
      <c r="EF649" s="1539"/>
      <c r="EG649" s="1539"/>
      <c r="EH649" s="1539" t="e">
        <f t="shared" si="6"/>
        <v>#VALUE!</v>
      </c>
      <c r="EI649" s="1539"/>
      <c r="EJ649" s="1539"/>
      <c r="EK649" s="1539"/>
      <c r="EL649" s="1539"/>
      <c r="EM649" s="1539">
        <f t="shared" si="7"/>
        <v>93.530927835051543</v>
      </c>
      <c r="EN649" s="1539"/>
      <c r="EO649" s="1539"/>
      <c r="EP649" s="1539"/>
      <c r="EQ649" s="1539"/>
      <c r="ER649" s="1539" t="e">
        <f t="shared" si="8"/>
        <v>#VALUE!</v>
      </c>
      <c r="ES649" s="1539"/>
      <c r="ET649" s="1539"/>
      <c r="EU649" s="1539"/>
      <c r="EV649" s="1539"/>
      <c r="EW649" s="1539" t="e">
        <f t="shared" si="9"/>
        <v>#VALUE!</v>
      </c>
      <c r="EX649" s="1539"/>
      <c r="EY649" s="1539"/>
      <c r="EZ649" s="1539"/>
      <c r="FA649" s="1539"/>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9" t="e">
        <f t="shared" si="4"/>
        <v>#VALUE!</v>
      </c>
      <c r="DY650" s="1539"/>
      <c r="DZ650" s="1539"/>
      <c r="EA650" s="1539"/>
      <c r="EB650" s="1539"/>
      <c r="EC650" s="1539" t="e">
        <f t="shared" si="5"/>
        <v>#VALUE!</v>
      </c>
      <c r="ED650" s="1539"/>
      <c r="EE650" s="1539"/>
      <c r="EF650" s="1539"/>
      <c r="EG650" s="1539"/>
      <c r="EH650" s="1539" t="e">
        <f t="shared" si="6"/>
        <v>#VALUE!</v>
      </c>
      <c r="EI650" s="1539"/>
      <c r="EJ650" s="1539"/>
      <c r="EK650" s="1539"/>
      <c r="EL650" s="1539"/>
      <c r="EM650" s="1539">
        <f t="shared" si="7"/>
        <v>974.38144329896909</v>
      </c>
      <c r="EN650" s="1539"/>
      <c r="EO650" s="1539"/>
      <c r="EP650" s="1539"/>
      <c r="EQ650" s="1539"/>
      <c r="ER650" s="1539" t="e">
        <f t="shared" si="8"/>
        <v>#VALUE!</v>
      </c>
      <c r="ES650" s="1539"/>
      <c r="ET650" s="1539"/>
      <c r="EU650" s="1539"/>
      <c r="EV650" s="1539"/>
      <c r="EW650" s="1539" t="e">
        <f t="shared" si="9"/>
        <v>#VALUE!</v>
      </c>
      <c r="EX650" s="1539"/>
      <c r="EY650" s="1539"/>
      <c r="EZ650" s="1539"/>
      <c r="FA650" s="1539"/>
    </row>
    <row r="651" spans="1:157" ht="12.95" customHeight="1">
      <c r="A651" s="55" t="s">
        <v>112</v>
      </c>
      <c r="B651" t="s">
        <v>463</v>
      </c>
      <c r="G651" s="1489" t="str">
        <f>C635</f>
        <v>Citi Community Capital - Perm Loan</v>
      </c>
      <c r="H651" s="1489"/>
      <c r="I651" s="1489"/>
      <c r="J651" s="1489"/>
      <c r="K651" s="1489"/>
      <c r="L651" s="1489"/>
      <c r="M651" s="1489"/>
      <c r="N651" s="1489"/>
      <c r="O651" s="1489"/>
      <c r="P651" s="1489"/>
      <c r="Q651" s="1489"/>
      <c r="R651" s="1489"/>
      <c r="S651" s="8"/>
      <c r="T651" s="55" t="s">
        <v>113</v>
      </c>
      <c r="U651" t="s">
        <v>463</v>
      </c>
      <c r="Z651" s="1489" t="str">
        <f>C636</f>
        <v>HCD AHSC-AHD</v>
      </c>
      <c r="AA651" s="1489"/>
      <c r="AB651" s="1489"/>
      <c r="AC651" s="1489"/>
      <c r="AD651" s="1489"/>
      <c r="AE651" s="1489"/>
      <c r="AF651" s="1489"/>
      <c r="AG651" s="1489"/>
      <c r="AH651" s="1489"/>
      <c r="AI651" s="1489"/>
      <c r="AJ651" s="1489"/>
      <c r="AK651" s="148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9" t="e">
        <f t="shared" si="4"/>
        <v>#VALUE!</v>
      </c>
      <c r="DY651" s="1539"/>
      <c r="DZ651" s="1539"/>
      <c r="EA651" s="1539"/>
      <c r="EB651" s="1539"/>
      <c r="EC651" s="1539" t="e">
        <f t="shared" si="5"/>
        <v>#VALUE!</v>
      </c>
      <c r="ED651" s="1539"/>
      <c r="EE651" s="1539"/>
      <c r="EF651" s="1539"/>
      <c r="EG651" s="1539"/>
      <c r="EH651" s="1539" t="e">
        <f t="shared" si="6"/>
        <v>#VALUE!</v>
      </c>
      <c r="EI651" s="1539"/>
      <c r="EJ651" s="1539"/>
      <c r="EK651" s="1539"/>
      <c r="EL651" s="1539"/>
      <c r="EM651" s="1539">
        <f t="shared" si="7"/>
        <v>531.71907216494844</v>
      </c>
      <c r="EN651" s="1539"/>
      <c r="EO651" s="1539"/>
      <c r="EP651" s="1539"/>
      <c r="EQ651" s="1539"/>
      <c r="ER651" s="1539" t="e">
        <f t="shared" si="8"/>
        <v>#VALUE!</v>
      </c>
      <c r="ES651" s="1539"/>
      <c r="ET651" s="1539"/>
      <c r="EU651" s="1539"/>
      <c r="EV651" s="1539"/>
      <c r="EW651" s="1539" t="e">
        <f t="shared" si="9"/>
        <v>#VALUE!</v>
      </c>
      <c r="EX651" s="1539"/>
      <c r="EY651" s="1539"/>
      <c r="EZ651" s="1539"/>
      <c r="FA651" s="1539"/>
    </row>
    <row r="652" spans="1:157" ht="12.95" customHeight="1">
      <c r="A652" s="22"/>
      <c r="B652" t="s">
        <v>85</v>
      </c>
      <c r="G652" s="1399" t="str">
        <f>G577</f>
        <v>2700 Post Oak Boulevard, Suite 510</v>
      </c>
      <c r="H652" s="1399"/>
      <c r="I652" s="1399"/>
      <c r="J652" s="1399"/>
      <c r="K652" s="1399"/>
      <c r="L652" s="1399"/>
      <c r="M652" s="1399"/>
      <c r="N652" s="1399"/>
      <c r="O652" s="1399"/>
      <c r="P652" s="1399"/>
      <c r="Q652" s="1399"/>
      <c r="R652" s="1399"/>
      <c r="S652" s="8"/>
      <c r="T652" s="22"/>
      <c r="U652" t="s">
        <v>85</v>
      </c>
      <c r="Z652" s="1399" t="s">
        <v>2734</v>
      </c>
      <c r="AA652" s="1399"/>
      <c r="AB652" s="1399"/>
      <c r="AC652" s="1399"/>
      <c r="AD652" s="1399"/>
      <c r="AE652" s="1399"/>
      <c r="AF652" s="1399"/>
      <c r="AG652" s="1399"/>
      <c r="AH652" s="1399"/>
      <c r="AI652" s="1399"/>
      <c r="AJ652" s="1399"/>
      <c r="AK652" s="1399"/>
      <c r="AV652" s="3"/>
      <c r="AW652" s="3"/>
      <c r="AX652" s="3"/>
      <c r="AY652" s="3"/>
      <c r="AZ652" s="3"/>
      <c r="BA652" s="3"/>
      <c r="BB652" s="3"/>
      <c r="BC652" s="3"/>
      <c r="BD652" s="3"/>
      <c r="BE652" s="3"/>
      <c r="BF652" s="3"/>
      <c r="BG652" s="3"/>
      <c r="BH652" s="3"/>
      <c r="BI652" s="3"/>
      <c r="BJ652" s="3"/>
      <c r="BK652" s="3"/>
      <c r="BL652" s="3"/>
      <c r="BM652" s="3"/>
      <c r="DX652" s="1539" t="e">
        <f t="shared" si="4"/>
        <v>#VALUE!</v>
      </c>
      <c r="DY652" s="1539"/>
      <c r="DZ652" s="1539"/>
      <c r="EA652" s="1539"/>
      <c r="EB652" s="1539"/>
      <c r="EC652" s="1539" t="e">
        <f t="shared" si="5"/>
        <v>#VALUE!</v>
      </c>
      <c r="ED652" s="1539"/>
      <c r="EE652" s="1539"/>
      <c r="EF652" s="1539"/>
      <c r="EG652" s="1539"/>
      <c r="EH652" s="1539" t="e">
        <f t="shared" si="6"/>
        <v>#VALUE!</v>
      </c>
      <c r="EI652" s="1539"/>
      <c r="EJ652" s="1539"/>
      <c r="EK652" s="1539"/>
      <c r="EL652" s="1539"/>
      <c r="EM652" s="1539" t="e">
        <f t="shared" si="7"/>
        <v>#VALUE!</v>
      </c>
      <c r="EN652" s="1539"/>
      <c r="EO652" s="1539"/>
      <c r="EP652" s="1539"/>
      <c r="EQ652" s="1539"/>
      <c r="ER652" s="1539" t="e">
        <f t="shared" si="8"/>
        <v>#VALUE!</v>
      </c>
      <c r="ES652" s="1539"/>
      <c r="ET652" s="1539"/>
      <c r="EU652" s="1539"/>
      <c r="EV652" s="1539"/>
      <c r="EW652" s="1539" t="e">
        <f t="shared" si="9"/>
        <v>#VALUE!</v>
      </c>
      <c r="EX652" s="1539"/>
      <c r="EY652" s="1539"/>
      <c r="EZ652" s="1539"/>
      <c r="FA652" s="1539"/>
    </row>
    <row r="653" spans="1:157" ht="12.95" customHeight="1">
      <c r="A653" s="22"/>
      <c r="B653" t="s">
        <v>580</v>
      </c>
      <c r="G653" s="1399" t="str">
        <f>G578</f>
        <v>Houston, TX 77056</v>
      </c>
      <c r="H653" s="1399"/>
      <c r="I653" s="1399"/>
      <c r="J653" s="1399"/>
      <c r="K653" s="1399"/>
      <c r="L653" s="1399"/>
      <c r="M653" s="1399"/>
      <c r="N653" s="1399"/>
      <c r="O653" s="1399"/>
      <c r="P653" s="1399"/>
      <c r="Q653" s="1399"/>
      <c r="R653" s="1399"/>
      <c r="T653" s="22"/>
      <c r="U653" t="s">
        <v>580</v>
      </c>
      <c r="Z653" s="1454" t="s">
        <v>68</v>
      </c>
      <c r="AA653" s="1454"/>
      <c r="AB653" s="1454"/>
      <c r="AC653" s="1454"/>
      <c r="AD653" s="1454"/>
      <c r="AE653" s="1454"/>
      <c r="AF653" s="1454"/>
      <c r="AG653" s="1454"/>
      <c r="AH653" s="1454"/>
      <c r="AI653" s="1454"/>
      <c r="AJ653" s="1454"/>
      <c r="AK653" s="1454"/>
      <c r="AV653" s="3"/>
      <c r="AW653" s="3"/>
      <c r="AX653" s="3"/>
      <c r="AY653" s="3"/>
      <c r="AZ653" s="3"/>
      <c r="BA653" s="3"/>
      <c r="BB653" s="3"/>
      <c r="BC653" s="3"/>
      <c r="BD653" s="3"/>
      <c r="BE653" s="3"/>
      <c r="BF653" s="3"/>
      <c r="BG653" s="3"/>
      <c r="BH653" s="3"/>
      <c r="BI653" s="3"/>
      <c r="BJ653" s="3"/>
      <c r="BK653" s="3"/>
      <c r="BL653" s="3"/>
      <c r="BM653" s="3"/>
      <c r="DX653" s="1539" t="e">
        <f t="shared" si="4"/>
        <v>#VALUE!</v>
      </c>
      <c r="DY653" s="1539"/>
      <c r="DZ653" s="1539"/>
      <c r="EA653" s="1539"/>
      <c r="EB653" s="1539"/>
      <c r="EC653" s="1539" t="e">
        <f t="shared" si="5"/>
        <v>#VALUE!</v>
      </c>
      <c r="ED653" s="1539"/>
      <c r="EE653" s="1539"/>
      <c r="EF653" s="1539"/>
      <c r="EG653" s="1539"/>
      <c r="EH653" s="1539" t="e">
        <f t="shared" si="6"/>
        <v>#VALUE!</v>
      </c>
      <c r="EI653" s="1539"/>
      <c r="EJ653" s="1539"/>
      <c r="EK653" s="1539"/>
      <c r="EL653" s="1539"/>
      <c r="EM653" s="1539" t="e">
        <f t="shared" si="7"/>
        <v>#VALUE!</v>
      </c>
      <c r="EN653" s="1539"/>
      <c r="EO653" s="1539"/>
      <c r="EP653" s="1539"/>
      <c r="EQ653" s="1539"/>
      <c r="ER653" s="1539" t="e">
        <f t="shared" si="8"/>
        <v>#VALUE!</v>
      </c>
      <c r="ES653" s="1539"/>
      <c r="ET653" s="1539"/>
      <c r="EU653" s="1539"/>
      <c r="EV653" s="1539"/>
      <c r="EW653" s="1539" t="e">
        <f t="shared" si="9"/>
        <v>#VALUE!</v>
      </c>
      <c r="EX653" s="1539"/>
      <c r="EY653" s="1539"/>
      <c r="EZ653" s="1539"/>
      <c r="FA653" s="1539"/>
    </row>
    <row r="654" spans="1:157" ht="12.95" customHeight="1">
      <c r="A654" s="22"/>
      <c r="B654" t="s">
        <v>17</v>
      </c>
      <c r="G654" s="1399" t="str">
        <f>G579</f>
        <v>Fisher Sutterfield</v>
      </c>
      <c r="H654" s="1399"/>
      <c r="I654" s="1399"/>
      <c r="J654" s="1399"/>
      <c r="K654" s="1399"/>
      <c r="L654" s="1399"/>
      <c r="M654" s="1399"/>
      <c r="N654" s="1399"/>
      <c r="O654" s="1399"/>
      <c r="P654" s="1399"/>
      <c r="Q654" s="1399"/>
      <c r="R654" s="1399"/>
      <c r="S654" s="8"/>
      <c r="T654" s="22"/>
      <c r="U654" t="s">
        <v>17</v>
      </c>
      <c r="Z654" s="1454" t="s">
        <v>2735</v>
      </c>
      <c r="AA654" s="1454"/>
      <c r="AB654" s="1454"/>
      <c r="AC654" s="1454"/>
      <c r="AD654" s="1454"/>
      <c r="AE654" s="1454"/>
      <c r="AF654" s="1454"/>
      <c r="AG654" s="1454"/>
      <c r="AH654" s="1454"/>
      <c r="AI654" s="1454"/>
      <c r="AJ654" s="1454"/>
      <c r="AK654" s="1454"/>
      <c r="AZ654" s="3"/>
      <c r="BA654" s="3"/>
      <c r="BB654" s="3"/>
      <c r="BC654" s="3"/>
      <c r="BD654" s="3"/>
      <c r="BE654" s="3"/>
      <c r="BF654" s="3"/>
      <c r="BG654" s="3"/>
      <c r="BH654" s="3"/>
      <c r="BI654" s="3"/>
      <c r="BJ654" s="3"/>
      <c r="BK654" s="3"/>
      <c r="BL654" s="3"/>
      <c r="BM654" s="3"/>
      <c r="DX654" s="1539" t="e">
        <f t="shared" si="4"/>
        <v>#VALUE!</v>
      </c>
      <c r="DY654" s="1539"/>
      <c r="DZ654" s="1539"/>
      <c r="EA654" s="1539"/>
      <c r="EB654" s="1539"/>
      <c r="EC654" s="1539" t="e">
        <f t="shared" si="5"/>
        <v>#VALUE!</v>
      </c>
      <c r="ED654" s="1539"/>
      <c r="EE654" s="1539"/>
      <c r="EF654" s="1539"/>
      <c r="EG654" s="1539"/>
      <c r="EH654" s="1539" t="e">
        <f t="shared" si="6"/>
        <v>#VALUE!</v>
      </c>
      <c r="EI654" s="1539"/>
      <c r="EJ654" s="1539"/>
      <c r="EK654" s="1539"/>
      <c r="EL654" s="1539"/>
      <c r="EM654" s="1539" t="e">
        <f t="shared" si="7"/>
        <v>#VALUE!</v>
      </c>
      <c r="EN654" s="1539"/>
      <c r="EO654" s="1539"/>
      <c r="EP654" s="1539"/>
      <c r="EQ654" s="1539"/>
      <c r="ER654" s="1539" t="e">
        <f t="shared" si="8"/>
        <v>#VALUE!</v>
      </c>
      <c r="ES654" s="1539"/>
      <c r="ET654" s="1539"/>
      <c r="EU654" s="1539"/>
      <c r="EV654" s="1539"/>
      <c r="EW654" s="1539" t="e">
        <f t="shared" si="9"/>
        <v>#VALUE!</v>
      </c>
      <c r="EX654" s="1539"/>
      <c r="EY654" s="1539"/>
      <c r="EZ654" s="1539"/>
      <c r="FA654" s="1539"/>
    </row>
    <row r="655" spans="1:157" ht="12.95" customHeight="1">
      <c r="A655" s="22"/>
      <c r="B655" t="s">
        <v>316</v>
      </c>
      <c r="G655" s="1473">
        <f>G580</f>
        <v>7136936509</v>
      </c>
      <c r="H655" s="1473"/>
      <c r="I655" s="1473"/>
      <c r="J655" s="1473"/>
      <c r="K655" s="1473"/>
      <c r="L655" s="1473"/>
      <c r="O655" s="33" t="s">
        <v>206</v>
      </c>
      <c r="P655" s="1444"/>
      <c r="Q655" s="1444"/>
      <c r="R655" s="1444"/>
      <c r="S655" s="10"/>
      <c r="T655" s="22"/>
      <c r="U655" t="s">
        <v>316</v>
      </c>
      <c r="Z655" s="1473">
        <v>9167767559</v>
      </c>
      <c r="AA655" s="1473"/>
      <c r="AB655" s="1473"/>
      <c r="AC655" s="1473"/>
      <c r="AD655" s="1473"/>
      <c r="AE655" s="1473"/>
      <c r="AH655" s="33" t="s">
        <v>206</v>
      </c>
      <c r="AI655" s="1444"/>
      <c r="AJ655" s="1444"/>
      <c r="AK655" s="1444"/>
      <c r="AZ655" s="34"/>
      <c r="BA655" s="34"/>
      <c r="BB655" s="34"/>
      <c r="BC655" s="34"/>
      <c r="BD655" s="34"/>
      <c r="BE655" s="34"/>
      <c r="BF655" s="34"/>
      <c r="BG655" s="34"/>
      <c r="BH655" s="34"/>
      <c r="BI655" s="34"/>
      <c r="BJ655" s="34"/>
      <c r="BK655" s="34"/>
      <c r="BL655" s="34"/>
      <c r="BM655" s="34"/>
      <c r="DX655" s="1539" t="e">
        <f t="shared" si="4"/>
        <v>#VALUE!</v>
      </c>
      <c r="DY655" s="1539"/>
      <c r="DZ655" s="1539"/>
      <c r="EA655" s="1539"/>
      <c r="EB655" s="1539"/>
      <c r="EC655" s="1539" t="e">
        <f t="shared" si="5"/>
        <v>#VALUE!</v>
      </c>
      <c r="ED655" s="1539"/>
      <c r="EE655" s="1539"/>
      <c r="EF655" s="1539"/>
      <c r="EG655" s="1539"/>
      <c r="EH655" s="1539" t="e">
        <f t="shared" si="6"/>
        <v>#VALUE!</v>
      </c>
      <c r="EI655" s="1539"/>
      <c r="EJ655" s="1539"/>
      <c r="EK655" s="1539"/>
      <c r="EL655" s="1539"/>
      <c r="EM655" s="1539" t="e">
        <f t="shared" si="7"/>
        <v>#VALUE!</v>
      </c>
      <c r="EN655" s="1539"/>
      <c r="EO655" s="1539"/>
      <c r="EP655" s="1539"/>
      <c r="EQ655" s="1539"/>
      <c r="ER655" s="1539" t="e">
        <f t="shared" si="8"/>
        <v>#VALUE!</v>
      </c>
      <c r="ES655" s="1539"/>
      <c r="ET655" s="1539"/>
      <c r="EU655" s="1539"/>
      <c r="EV655" s="1539"/>
      <c r="EW655" s="1539" t="e">
        <f t="shared" si="9"/>
        <v>#VALUE!</v>
      </c>
      <c r="EX655" s="1539"/>
      <c r="EY655" s="1539"/>
      <c r="EZ655" s="1539"/>
      <c r="FA655" s="1539"/>
    </row>
    <row r="656" spans="1:157" ht="12.95" customHeight="1">
      <c r="A656" s="22"/>
      <c r="B656" t="s">
        <v>18</v>
      </c>
      <c r="H656" s="1399" t="str">
        <f>M635</f>
        <v>Loan, Tax-Exempt</v>
      </c>
      <c r="I656" s="1399"/>
      <c r="J656" s="1399"/>
      <c r="K656" s="1399"/>
      <c r="L656" s="1399"/>
      <c r="M656" s="1399"/>
      <c r="N656" s="1399"/>
      <c r="O656" s="1399"/>
      <c r="P656" s="1399"/>
      <c r="Q656" s="1399"/>
      <c r="R656" s="1399"/>
      <c r="S656" s="8"/>
      <c r="T656" s="22"/>
      <c r="U656" t="s">
        <v>18</v>
      </c>
      <c r="AA656" s="1399" t="str">
        <f>M636</f>
        <v>Loan, Residual Receipts</v>
      </c>
      <c r="AB656" s="1399"/>
      <c r="AC656" s="1399"/>
      <c r="AD656" s="1399"/>
      <c r="AE656" s="1399"/>
      <c r="AF656" s="1399"/>
      <c r="AG656" s="1399"/>
      <c r="AH656" s="1399"/>
      <c r="AI656" s="1399"/>
      <c r="AJ656" s="1399"/>
      <c r="AK656" s="1399"/>
      <c r="AZ656" s="34"/>
      <c r="BA656" s="34"/>
      <c r="BB656" s="34"/>
      <c r="BC656" s="34"/>
      <c r="BD656" s="34"/>
      <c r="BE656" s="34"/>
      <c r="BF656" s="34"/>
      <c r="BG656" s="34"/>
      <c r="BH656" s="34"/>
      <c r="BI656" s="34"/>
      <c r="BJ656" s="34"/>
      <c r="BK656" s="34"/>
      <c r="BL656" s="34"/>
      <c r="BM656" s="34"/>
      <c r="DX656" s="1539" t="e">
        <f t="shared" si="4"/>
        <v>#VALUE!</v>
      </c>
      <c r="DY656" s="1539"/>
      <c r="DZ656" s="1539"/>
      <c r="EA656" s="1539"/>
      <c r="EB656" s="1539"/>
      <c r="EC656" s="1539" t="e">
        <f t="shared" si="5"/>
        <v>#VALUE!</v>
      </c>
      <c r="ED656" s="1539"/>
      <c r="EE656" s="1539"/>
      <c r="EF656" s="1539"/>
      <c r="EG656" s="1539"/>
      <c r="EH656" s="1539" t="e">
        <f t="shared" si="6"/>
        <v>#VALUE!</v>
      </c>
      <c r="EI656" s="1539"/>
      <c r="EJ656" s="1539"/>
      <c r="EK656" s="1539"/>
      <c r="EL656" s="1539"/>
      <c r="EM656" s="1539" t="e">
        <f t="shared" si="7"/>
        <v>#VALUE!</v>
      </c>
      <c r="EN656" s="1539"/>
      <c r="EO656" s="1539"/>
      <c r="EP656" s="1539"/>
      <c r="EQ656" s="1539"/>
      <c r="ER656" s="1539" t="e">
        <f t="shared" si="8"/>
        <v>#VALUE!</v>
      </c>
      <c r="ES656" s="1539"/>
      <c r="ET656" s="1539"/>
      <c r="EU656" s="1539"/>
      <c r="EV656" s="1539"/>
      <c r="EW656" s="1539" t="e">
        <f t="shared" si="9"/>
        <v>#VALUE!</v>
      </c>
      <c r="EX656" s="1539"/>
      <c r="EY656" s="1539"/>
      <c r="EZ656" s="1539"/>
      <c r="FA656" s="1539"/>
    </row>
    <row r="657" spans="1:157" ht="12.95" customHeight="1">
      <c r="A657" s="22"/>
      <c r="B657" t="s">
        <v>20</v>
      </c>
      <c r="N657" s="1347" t="s">
        <v>545</v>
      </c>
      <c r="O657" s="1347"/>
      <c r="T657" s="22"/>
      <c r="U657" t="s">
        <v>20</v>
      </c>
      <c r="AG657" s="1347" t="s">
        <v>545</v>
      </c>
      <c r="AH657" s="1347"/>
      <c r="AZ657" s="34"/>
      <c r="BA657" s="34"/>
      <c r="BB657" s="34"/>
      <c r="BC657" s="34"/>
      <c r="BD657" s="34"/>
      <c r="BE657" s="34"/>
      <c r="BF657" s="34"/>
      <c r="BG657" s="34"/>
      <c r="BH657" s="34"/>
      <c r="BI657" s="34"/>
      <c r="BJ657" s="34"/>
      <c r="BK657" s="34"/>
      <c r="BL657" s="34"/>
      <c r="BM657" s="34"/>
      <c r="DX657" s="1539" t="e">
        <f t="shared" si="4"/>
        <v>#VALUE!</v>
      </c>
      <c r="DY657" s="1539"/>
      <c r="DZ657" s="1539"/>
      <c r="EA657" s="1539"/>
      <c r="EB657" s="1539"/>
      <c r="EC657" s="1539" t="e">
        <f t="shared" si="5"/>
        <v>#VALUE!</v>
      </c>
      <c r="ED657" s="1539"/>
      <c r="EE657" s="1539"/>
      <c r="EF657" s="1539"/>
      <c r="EG657" s="1539"/>
      <c r="EH657" s="1539" t="e">
        <f t="shared" si="6"/>
        <v>#VALUE!</v>
      </c>
      <c r="EI657" s="1539"/>
      <c r="EJ657" s="1539"/>
      <c r="EK657" s="1539"/>
      <c r="EL657" s="1539"/>
      <c r="EM657" s="1539" t="e">
        <f t="shared" si="7"/>
        <v>#VALUE!</v>
      </c>
      <c r="EN657" s="1539"/>
      <c r="EO657" s="1539"/>
      <c r="EP657" s="1539"/>
      <c r="EQ657" s="1539"/>
      <c r="ER657" s="1539" t="e">
        <f t="shared" si="8"/>
        <v>#VALUE!</v>
      </c>
      <c r="ES657" s="1539"/>
      <c r="ET657" s="1539"/>
      <c r="EU657" s="1539"/>
      <c r="EV657" s="1539"/>
      <c r="EW657" s="1539" t="e">
        <f t="shared" si="9"/>
        <v>#VALUE!</v>
      </c>
      <c r="EX657" s="1539"/>
      <c r="EY657" s="1539"/>
      <c r="EZ657" s="1539"/>
      <c r="FA657" s="1539"/>
    </row>
    <row r="658" spans="1:157" ht="12.95" customHeight="1">
      <c r="A658" s="22"/>
      <c r="T658" s="22"/>
      <c r="AZ658" s="34"/>
      <c r="BA658" s="34"/>
      <c r="BB658" s="34"/>
      <c r="BC658" s="34"/>
      <c r="BD658" s="34"/>
      <c r="BE658" s="34"/>
      <c r="BF658" s="34"/>
      <c r="BG658" s="34"/>
      <c r="BH658" s="34"/>
      <c r="BI658" s="34"/>
      <c r="BJ658" s="34"/>
      <c r="BK658" s="34"/>
      <c r="BL658" s="34"/>
      <c r="BM658" s="34"/>
      <c r="DX658" s="1539" t="e">
        <f t="shared" si="4"/>
        <v>#VALUE!</v>
      </c>
      <c r="DY658" s="1539"/>
      <c r="DZ658" s="1539"/>
      <c r="EA658" s="1539"/>
      <c r="EB658" s="1539"/>
      <c r="EC658" s="1539" t="e">
        <f t="shared" si="5"/>
        <v>#VALUE!</v>
      </c>
      <c r="ED658" s="1539"/>
      <c r="EE658" s="1539"/>
      <c r="EF658" s="1539"/>
      <c r="EG658" s="1539"/>
      <c r="EH658" s="1539" t="e">
        <f t="shared" si="6"/>
        <v>#VALUE!</v>
      </c>
      <c r="EI658" s="1539"/>
      <c r="EJ658" s="1539"/>
      <c r="EK658" s="1539"/>
      <c r="EL658" s="1539"/>
      <c r="EM658" s="1539" t="e">
        <f t="shared" si="7"/>
        <v>#VALUE!</v>
      </c>
      <c r="EN658" s="1539"/>
      <c r="EO658" s="1539"/>
      <c r="EP658" s="1539"/>
      <c r="EQ658" s="1539"/>
      <c r="ER658" s="1539" t="e">
        <f t="shared" si="8"/>
        <v>#VALUE!</v>
      </c>
      <c r="ES658" s="1539"/>
      <c r="ET658" s="1539"/>
      <c r="EU658" s="1539"/>
      <c r="EV658" s="1539"/>
      <c r="EW658" s="1539" t="e">
        <f t="shared" si="9"/>
        <v>#VALUE!</v>
      </c>
      <c r="EX658" s="1539"/>
      <c r="EY658" s="1539"/>
      <c r="EZ658" s="1539"/>
      <c r="FA658" s="1539"/>
    </row>
    <row r="659" spans="1:157" ht="12.95" customHeight="1">
      <c r="A659" s="55" t="s">
        <v>119</v>
      </c>
      <c r="B659" t="s">
        <v>463</v>
      </c>
      <c r="G659" s="1489" t="str">
        <f>C637</f>
        <v>NOI</v>
      </c>
      <c r="H659" s="1489"/>
      <c r="I659" s="1489"/>
      <c r="J659" s="1489"/>
      <c r="K659" s="1489"/>
      <c r="L659" s="1489"/>
      <c r="M659" s="1489"/>
      <c r="N659" s="1489"/>
      <c r="O659" s="1489"/>
      <c r="P659" s="1489"/>
      <c r="Q659" s="1489"/>
      <c r="R659" s="1489"/>
      <c r="T659" s="55" t="s">
        <v>581</v>
      </c>
      <c r="U659" t="s">
        <v>463</v>
      </c>
      <c r="Z659" s="1489" t="str">
        <f>C638</f>
        <v>Deferred Developer Fee</v>
      </c>
      <c r="AA659" s="1489"/>
      <c r="AB659" s="1489"/>
      <c r="AC659" s="1489"/>
      <c r="AD659" s="1489"/>
      <c r="AE659" s="1489"/>
      <c r="AF659" s="1489"/>
      <c r="AG659" s="1489"/>
      <c r="AH659" s="1489"/>
      <c r="AI659" s="1489"/>
      <c r="AJ659" s="1489"/>
      <c r="AK659" s="1489"/>
      <c r="AZ659" s="34"/>
      <c r="BA659" s="34"/>
      <c r="BB659" s="34"/>
      <c r="BC659" s="34"/>
      <c r="BD659" s="34"/>
      <c r="BE659" s="34"/>
      <c r="BF659" s="34"/>
      <c r="BG659" s="34"/>
      <c r="BH659" s="34"/>
      <c r="BI659" s="34"/>
      <c r="BJ659" s="34"/>
      <c r="BK659" s="34"/>
      <c r="BL659" s="34"/>
      <c r="BM659" s="34"/>
      <c r="DX659" s="1539" t="e">
        <f t="shared" si="4"/>
        <v>#VALUE!</v>
      </c>
      <c r="DY659" s="1539"/>
      <c r="DZ659" s="1539"/>
      <c r="EA659" s="1539"/>
      <c r="EB659" s="1539"/>
      <c r="EC659" s="1539" t="e">
        <f t="shared" si="5"/>
        <v>#VALUE!</v>
      </c>
      <c r="ED659" s="1539"/>
      <c r="EE659" s="1539"/>
      <c r="EF659" s="1539"/>
      <c r="EG659" s="1539"/>
      <c r="EH659" s="1539" t="e">
        <f t="shared" si="6"/>
        <v>#VALUE!</v>
      </c>
      <c r="EI659" s="1539"/>
      <c r="EJ659" s="1539"/>
      <c r="EK659" s="1539"/>
      <c r="EL659" s="1539"/>
      <c r="EM659" s="1539" t="e">
        <f t="shared" si="7"/>
        <v>#VALUE!</v>
      </c>
      <c r="EN659" s="1539"/>
      <c r="EO659" s="1539"/>
      <c r="EP659" s="1539"/>
      <c r="EQ659" s="1539"/>
      <c r="ER659" s="1539" t="e">
        <f t="shared" si="8"/>
        <v>#VALUE!</v>
      </c>
      <c r="ES659" s="1539"/>
      <c r="ET659" s="1539"/>
      <c r="EU659" s="1539"/>
      <c r="EV659" s="1539"/>
      <c r="EW659" s="1539" t="e">
        <f t="shared" si="9"/>
        <v>#VALUE!</v>
      </c>
      <c r="EX659" s="1539"/>
      <c r="EY659" s="1539"/>
      <c r="EZ659" s="1539"/>
      <c r="FA659" s="1539"/>
    </row>
    <row r="660" spans="1:157" ht="12.95" customHeight="1">
      <c r="A660" s="22"/>
      <c r="B660" t="s">
        <v>85</v>
      </c>
      <c r="G660" s="1399" t="str">
        <f>Z586</f>
        <v>30141 Agoura Rd Ste 100</v>
      </c>
      <c r="H660" s="1399"/>
      <c r="I660" s="1399"/>
      <c r="J660" s="1399"/>
      <c r="K660" s="1399"/>
      <c r="L660" s="1399"/>
      <c r="M660" s="1399"/>
      <c r="N660" s="1399"/>
      <c r="O660" s="1399"/>
      <c r="P660" s="1399"/>
      <c r="Q660" s="1399"/>
      <c r="R660" s="1399"/>
      <c r="T660" s="22"/>
      <c r="U660" t="s">
        <v>85</v>
      </c>
      <c r="Z660" s="1399" t="str">
        <f>G660</f>
        <v>30141 Agoura Rd Ste 100</v>
      </c>
      <c r="AA660" s="1399"/>
      <c r="AB660" s="1399"/>
      <c r="AC660" s="1399"/>
      <c r="AD660" s="1399"/>
      <c r="AE660" s="1399"/>
      <c r="AF660" s="1399"/>
      <c r="AG660" s="1399"/>
      <c r="AH660" s="1399"/>
      <c r="AI660" s="1399"/>
      <c r="AJ660" s="1399"/>
      <c r="AK660" s="1399"/>
      <c r="AZ660" s="34"/>
      <c r="BA660" s="34"/>
      <c r="BB660" s="34"/>
      <c r="BC660" s="34"/>
      <c r="BD660" s="34"/>
      <c r="BE660" s="34"/>
      <c r="BF660" s="34"/>
      <c r="BG660" s="34"/>
      <c r="BH660" s="34"/>
      <c r="BI660" s="34"/>
      <c r="BJ660" s="34"/>
      <c r="BK660" s="34"/>
      <c r="BL660" s="34"/>
      <c r="BM660" s="34"/>
      <c r="DX660" s="1539" t="e">
        <f t="shared" si="4"/>
        <v>#VALUE!</v>
      </c>
      <c r="DY660" s="1539"/>
      <c r="DZ660" s="1539"/>
      <c r="EA660" s="1539"/>
      <c r="EB660" s="1539"/>
      <c r="EC660" s="1539" t="e">
        <f t="shared" si="5"/>
        <v>#VALUE!</v>
      </c>
      <c r="ED660" s="1539"/>
      <c r="EE660" s="1539"/>
      <c r="EF660" s="1539"/>
      <c r="EG660" s="1539"/>
      <c r="EH660" s="1539" t="e">
        <f t="shared" si="6"/>
        <v>#VALUE!</v>
      </c>
      <c r="EI660" s="1539"/>
      <c r="EJ660" s="1539"/>
      <c r="EK660" s="1539"/>
      <c r="EL660" s="1539"/>
      <c r="EM660" s="1539" t="e">
        <f t="shared" si="7"/>
        <v>#VALUE!</v>
      </c>
      <c r="EN660" s="1539"/>
      <c r="EO660" s="1539"/>
      <c r="EP660" s="1539"/>
      <c r="EQ660" s="1539"/>
      <c r="ER660" s="1539" t="e">
        <f t="shared" si="8"/>
        <v>#VALUE!</v>
      </c>
      <c r="ES660" s="1539"/>
      <c r="ET660" s="1539"/>
      <c r="EU660" s="1539"/>
      <c r="EV660" s="1539"/>
      <c r="EW660" s="1539" t="e">
        <f t="shared" si="9"/>
        <v>#VALUE!</v>
      </c>
      <c r="EX660" s="1539"/>
      <c r="EY660" s="1539"/>
      <c r="EZ660" s="1539"/>
      <c r="FA660" s="1539"/>
    </row>
    <row r="661" spans="1:157" ht="12.95" customHeight="1">
      <c r="A661" s="22"/>
      <c r="B661" t="s">
        <v>580</v>
      </c>
      <c r="G661" s="1454" t="str">
        <f>Z587</f>
        <v>Agoura Hills, CA 91301</v>
      </c>
      <c r="H661" s="1454"/>
      <c r="I661" s="1454"/>
      <c r="J661" s="1454"/>
      <c r="K661" s="1454"/>
      <c r="L661" s="1454"/>
      <c r="M661" s="1454"/>
      <c r="N661" s="1454"/>
      <c r="O661" s="1454"/>
      <c r="P661" s="1454"/>
      <c r="Q661" s="1454"/>
      <c r="R661" s="1454"/>
      <c r="T661" s="22"/>
      <c r="U661" t="s">
        <v>580</v>
      </c>
      <c r="Z661" s="1454" t="str">
        <f>G661</f>
        <v>Agoura Hills, CA 91301</v>
      </c>
      <c r="AA661" s="1454"/>
      <c r="AB661" s="1454"/>
      <c r="AC661" s="1454"/>
      <c r="AD661" s="1454"/>
      <c r="AE661" s="1454"/>
      <c r="AF661" s="1454"/>
      <c r="AG661" s="1454"/>
      <c r="AH661" s="1454"/>
      <c r="AI661" s="1454"/>
      <c r="AJ661" s="1454"/>
      <c r="AK661" s="1454"/>
      <c r="AZ661" s="34"/>
      <c r="BA661" s="34"/>
      <c r="BB661" s="34"/>
      <c r="BC661" s="34"/>
      <c r="BD661" s="34"/>
      <c r="BE661" s="34"/>
      <c r="BF661" s="34"/>
      <c r="BG661" s="34"/>
      <c r="BH661" s="34"/>
      <c r="BI661" s="34"/>
      <c r="BJ661" s="34"/>
      <c r="BK661" s="34"/>
      <c r="BL661" s="34"/>
      <c r="BM661" s="34"/>
      <c r="DX661" s="1539" t="e">
        <f t="shared" si="4"/>
        <v>#VALUE!</v>
      </c>
      <c r="DY661" s="1539"/>
      <c r="DZ661" s="1539"/>
      <c r="EA661" s="1539"/>
      <c r="EB661" s="1539"/>
      <c r="EC661" s="1539" t="e">
        <f t="shared" si="5"/>
        <v>#VALUE!</v>
      </c>
      <c r="ED661" s="1539"/>
      <c r="EE661" s="1539"/>
      <c r="EF661" s="1539"/>
      <c r="EG661" s="1539"/>
      <c r="EH661" s="1539" t="e">
        <f t="shared" si="6"/>
        <v>#VALUE!</v>
      </c>
      <c r="EI661" s="1539"/>
      <c r="EJ661" s="1539"/>
      <c r="EK661" s="1539"/>
      <c r="EL661" s="1539"/>
      <c r="EM661" s="1539" t="e">
        <f t="shared" si="7"/>
        <v>#VALUE!</v>
      </c>
      <c r="EN661" s="1539"/>
      <c r="EO661" s="1539"/>
      <c r="EP661" s="1539"/>
      <c r="EQ661" s="1539"/>
      <c r="ER661" s="1539" t="e">
        <f t="shared" si="8"/>
        <v>#VALUE!</v>
      </c>
      <c r="ES661" s="1539"/>
      <c r="ET661" s="1539"/>
      <c r="EU661" s="1539"/>
      <c r="EV661" s="1539"/>
      <c r="EW661" s="1539" t="e">
        <f t="shared" si="9"/>
        <v>#VALUE!</v>
      </c>
      <c r="EX661" s="1539"/>
      <c r="EY661" s="1539"/>
      <c r="EZ661" s="1539"/>
      <c r="FA661" s="1539"/>
    </row>
    <row r="662" spans="1:157" ht="12.95" customHeight="1">
      <c r="A662" s="22"/>
      <c r="B662" t="s">
        <v>17</v>
      </c>
      <c r="G662" s="1454" t="str">
        <f>Z588</f>
        <v>Ramir Kianfar</v>
      </c>
      <c r="H662" s="1454"/>
      <c r="I662" s="1454"/>
      <c r="J662" s="1454"/>
      <c r="K662" s="1454"/>
      <c r="L662" s="1454"/>
      <c r="M662" s="1454"/>
      <c r="N662" s="1454"/>
      <c r="O662" s="1454"/>
      <c r="P662" s="1454"/>
      <c r="Q662" s="1454"/>
      <c r="R662" s="1454"/>
      <c r="T662" s="22"/>
      <c r="U662" t="s">
        <v>17</v>
      </c>
      <c r="Z662" s="1454" t="str">
        <f>G662</f>
        <v>Ramir Kianfar</v>
      </c>
      <c r="AA662" s="1454"/>
      <c r="AB662" s="1454"/>
      <c r="AC662" s="1454"/>
      <c r="AD662" s="1454"/>
      <c r="AE662" s="1454"/>
      <c r="AF662" s="1454"/>
      <c r="AG662" s="1454"/>
      <c r="AH662" s="1454"/>
      <c r="AI662" s="1454"/>
      <c r="AJ662" s="1454"/>
      <c r="AK662" s="1454"/>
      <c r="AZ662" s="34"/>
      <c r="BA662" s="34"/>
      <c r="BB662" s="34"/>
      <c r="BC662" s="34"/>
      <c r="BD662" s="34"/>
      <c r="BE662" s="34"/>
      <c r="BF662" s="34"/>
      <c r="BG662" s="34"/>
      <c r="BH662" s="34"/>
      <c r="BI662" s="34"/>
      <c r="BJ662" s="34"/>
      <c r="BK662" s="34"/>
      <c r="BL662" s="34"/>
      <c r="BM662" s="34"/>
      <c r="DX662" s="1539" t="e">
        <f t="shared" si="4"/>
        <v>#VALUE!</v>
      </c>
      <c r="DY662" s="1539"/>
      <c r="DZ662" s="1539"/>
      <c r="EA662" s="1539"/>
      <c r="EB662" s="1539"/>
      <c r="EC662" s="1539" t="e">
        <f t="shared" si="5"/>
        <v>#VALUE!</v>
      </c>
      <c r="ED662" s="1539"/>
      <c r="EE662" s="1539"/>
      <c r="EF662" s="1539"/>
      <c r="EG662" s="1539"/>
      <c r="EH662" s="1539" t="e">
        <f t="shared" si="6"/>
        <v>#VALUE!</v>
      </c>
      <c r="EI662" s="1539"/>
      <c r="EJ662" s="1539"/>
      <c r="EK662" s="1539"/>
      <c r="EL662" s="1539"/>
      <c r="EM662" s="1539" t="e">
        <f t="shared" si="7"/>
        <v>#VALUE!</v>
      </c>
      <c r="EN662" s="1539"/>
      <c r="EO662" s="1539"/>
      <c r="EP662" s="1539"/>
      <c r="EQ662" s="1539"/>
      <c r="ER662" s="1539" t="e">
        <f t="shared" si="8"/>
        <v>#VALUE!</v>
      </c>
      <c r="ES662" s="1539"/>
      <c r="ET662" s="1539"/>
      <c r="EU662" s="1539"/>
      <c r="EV662" s="1539"/>
      <c r="EW662" s="1539" t="e">
        <f t="shared" si="9"/>
        <v>#VALUE!</v>
      </c>
      <c r="EX662" s="1539"/>
      <c r="EY662" s="1539"/>
      <c r="EZ662" s="1539"/>
      <c r="FA662" s="1539"/>
    </row>
    <row r="663" spans="1:157" ht="12.95" customHeight="1">
      <c r="A663" s="22"/>
      <c r="B663" t="s">
        <v>316</v>
      </c>
      <c r="G663" s="1473">
        <f>Z589</f>
        <v>8187060694</v>
      </c>
      <c r="H663" s="1473"/>
      <c r="I663" s="1473"/>
      <c r="J663" s="1473"/>
      <c r="K663" s="1473"/>
      <c r="L663" s="1473"/>
      <c r="O663" s="33" t="s">
        <v>206</v>
      </c>
      <c r="P663" s="1444">
        <v>106</v>
      </c>
      <c r="Q663" s="1444"/>
      <c r="R663" s="1444"/>
      <c r="T663" s="22"/>
      <c r="U663" t="s">
        <v>316</v>
      </c>
      <c r="Z663" s="1473">
        <f>G663</f>
        <v>8187060694</v>
      </c>
      <c r="AA663" s="1473"/>
      <c r="AB663" s="1473"/>
      <c r="AC663" s="1473"/>
      <c r="AD663" s="1473"/>
      <c r="AE663" s="1473"/>
      <c r="AH663" s="33" t="s">
        <v>206</v>
      </c>
      <c r="AI663" s="1444">
        <v>106</v>
      </c>
      <c r="AJ663" s="1444"/>
      <c r="AK663" s="1444"/>
      <c r="AZ663" s="34"/>
      <c r="BA663" s="34"/>
      <c r="BB663" s="34"/>
      <c r="BC663" s="34"/>
      <c r="BD663" s="34"/>
      <c r="BE663" s="34"/>
      <c r="BF663" s="34"/>
      <c r="BG663" s="34"/>
      <c r="BH663" s="34"/>
      <c r="BI663" s="34"/>
      <c r="BJ663" s="34"/>
      <c r="BK663" s="34"/>
      <c r="BL663" s="34"/>
      <c r="BM663" s="34"/>
      <c r="DX663" s="1539" t="e">
        <f t="shared" si="4"/>
        <v>#VALUE!</v>
      </c>
      <c r="DY663" s="1539"/>
      <c r="DZ663" s="1539"/>
      <c r="EA663" s="1539"/>
      <c r="EB663" s="1539"/>
      <c r="EC663" s="1539" t="e">
        <f t="shared" si="5"/>
        <v>#VALUE!</v>
      </c>
      <c r="ED663" s="1539"/>
      <c r="EE663" s="1539"/>
      <c r="EF663" s="1539"/>
      <c r="EG663" s="1539"/>
      <c r="EH663" s="1539" t="e">
        <f t="shared" si="6"/>
        <v>#VALUE!</v>
      </c>
      <c r="EI663" s="1539"/>
      <c r="EJ663" s="1539"/>
      <c r="EK663" s="1539"/>
      <c r="EL663" s="1539"/>
      <c r="EM663" s="1539" t="e">
        <f t="shared" si="7"/>
        <v>#VALUE!</v>
      </c>
      <c r="EN663" s="1539"/>
      <c r="EO663" s="1539"/>
      <c r="EP663" s="1539"/>
      <c r="EQ663" s="1539"/>
      <c r="ER663" s="1539" t="e">
        <f t="shared" si="8"/>
        <v>#VALUE!</v>
      </c>
      <c r="ES663" s="1539"/>
      <c r="ET663" s="1539"/>
      <c r="EU663" s="1539"/>
      <c r="EV663" s="1539"/>
      <c r="EW663" s="1539" t="e">
        <f t="shared" si="9"/>
        <v>#VALUE!</v>
      </c>
      <c r="EX663" s="1539"/>
      <c r="EY663" s="1539"/>
      <c r="EZ663" s="1539"/>
      <c r="FA663" s="1539"/>
    </row>
    <row r="664" spans="1:157" ht="12.95" customHeight="1">
      <c r="A664" s="22"/>
      <c r="B664" t="s">
        <v>18</v>
      </c>
      <c r="H664" s="1399" t="str">
        <f>M637</f>
        <v>Loan, Residual Receipts</v>
      </c>
      <c r="I664" s="1399"/>
      <c r="J664" s="1399"/>
      <c r="K664" s="1399"/>
      <c r="L664" s="1399"/>
      <c r="M664" s="1399"/>
      <c r="N664" s="1399"/>
      <c r="O664" s="1399"/>
      <c r="P664" s="1399"/>
      <c r="Q664" s="1399"/>
      <c r="R664" s="1399"/>
      <c r="T664" s="22"/>
      <c r="U664" t="s">
        <v>18</v>
      </c>
      <c r="AA664" s="1399" t="str">
        <f>M638</f>
        <v>Developer Fee, Deferral</v>
      </c>
      <c r="AB664" s="1399"/>
      <c r="AC664" s="1399"/>
      <c r="AD664" s="1399"/>
      <c r="AE664" s="1399"/>
      <c r="AF664" s="1399"/>
      <c r="AG664" s="1399"/>
      <c r="AH664" s="1399"/>
      <c r="AI664" s="1399"/>
      <c r="AJ664" s="1399"/>
      <c r="AK664" s="1399"/>
      <c r="AZ664" s="34"/>
      <c r="BA664" s="34"/>
      <c r="BB664" s="34"/>
      <c r="BC664" s="34"/>
      <c r="BD664" s="34"/>
      <c r="BE664" s="34"/>
      <c r="BF664" s="34"/>
      <c r="BG664" s="34"/>
      <c r="BH664" s="34"/>
      <c r="BI664" s="34"/>
      <c r="BJ664" s="34"/>
      <c r="BK664" s="34"/>
      <c r="BL664" s="34"/>
      <c r="BM664" s="34"/>
      <c r="DX664" s="1539" t="e">
        <f t="shared" si="4"/>
        <v>#VALUE!</v>
      </c>
      <c r="DY664" s="1539"/>
      <c r="DZ664" s="1539"/>
      <c r="EA664" s="1539"/>
      <c r="EB664" s="1539"/>
      <c r="EC664" s="1539" t="e">
        <f t="shared" si="5"/>
        <v>#VALUE!</v>
      </c>
      <c r="ED664" s="1539"/>
      <c r="EE664" s="1539"/>
      <c r="EF664" s="1539"/>
      <c r="EG664" s="1539"/>
      <c r="EH664" s="1539" t="e">
        <f t="shared" si="6"/>
        <v>#VALUE!</v>
      </c>
      <c r="EI664" s="1539"/>
      <c r="EJ664" s="1539"/>
      <c r="EK664" s="1539"/>
      <c r="EL664" s="1539"/>
      <c r="EM664" s="1539" t="e">
        <f t="shared" si="7"/>
        <v>#VALUE!</v>
      </c>
      <c r="EN664" s="1539"/>
      <c r="EO664" s="1539"/>
      <c r="EP664" s="1539"/>
      <c r="EQ664" s="1539"/>
      <c r="ER664" s="1539" t="e">
        <f t="shared" si="8"/>
        <v>#VALUE!</v>
      </c>
      <c r="ES664" s="1539"/>
      <c r="ET664" s="1539"/>
      <c r="EU664" s="1539"/>
      <c r="EV664" s="1539"/>
      <c r="EW664" s="1539" t="e">
        <f t="shared" si="9"/>
        <v>#VALUE!</v>
      </c>
      <c r="EX664" s="1539"/>
      <c r="EY664" s="1539"/>
      <c r="EZ664" s="1539"/>
      <c r="FA664" s="1539"/>
    </row>
    <row r="665" spans="1:157" ht="12.95" customHeight="1">
      <c r="A665" s="22"/>
      <c r="B665" t="s">
        <v>20</v>
      </c>
      <c r="N665" s="1347" t="s">
        <v>545</v>
      </c>
      <c r="O665" s="1347"/>
      <c r="T665" s="22"/>
      <c r="U665" t="s">
        <v>20</v>
      </c>
      <c r="AG665" s="1347" t="s">
        <v>545</v>
      </c>
      <c r="AH665" s="1347"/>
      <c r="AZ665" s="34"/>
      <c r="BA665" s="34"/>
      <c r="BB665" s="34"/>
      <c r="BC665" s="34"/>
      <c r="BD665" s="34"/>
      <c r="BE665" s="34"/>
      <c r="BF665" s="34"/>
      <c r="BG665" s="34"/>
      <c r="BH665" s="34"/>
      <c r="BI665" s="34"/>
      <c r="BJ665" s="34"/>
      <c r="BK665" s="34"/>
      <c r="BL665" s="34"/>
      <c r="BM665" s="34"/>
      <c r="DX665" s="1539" t="e">
        <f t="shared" si="4"/>
        <v>#VALUE!</v>
      </c>
      <c r="DY665" s="1539"/>
      <c r="DZ665" s="1539"/>
      <c r="EA665" s="1539"/>
      <c r="EB665" s="1539"/>
      <c r="EC665" s="1539" t="e">
        <f t="shared" si="5"/>
        <v>#VALUE!</v>
      </c>
      <c r="ED665" s="1539"/>
      <c r="EE665" s="1539"/>
      <c r="EF665" s="1539"/>
      <c r="EG665" s="1539"/>
      <c r="EH665" s="1539" t="e">
        <f t="shared" si="6"/>
        <v>#VALUE!</v>
      </c>
      <c r="EI665" s="1539"/>
      <c r="EJ665" s="1539"/>
      <c r="EK665" s="1539"/>
      <c r="EL665" s="1539"/>
      <c r="EM665" s="1539" t="e">
        <f t="shared" si="7"/>
        <v>#VALUE!</v>
      </c>
      <c r="EN665" s="1539"/>
      <c r="EO665" s="1539"/>
      <c r="EP665" s="1539"/>
      <c r="EQ665" s="1539"/>
      <c r="ER665" s="1539" t="e">
        <f t="shared" si="8"/>
        <v>#VALUE!</v>
      </c>
      <c r="ES665" s="1539"/>
      <c r="ET665" s="1539"/>
      <c r="EU665" s="1539"/>
      <c r="EV665" s="1539"/>
      <c r="EW665" s="1539" t="e">
        <f t="shared" si="9"/>
        <v>#VALUE!</v>
      </c>
      <c r="EX665" s="1539"/>
      <c r="EY665" s="1539"/>
      <c r="EZ665" s="1539"/>
      <c r="FA665" s="1539"/>
    </row>
    <row r="666" spans="1:157" ht="12.95" customHeight="1">
      <c r="A666" s="22"/>
      <c r="T666" s="22"/>
      <c r="AZ666" s="34"/>
      <c r="BA666" s="34"/>
      <c r="BB666" s="34"/>
      <c r="BC666" s="34"/>
      <c r="BD666" s="34"/>
      <c r="BE666" s="34"/>
      <c r="BF666" s="34"/>
      <c r="BG666" s="34"/>
      <c r="BH666" s="34"/>
      <c r="BI666" s="34"/>
      <c r="BJ666" s="34"/>
      <c r="BK666" s="34"/>
      <c r="BL666" s="34"/>
      <c r="BM666" s="34"/>
      <c r="DX666" s="1539" t="e">
        <f t="shared" si="4"/>
        <v>#VALUE!</v>
      </c>
      <c r="DY666" s="1539"/>
      <c r="DZ666" s="1539"/>
      <c r="EA666" s="1539"/>
      <c r="EB666" s="1539"/>
      <c r="EC666" s="1539" t="e">
        <f t="shared" si="5"/>
        <v>#VALUE!</v>
      </c>
      <c r="ED666" s="1539"/>
      <c r="EE666" s="1539"/>
      <c r="EF666" s="1539"/>
      <c r="EG666" s="1539"/>
      <c r="EH666" s="1539" t="e">
        <f t="shared" si="6"/>
        <v>#VALUE!</v>
      </c>
      <c r="EI666" s="1539"/>
      <c r="EJ666" s="1539"/>
      <c r="EK666" s="1539"/>
      <c r="EL666" s="1539"/>
      <c r="EM666" s="1539" t="e">
        <f t="shared" si="7"/>
        <v>#VALUE!</v>
      </c>
      <c r="EN666" s="1539"/>
      <c r="EO666" s="1539"/>
      <c r="EP666" s="1539"/>
      <c r="EQ666" s="1539"/>
      <c r="ER666" s="1539" t="e">
        <f t="shared" si="8"/>
        <v>#VALUE!</v>
      </c>
      <c r="ES666" s="1539"/>
      <c r="ET666" s="1539"/>
      <c r="EU666" s="1539"/>
      <c r="EV666" s="1539"/>
      <c r="EW666" s="1539" t="e">
        <f t="shared" si="9"/>
        <v>#VALUE!</v>
      </c>
      <c r="EX666" s="1539"/>
      <c r="EY666" s="1539"/>
      <c r="EZ666" s="1539"/>
      <c r="FA666" s="1539"/>
    </row>
    <row r="667" spans="1:157" ht="12.95" customHeight="1">
      <c r="A667" s="55" t="s">
        <v>763</v>
      </c>
      <c r="B667" t="s">
        <v>463</v>
      </c>
      <c r="G667" s="1489">
        <f>C639</f>
        <v>0</v>
      </c>
      <c r="H667" s="1489"/>
      <c r="I667" s="1489"/>
      <c r="J667" s="1489"/>
      <c r="K667" s="1489"/>
      <c r="L667" s="1489"/>
      <c r="M667" s="1489"/>
      <c r="N667" s="1489"/>
      <c r="O667" s="1489"/>
      <c r="P667" s="1489"/>
      <c r="Q667" s="1489"/>
      <c r="R667" s="1489"/>
      <c r="T667" s="55" t="s">
        <v>584</v>
      </c>
      <c r="U667" t="s">
        <v>463</v>
      </c>
      <c r="Z667" s="1489">
        <f>C640</f>
        <v>0</v>
      </c>
      <c r="AA667" s="1489"/>
      <c r="AB667" s="1489"/>
      <c r="AC667" s="1489"/>
      <c r="AD667" s="1489"/>
      <c r="AE667" s="1489"/>
      <c r="AF667" s="1489"/>
      <c r="AG667" s="1489"/>
      <c r="AH667" s="1489"/>
      <c r="AI667" s="1489"/>
      <c r="AJ667" s="1489"/>
      <c r="AK667" s="1489"/>
      <c r="AZ667" s="34"/>
      <c r="BA667" s="34"/>
      <c r="BB667" s="34"/>
      <c r="BC667" s="34"/>
      <c r="BD667" s="34"/>
      <c r="BE667" s="34"/>
      <c r="BF667" s="34"/>
      <c r="BG667" s="34"/>
      <c r="BH667" s="34"/>
      <c r="BI667" s="34"/>
      <c r="BJ667" s="34"/>
      <c r="BK667" s="34"/>
      <c r="BL667" s="34"/>
      <c r="BM667" s="34"/>
      <c r="DX667" s="1539" t="e">
        <f t="shared" si="4"/>
        <v>#VALUE!</v>
      </c>
      <c r="DY667" s="1539"/>
      <c r="DZ667" s="1539"/>
      <c r="EA667" s="1539"/>
      <c r="EB667" s="1539"/>
      <c r="EC667" s="1539" t="e">
        <f t="shared" si="5"/>
        <v>#VALUE!</v>
      </c>
      <c r="ED667" s="1539"/>
      <c r="EE667" s="1539"/>
      <c r="EF667" s="1539"/>
      <c r="EG667" s="1539"/>
      <c r="EH667" s="1539" t="e">
        <f t="shared" si="6"/>
        <v>#VALUE!</v>
      </c>
      <c r="EI667" s="1539"/>
      <c r="EJ667" s="1539"/>
      <c r="EK667" s="1539"/>
      <c r="EL667" s="1539"/>
      <c r="EM667" s="1539" t="e">
        <f t="shared" si="7"/>
        <v>#VALUE!</v>
      </c>
      <c r="EN667" s="1539"/>
      <c r="EO667" s="1539"/>
      <c r="EP667" s="1539"/>
      <c r="EQ667" s="1539"/>
      <c r="ER667" s="1539" t="e">
        <f t="shared" si="8"/>
        <v>#VALUE!</v>
      </c>
      <c r="ES667" s="1539"/>
      <c r="ET667" s="1539"/>
      <c r="EU667" s="1539"/>
      <c r="EV667" s="1539"/>
      <c r="EW667" s="1539" t="e">
        <f t="shared" si="9"/>
        <v>#VALUE!</v>
      </c>
      <c r="EX667" s="1539"/>
      <c r="EY667" s="1539"/>
      <c r="EZ667" s="1539"/>
      <c r="FA667" s="1539"/>
    </row>
    <row r="668" spans="1:157" ht="12.95" customHeight="1">
      <c r="A668" s="22"/>
      <c r="B668" t="s">
        <v>85</v>
      </c>
      <c r="G668" s="1399"/>
      <c r="H668" s="1399"/>
      <c r="I668" s="1399"/>
      <c r="J668" s="1399"/>
      <c r="K668" s="1399"/>
      <c r="L668" s="1399"/>
      <c r="M668" s="1399"/>
      <c r="N668" s="1399"/>
      <c r="O668" s="1399"/>
      <c r="P668" s="1399"/>
      <c r="Q668" s="1399"/>
      <c r="R668" s="1399"/>
      <c r="T668" s="22"/>
      <c r="U668" t="s">
        <v>85</v>
      </c>
      <c r="Z668" s="1399"/>
      <c r="AA668" s="1399"/>
      <c r="AB668" s="1399"/>
      <c r="AC668" s="1399"/>
      <c r="AD668" s="1399"/>
      <c r="AE668" s="1399"/>
      <c r="AF668" s="1399"/>
      <c r="AG668" s="1399"/>
      <c r="AH668" s="1399"/>
      <c r="AI668" s="1399"/>
      <c r="AJ668" s="1399"/>
      <c r="AK668" s="1399"/>
      <c r="AZ668" s="34"/>
      <c r="BA668" s="34"/>
      <c r="BB668" s="34"/>
      <c r="BC668" s="34"/>
      <c r="BD668" s="34"/>
      <c r="BE668" s="34"/>
      <c r="BF668" s="34"/>
      <c r="BG668" s="34"/>
      <c r="BH668" s="34"/>
      <c r="BI668" s="34"/>
      <c r="BJ668" s="34"/>
      <c r="BK668" s="34"/>
      <c r="BL668" s="34"/>
      <c r="BM668" s="34"/>
      <c r="DX668" s="1539" t="e">
        <f t="shared" si="4"/>
        <v>#VALUE!</v>
      </c>
      <c r="DY668" s="1539"/>
      <c r="DZ668" s="1539"/>
      <c r="EA668" s="1539"/>
      <c r="EB668" s="1539"/>
      <c r="EC668" s="1539" t="e">
        <f t="shared" si="5"/>
        <v>#VALUE!</v>
      </c>
      <c r="ED668" s="1539"/>
      <c r="EE668" s="1539"/>
      <c r="EF668" s="1539"/>
      <c r="EG668" s="1539"/>
      <c r="EH668" s="1539" t="e">
        <f t="shared" si="6"/>
        <v>#VALUE!</v>
      </c>
      <c r="EI668" s="1539"/>
      <c r="EJ668" s="1539"/>
      <c r="EK668" s="1539"/>
      <c r="EL668" s="1539"/>
      <c r="EM668" s="1539" t="e">
        <f t="shared" si="7"/>
        <v>#VALUE!</v>
      </c>
      <c r="EN668" s="1539"/>
      <c r="EO668" s="1539"/>
      <c r="EP668" s="1539"/>
      <c r="EQ668" s="1539"/>
      <c r="ER668" s="1539" t="e">
        <f t="shared" si="8"/>
        <v>#VALUE!</v>
      </c>
      <c r="ES668" s="1539"/>
      <c r="ET668" s="1539"/>
      <c r="EU668" s="1539"/>
      <c r="EV668" s="1539"/>
      <c r="EW668" s="1539" t="e">
        <f t="shared" si="9"/>
        <v>#VALUE!</v>
      </c>
      <c r="EX668" s="1539"/>
      <c r="EY668" s="1539"/>
      <c r="EZ668" s="1539"/>
      <c r="FA668" s="1539"/>
    </row>
    <row r="669" spans="1:157" ht="12.95" customHeight="1">
      <c r="A669" s="22"/>
      <c r="B669" t="s">
        <v>580</v>
      </c>
      <c r="G669" s="1399"/>
      <c r="H669" s="1399"/>
      <c r="I669" s="1399"/>
      <c r="J669" s="1399"/>
      <c r="K669" s="1399"/>
      <c r="L669" s="1399"/>
      <c r="M669" s="1399"/>
      <c r="N669" s="1399"/>
      <c r="O669" s="1399"/>
      <c r="P669" s="1399"/>
      <c r="Q669" s="1399"/>
      <c r="R669" s="1399"/>
      <c r="T669" s="22"/>
      <c r="U669" t="s">
        <v>580</v>
      </c>
      <c r="Z669" s="1454"/>
      <c r="AA669" s="1454"/>
      <c r="AB669" s="1454"/>
      <c r="AC669" s="1454"/>
      <c r="AD669" s="1454"/>
      <c r="AE669" s="1454"/>
      <c r="AF669" s="1454"/>
      <c r="AG669" s="1454"/>
      <c r="AH669" s="1454"/>
      <c r="AI669" s="1454"/>
      <c r="AJ669" s="1454"/>
      <c r="AK669" s="1454"/>
      <c r="AZ669" s="34"/>
      <c r="BA669" s="34"/>
      <c r="BB669" s="34"/>
      <c r="BC669" s="34"/>
      <c r="BD669" s="34"/>
      <c r="BE669" s="34"/>
      <c r="BF669" s="34"/>
      <c r="BG669" s="34"/>
      <c r="BH669" s="34"/>
      <c r="BI669" s="34"/>
      <c r="BJ669" s="34"/>
      <c r="BK669" s="34"/>
      <c r="BL669" s="34"/>
      <c r="BM669" s="34"/>
      <c r="DX669" s="1539" t="e">
        <f t="shared" si="4"/>
        <v>#VALUE!</v>
      </c>
      <c r="DY669" s="1539"/>
      <c r="DZ669" s="1539"/>
      <c r="EA669" s="1539"/>
      <c r="EB669" s="1539"/>
      <c r="EC669" s="1539" t="e">
        <f t="shared" si="5"/>
        <v>#VALUE!</v>
      </c>
      <c r="ED669" s="1539"/>
      <c r="EE669" s="1539"/>
      <c r="EF669" s="1539"/>
      <c r="EG669" s="1539"/>
      <c r="EH669" s="1539" t="e">
        <f t="shared" si="6"/>
        <v>#VALUE!</v>
      </c>
      <c r="EI669" s="1539"/>
      <c r="EJ669" s="1539"/>
      <c r="EK669" s="1539"/>
      <c r="EL669" s="1539"/>
      <c r="EM669" s="1539" t="e">
        <f t="shared" si="7"/>
        <v>#VALUE!</v>
      </c>
      <c r="EN669" s="1539"/>
      <c r="EO669" s="1539"/>
      <c r="EP669" s="1539"/>
      <c r="EQ669" s="1539"/>
      <c r="ER669" s="1539" t="e">
        <f t="shared" si="8"/>
        <v>#VALUE!</v>
      </c>
      <c r="ES669" s="1539"/>
      <c r="ET669" s="1539"/>
      <c r="EU669" s="1539"/>
      <c r="EV669" s="1539"/>
      <c r="EW669" s="1539" t="e">
        <f t="shared" si="9"/>
        <v>#VALUE!</v>
      </c>
      <c r="EX669" s="1539"/>
      <c r="EY669" s="1539"/>
      <c r="EZ669" s="1539"/>
      <c r="FA669" s="1539"/>
    </row>
    <row r="670" spans="1:157" ht="12.95" customHeight="1">
      <c r="A670" s="22"/>
      <c r="B670" t="s">
        <v>17</v>
      </c>
      <c r="G670" s="1399"/>
      <c r="H670" s="1399"/>
      <c r="I670" s="1399"/>
      <c r="J670" s="1399"/>
      <c r="K670" s="1399"/>
      <c r="L670" s="1399"/>
      <c r="M670" s="1399"/>
      <c r="N670" s="1399"/>
      <c r="O670" s="1399"/>
      <c r="P670" s="1399"/>
      <c r="Q670" s="1399"/>
      <c r="R670" s="1399"/>
      <c r="T670" s="22"/>
      <c r="U670" t="s">
        <v>17</v>
      </c>
      <c r="Z670" s="1454"/>
      <c r="AA670" s="1454"/>
      <c r="AB670" s="1454"/>
      <c r="AC670" s="1454"/>
      <c r="AD670" s="1454"/>
      <c r="AE670" s="1454"/>
      <c r="AF670" s="1454"/>
      <c r="AG670" s="1454"/>
      <c r="AH670" s="1454"/>
      <c r="AI670" s="1454"/>
      <c r="AJ670" s="1454"/>
      <c r="AK670" s="145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9" t="e">
        <f t="shared" si="4"/>
        <v>#VALUE!</v>
      </c>
      <c r="DY670" s="1539"/>
      <c r="DZ670" s="1539"/>
      <c r="EA670" s="1539"/>
      <c r="EB670" s="1539"/>
      <c r="EC670" s="1539" t="e">
        <f t="shared" si="5"/>
        <v>#VALUE!</v>
      </c>
      <c r="ED670" s="1539"/>
      <c r="EE670" s="1539"/>
      <c r="EF670" s="1539"/>
      <c r="EG670" s="1539"/>
      <c r="EH670" s="1539" t="e">
        <f t="shared" si="6"/>
        <v>#VALUE!</v>
      </c>
      <c r="EI670" s="1539"/>
      <c r="EJ670" s="1539"/>
      <c r="EK670" s="1539"/>
      <c r="EL670" s="1539"/>
      <c r="EM670" s="1539" t="e">
        <f t="shared" si="7"/>
        <v>#VALUE!</v>
      </c>
      <c r="EN670" s="1539"/>
      <c r="EO670" s="1539"/>
      <c r="EP670" s="1539"/>
      <c r="EQ670" s="1539"/>
      <c r="ER670" s="1539" t="e">
        <f t="shared" si="8"/>
        <v>#VALUE!</v>
      </c>
      <c r="ES670" s="1539"/>
      <c r="ET670" s="1539"/>
      <c r="EU670" s="1539"/>
      <c r="EV670" s="1539"/>
      <c r="EW670" s="1539" t="e">
        <f t="shared" si="9"/>
        <v>#VALUE!</v>
      </c>
      <c r="EX670" s="1539"/>
      <c r="EY670" s="1539"/>
      <c r="EZ670" s="1539"/>
      <c r="FA670" s="1539"/>
    </row>
    <row r="671" spans="1:157" ht="12.95" customHeight="1">
      <c r="A671" s="22"/>
      <c r="B671" t="s">
        <v>316</v>
      </c>
      <c r="G671" s="1473"/>
      <c r="H671" s="1473"/>
      <c r="I671" s="1473"/>
      <c r="J671" s="1473"/>
      <c r="K671" s="1473"/>
      <c r="L671" s="1473"/>
      <c r="O671" s="33" t="s">
        <v>206</v>
      </c>
      <c r="P671" s="1444"/>
      <c r="Q671" s="1444"/>
      <c r="R671" s="1444"/>
      <c r="T671" s="22"/>
      <c r="U671" t="s">
        <v>316</v>
      </c>
      <c r="Z671" s="1473"/>
      <c r="AA671" s="1473"/>
      <c r="AB671" s="1473"/>
      <c r="AC671" s="1473"/>
      <c r="AD671" s="1473"/>
      <c r="AE671" s="1473"/>
      <c r="AH671" s="33" t="s">
        <v>206</v>
      </c>
      <c r="AI671" s="1444"/>
      <c r="AJ671" s="1444"/>
      <c r="AK671" s="144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9" t="e">
        <f t="shared" si="4"/>
        <v>#VALUE!</v>
      </c>
      <c r="DY671" s="1539"/>
      <c r="DZ671" s="1539"/>
      <c r="EA671" s="1539"/>
      <c r="EB671" s="1539"/>
      <c r="EC671" s="1539" t="e">
        <f t="shared" si="5"/>
        <v>#VALUE!</v>
      </c>
      <c r="ED671" s="1539"/>
      <c r="EE671" s="1539"/>
      <c r="EF671" s="1539"/>
      <c r="EG671" s="1539"/>
      <c r="EH671" s="1539" t="e">
        <f t="shared" si="6"/>
        <v>#VALUE!</v>
      </c>
      <c r="EI671" s="1539"/>
      <c r="EJ671" s="1539"/>
      <c r="EK671" s="1539"/>
      <c r="EL671" s="1539"/>
      <c r="EM671" s="1539" t="e">
        <f t="shared" si="7"/>
        <v>#VALUE!</v>
      </c>
      <c r="EN671" s="1539"/>
      <c r="EO671" s="1539"/>
      <c r="EP671" s="1539"/>
      <c r="EQ671" s="1539"/>
      <c r="ER671" s="1539" t="e">
        <f t="shared" si="8"/>
        <v>#VALUE!</v>
      </c>
      <c r="ES671" s="1539"/>
      <c r="ET671" s="1539"/>
      <c r="EU671" s="1539"/>
      <c r="EV671" s="1539"/>
      <c r="EW671" s="1539" t="e">
        <f t="shared" si="9"/>
        <v>#VALUE!</v>
      </c>
      <c r="EX671" s="1539"/>
      <c r="EY671" s="1539"/>
      <c r="EZ671" s="1539"/>
      <c r="FA671" s="1539"/>
    </row>
    <row r="672" spans="1:157" ht="12.95" customHeight="1">
      <c r="A672" s="22"/>
      <c r="B672" t="s">
        <v>18</v>
      </c>
      <c r="H672" s="1399"/>
      <c r="I672" s="1399"/>
      <c r="J672" s="1399"/>
      <c r="K672" s="1399"/>
      <c r="L672" s="1399"/>
      <c r="M672" s="1399"/>
      <c r="N672" s="1399"/>
      <c r="O672" s="1399"/>
      <c r="P672" s="1399"/>
      <c r="Q672" s="1399"/>
      <c r="R672" s="1399"/>
      <c r="T672" s="22"/>
      <c r="U672" t="s">
        <v>18</v>
      </c>
      <c r="AA672" s="1399"/>
      <c r="AB672" s="1399"/>
      <c r="AC672" s="1399"/>
      <c r="AD672" s="1399"/>
      <c r="AE672" s="1399"/>
      <c r="AF672" s="1399"/>
      <c r="AG672" s="1399"/>
      <c r="AH672" s="1399"/>
      <c r="AI672" s="1399"/>
      <c r="AJ672" s="1399"/>
      <c r="AK672" s="139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9" t="e">
        <f t="shared" si="4"/>
        <v>#VALUE!</v>
      </c>
      <c r="DY672" s="1539"/>
      <c r="DZ672" s="1539"/>
      <c r="EA672" s="1539"/>
      <c r="EB672" s="1539"/>
      <c r="EC672" s="1539" t="e">
        <f t="shared" si="5"/>
        <v>#VALUE!</v>
      </c>
      <c r="ED672" s="1539"/>
      <c r="EE672" s="1539"/>
      <c r="EF672" s="1539"/>
      <c r="EG672" s="1539"/>
      <c r="EH672" s="1539" t="e">
        <f t="shared" si="6"/>
        <v>#VALUE!</v>
      </c>
      <c r="EI672" s="1539"/>
      <c r="EJ672" s="1539"/>
      <c r="EK672" s="1539"/>
      <c r="EL672" s="1539"/>
      <c r="EM672" s="1539" t="e">
        <f t="shared" si="7"/>
        <v>#VALUE!</v>
      </c>
      <c r="EN672" s="1539"/>
      <c r="EO672" s="1539"/>
      <c r="EP672" s="1539"/>
      <c r="EQ672" s="1539"/>
      <c r="ER672" s="1539" t="e">
        <f t="shared" si="8"/>
        <v>#VALUE!</v>
      </c>
      <c r="ES672" s="1539"/>
      <c r="ET672" s="1539"/>
      <c r="EU672" s="1539"/>
      <c r="EV672" s="1539"/>
      <c r="EW672" s="1539" t="e">
        <f t="shared" si="9"/>
        <v>#VALUE!</v>
      </c>
      <c r="EX672" s="1539"/>
      <c r="EY672" s="1539"/>
      <c r="EZ672" s="1539"/>
      <c r="FA672" s="1539"/>
    </row>
    <row r="673" spans="1:157" ht="12.95" customHeight="1">
      <c r="A673" s="22"/>
      <c r="B673" t="s">
        <v>20</v>
      </c>
      <c r="N673" s="1347" t="s">
        <v>669</v>
      </c>
      <c r="O673" s="1347"/>
      <c r="T673" s="22"/>
      <c r="U673" t="s">
        <v>20</v>
      </c>
      <c r="AG673" s="1347" t="s">
        <v>669</v>
      </c>
      <c r="AH673" s="134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9" t="e">
        <f t="shared" si="4"/>
        <v>#VALUE!</v>
      </c>
      <c r="DY673" s="1539"/>
      <c r="DZ673" s="1539"/>
      <c r="EA673" s="1539"/>
      <c r="EB673" s="1539"/>
      <c r="EC673" s="1539" t="e">
        <f t="shared" si="5"/>
        <v>#VALUE!</v>
      </c>
      <c r="ED673" s="1539"/>
      <c r="EE673" s="1539"/>
      <c r="EF673" s="1539"/>
      <c r="EG673" s="1539"/>
      <c r="EH673" s="1539" t="e">
        <f t="shared" si="6"/>
        <v>#VALUE!</v>
      </c>
      <c r="EI673" s="1539"/>
      <c r="EJ673" s="1539"/>
      <c r="EK673" s="1539"/>
      <c r="EL673" s="1539"/>
      <c r="EM673" s="1539" t="e">
        <f t="shared" si="7"/>
        <v>#VALUE!</v>
      </c>
      <c r="EN673" s="1539"/>
      <c r="EO673" s="1539"/>
      <c r="EP673" s="1539"/>
      <c r="EQ673" s="1539"/>
      <c r="ER673" s="1539" t="e">
        <f t="shared" si="8"/>
        <v>#VALUE!</v>
      </c>
      <c r="ES673" s="1539"/>
      <c r="ET673" s="1539"/>
      <c r="EU673" s="1539"/>
      <c r="EV673" s="1539"/>
      <c r="EW673" s="1539" t="e">
        <f t="shared" si="9"/>
        <v>#VALUE!</v>
      </c>
      <c r="EX673" s="1539"/>
      <c r="EY673" s="1539"/>
      <c r="EZ673" s="1539"/>
      <c r="FA673" s="1539"/>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9" t="e">
        <f t="shared" si="4"/>
        <v>#VALUE!</v>
      </c>
      <c r="DY674" s="1539"/>
      <c r="DZ674" s="1539"/>
      <c r="EA674" s="1539"/>
      <c r="EB674" s="1539"/>
      <c r="EC674" s="1539" t="e">
        <f t="shared" si="5"/>
        <v>#VALUE!</v>
      </c>
      <c r="ED674" s="1539"/>
      <c r="EE674" s="1539"/>
      <c r="EF674" s="1539"/>
      <c r="EG674" s="1539"/>
      <c r="EH674" s="1539" t="e">
        <f t="shared" si="6"/>
        <v>#VALUE!</v>
      </c>
      <c r="EI674" s="1539"/>
      <c r="EJ674" s="1539"/>
      <c r="EK674" s="1539"/>
      <c r="EL674" s="1539"/>
      <c r="EM674" s="1539" t="e">
        <f t="shared" si="7"/>
        <v>#VALUE!</v>
      </c>
      <c r="EN674" s="1539"/>
      <c r="EO674" s="1539"/>
      <c r="EP674" s="1539"/>
      <c r="EQ674" s="1539"/>
      <c r="ER674" s="1539" t="e">
        <f t="shared" si="8"/>
        <v>#VALUE!</v>
      </c>
      <c r="ES674" s="1539"/>
      <c r="ET674" s="1539"/>
      <c r="EU674" s="1539"/>
      <c r="EV674" s="1539"/>
      <c r="EW674" s="1539" t="e">
        <f t="shared" si="9"/>
        <v>#VALUE!</v>
      </c>
      <c r="EX674" s="1539"/>
      <c r="EY674" s="1539"/>
      <c r="EZ674" s="1539"/>
      <c r="FA674" s="1539"/>
    </row>
    <row r="675" spans="1:157" ht="12.95" customHeight="1">
      <c r="A675" s="55" t="s">
        <v>455</v>
      </c>
      <c r="B675" t="s">
        <v>463</v>
      </c>
      <c r="G675" s="1489">
        <f>C641</f>
        <v>0</v>
      </c>
      <c r="H675" s="1489"/>
      <c r="I675" s="1489"/>
      <c r="J675" s="1489"/>
      <c r="K675" s="1489"/>
      <c r="L675" s="1489"/>
      <c r="M675" s="1489"/>
      <c r="N675" s="1489"/>
      <c r="O675" s="1489"/>
      <c r="P675" s="1489"/>
      <c r="Q675" s="1489"/>
      <c r="R675" s="1489"/>
      <c r="T675" s="55" t="s">
        <v>456</v>
      </c>
      <c r="U675" t="s">
        <v>463</v>
      </c>
      <c r="Z675" s="1489">
        <f>C642</f>
        <v>0</v>
      </c>
      <c r="AA675" s="1489"/>
      <c r="AB675" s="1489"/>
      <c r="AC675" s="1489"/>
      <c r="AD675" s="1489"/>
      <c r="AE675" s="1489"/>
      <c r="AF675" s="1489"/>
      <c r="AG675" s="1489"/>
      <c r="AH675" s="1489"/>
      <c r="AI675" s="1489"/>
      <c r="AJ675" s="1489"/>
      <c r="AK675" s="148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9" t="e">
        <f t="shared" si="4"/>
        <v>#VALUE!</v>
      </c>
      <c r="DY675" s="1539"/>
      <c r="DZ675" s="1539"/>
      <c r="EA675" s="1539"/>
      <c r="EB675" s="1539"/>
      <c r="EC675" s="1539" t="e">
        <f t="shared" si="5"/>
        <v>#VALUE!</v>
      </c>
      <c r="ED675" s="1539"/>
      <c r="EE675" s="1539"/>
      <c r="EF675" s="1539"/>
      <c r="EG675" s="1539"/>
      <c r="EH675" s="1539" t="e">
        <f t="shared" si="6"/>
        <v>#VALUE!</v>
      </c>
      <c r="EI675" s="1539"/>
      <c r="EJ675" s="1539"/>
      <c r="EK675" s="1539"/>
      <c r="EL675" s="1539"/>
      <c r="EM675" s="1539" t="e">
        <f t="shared" si="7"/>
        <v>#VALUE!</v>
      </c>
      <c r="EN675" s="1539"/>
      <c r="EO675" s="1539"/>
      <c r="EP675" s="1539"/>
      <c r="EQ675" s="1539"/>
      <c r="ER675" s="1539" t="e">
        <f t="shared" si="8"/>
        <v>#VALUE!</v>
      </c>
      <c r="ES675" s="1539"/>
      <c r="ET675" s="1539"/>
      <c r="EU675" s="1539"/>
      <c r="EV675" s="1539"/>
      <c r="EW675" s="1539" t="e">
        <f t="shared" si="9"/>
        <v>#VALUE!</v>
      </c>
      <c r="EX675" s="1539"/>
      <c r="EY675" s="1539"/>
      <c r="EZ675" s="1539"/>
      <c r="FA675" s="1539"/>
    </row>
    <row r="676" spans="1:157" ht="12.95" customHeight="1">
      <c r="A676" s="22"/>
      <c r="B676" t="s">
        <v>85</v>
      </c>
      <c r="G676" s="1399"/>
      <c r="H676" s="1399"/>
      <c r="I676" s="1399"/>
      <c r="J676" s="1399"/>
      <c r="K676" s="1399"/>
      <c r="L676" s="1399"/>
      <c r="M676" s="1399"/>
      <c r="N676" s="1399"/>
      <c r="O676" s="1399"/>
      <c r="P676" s="1399"/>
      <c r="Q676" s="1399"/>
      <c r="R676" s="1399"/>
      <c r="T676" s="22"/>
      <c r="U676" t="s">
        <v>85</v>
      </c>
      <c r="Z676" s="1399"/>
      <c r="AA676" s="1399"/>
      <c r="AB676" s="1399"/>
      <c r="AC676" s="1399"/>
      <c r="AD676" s="1399"/>
      <c r="AE676" s="1399"/>
      <c r="AF676" s="1399"/>
      <c r="AG676" s="1399"/>
      <c r="AH676" s="1399"/>
      <c r="AI676" s="1399"/>
      <c r="AJ676" s="1399"/>
      <c r="AK676" s="139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9" t="e">
        <f t="shared" si="4"/>
        <v>#VALUE!</v>
      </c>
      <c r="DY676" s="1539"/>
      <c r="DZ676" s="1539"/>
      <c r="EA676" s="1539"/>
      <c r="EB676" s="1539"/>
      <c r="EC676" s="1539" t="e">
        <f t="shared" si="5"/>
        <v>#VALUE!</v>
      </c>
      <c r="ED676" s="1539"/>
      <c r="EE676" s="1539"/>
      <c r="EF676" s="1539"/>
      <c r="EG676" s="1539"/>
      <c r="EH676" s="1539" t="e">
        <f t="shared" si="6"/>
        <v>#VALUE!</v>
      </c>
      <c r="EI676" s="1539"/>
      <c r="EJ676" s="1539"/>
      <c r="EK676" s="1539"/>
      <c r="EL676" s="1539"/>
      <c r="EM676" s="1539" t="e">
        <f t="shared" si="7"/>
        <v>#VALUE!</v>
      </c>
      <c r="EN676" s="1539"/>
      <c r="EO676" s="1539"/>
      <c r="EP676" s="1539"/>
      <c r="EQ676" s="1539"/>
      <c r="ER676" s="1539" t="e">
        <f t="shared" si="8"/>
        <v>#VALUE!</v>
      </c>
      <c r="ES676" s="1539"/>
      <c r="ET676" s="1539"/>
      <c r="EU676" s="1539"/>
      <c r="EV676" s="1539"/>
      <c r="EW676" s="1539" t="e">
        <f t="shared" si="9"/>
        <v>#VALUE!</v>
      </c>
      <c r="EX676" s="1539"/>
      <c r="EY676" s="1539"/>
      <c r="EZ676" s="1539"/>
      <c r="FA676" s="1539"/>
    </row>
    <row r="677" spans="1:157" ht="12.95" customHeight="1">
      <c r="A677" s="22"/>
      <c r="B677" t="s">
        <v>580</v>
      </c>
      <c r="G677" s="1399"/>
      <c r="H677" s="1399"/>
      <c r="I677" s="1399"/>
      <c r="J677" s="1399"/>
      <c r="K677" s="1399"/>
      <c r="L677" s="1399"/>
      <c r="M677" s="1399"/>
      <c r="N677" s="1399"/>
      <c r="O677" s="1399"/>
      <c r="P677" s="1399"/>
      <c r="Q677" s="1399"/>
      <c r="R677" s="1399"/>
      <c r="T677" s="22"/>
      <c r="U677" t="s">
        <v>580</v>
      </c>
      <c r="Z677" s="1454"/>
      <c r="AA677" s="1454"/>
      <c r="AB677" s="1454"/>
      <c r="AC677" s="1454"/>
      <c r="AD677" s="1454"/>
      <c r="AE677" s="1454"/>
      <c r="AF677" s="1454"/>
      <c r="AG677" s="1454"/>
      <c r="AH677" s="1454"/>
      <c r="AI677" s="1454"/>
      <c r="AJ677" s="1454"/>
      <c r="AK677" s="145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9" t="e">
        <f t="shared" si="4"/>
        <v>#VALUE!</v>
      </c>
      <c r="DY677" s="1539"/>
      <c r="DZ677" s="1539"/>
      <c r="EA677" s="1539"/>
      <c r="EB677" s="1539"/>
      <c r="EC677" s="1539" t="e">
        <f t="shared" si="5"/>
        <v>#VALUE!</v>
      </c>
      <c r="ED677" s="1539"/>
      <c r="EE677" s="1539"/>
      <c r="EF677" s="1539"/>
      <c r="EG677" s="1539"/>
      <c r="EH677" s="1539" t="e">
        <f t="shared" si="6"/>
        <v>#VALUE!</v>
      </c>
      <c r="EI677" s="1539"/>
      <c r="EJ677" s="1539"/>
      <c r="EK677" s="1539"/>
      <c r="EL677" s="1539"/>
      <c r="EM677" s="1539" t="e">
        <f t="shared" si="7"/>
        <v>#VALUE!</v>
      </c>
      <c r="EN677" s="1539"/>
      <c r="EO677" s="1539"/>
      <c r="EP677" s="1539"/>
      <c r="EQ677" s="1539"/>
      <c r="ER677" s="1539" t="e">
        <f t="shared" si="8"/>
        <v>#VALUE!</v>
      </c>
      <c r="ES677" s="1539"/>
      <c r="ET677" s="1539"/>
      <c r="EU677" s="1539"/>
      <c r="EV677" s="1539"/>
      <c r="EW677" s="1539" t="e">
        <f t="shared" si="9"/>
        <v>#VALUE!</v>
      </c>
      <c r="EX677" s="1539"/>
      <c r="EY677" s="1539"/>
      <c r="EZ677" s="1539"/>
      <c r="FA677" s="1539"/>
    </row>
    <row r="678" spans="1:157" ht="12.95" customHeight="1">
      <c r="A678" s="22"/>
      <c r="B678" t="s">
        <v>17</v>
      </c>
      <c r="G678" s="1399"/>
      <c r="H678" s="1399"/>
      <c r="I678" s="1399"/>
      <c r="J678" s="1399"/>
      <c r="K678" s="1399"/>
      <c r="L678" s="1399"/>
      <c r="M678" s="1399"/>
      <c r="N678" s="1399"/>
      <c r="O678" s="1399"/>
      <c r="P678" s="1399"/>
      <c r="Q678" s="1399"/>
      <c r="R678" s="1399"/>
      <c r="T678" s="22"/>
      <c r="U678" t="s">
        <v>17</v>
      </c>
      <c r="Z678" s="1454"/>
      <c r="AA678" s="1454"/>
      <c r="AB678" s="1454"/>
      <c r="AC678" s="1454"/>
      <c r="AD678" s="1454"/>
      <c r="AE678" s="1454"/>
      <c r="AF678" s="1454"/>
      <c r="AG678" s="1454"/>
      <c r="AH678" s="1454"/>
      <c r="AI678" s="1454"/>
      <c r="AJ678" s="1454"/>
      <c r="AK678" s="145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9">
        <f>SUMIF(DX643:EB677,"&gt;0")</f>
        <v>0</v>
      </c>
      <c r="DY678" s="1539"/>
      <c r="DZ678" s="1539"/>
      <c r="EA678" s="1539"/>
      <c r="EB678" s="1539"/>
      <c r="EC678" s="1539">
        <f>SUMIF(EC643:EG677,"&gt;0")</f>
        <v>1140.5346153846153</v>
      </c>
      <c r="ED678" s="1539"/>
      <c r="EE678" s="1539"/>
      <c r="EF678" s="1539"/>
      <c r="EG678" s="1539"/>
      <c r="EH678" s="1539">
        <f>SUMIF(EH643:EL677,"&gt;0")</f>
        <v>1277.9087179487178</v>
      </c>
      <c r="EI678" s="1539"/>
      <c r="EJ678" s="1539"/>
      <c r="EK678" s="1539"/>
      <c r="EL678" s="1539"/>
      <c r="EM678" s="1539">
        <f>SUMIF(EM643:EQ677,"&gt;0")</f>
        <v>1599.6314432989689</v>
      </c>
      <c r="EN678" s="1539"/>
      <c r="EO678" s="1539"/>
      <c r="EP678" s="1539"/>
      <c r="EQ678" s="1539"/>
      <c r="ER678" s="1539">
        <f>SUMIF(ER643:EV677,"&gt;0")</f>
        <v>0</v>
      </c>
      <c r="ES678" s="1539"/>
      <c r="ET678" s="1539"/>
      <c r="EU678" s="1539"/>
      <c r="EV678" s="1539"/>
      <c r="EW678" s="1539">
        <f>SUMIF(EW643:FA677,"&gt;0")</f>
        <v>0</v>
      </c>
      <c r="EX678" s="1539"/>
      <c r="EY678" s="1539"/>
      <c r="EZ678" s="1539"/>
      <c r="FA678" s="1539"/>
    </row>
    <row r="679" spans="1:157" ht="12.95" customHeight="1">
      <c r="A679" s="22"/>
      <c r="B679" t="s">
        <v>316</v>
      </c>
      <c r="G679" s="1473"/>
      <c r="H679" s="1473"/>
      <c r="I679" s="1473"/>
      <c r="J679" s="1473"/>
      <c r="K679" s="1473"/>
      <c r="L679" s="1473"/>
      <c r="O679" s="33" t="s">
        <v>206</v>
      </c>
      <c r="P679" s="1444"/>
      <c r="Q679" s="1444"/>
      <c r="R679" s="1444"/>
      <c r="T679" s="22"/>
      <c r="U679" t="s">
        <v>316</v>
      </c>
      <c r="Z679" s="1473"/>
      <c r="AA679" s="1473"/>
      <c r="AB679" s="1473"/>
      <c r="AC679" s="1473"/>
      <c r="AD679" s="1473"/>
      <c r="AE679" s="1473"/>
      <c r="AH679" s="33" t="s">
        <v>206</v>
      </c>
      <c r="AI679" s="1444"/>
      <c r="AJ679" s="1444"/>
      <c r="AK679" s="144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99"/>
      <c r="I680" s="1399"/>
      <c r="J680" s="1399"/>
      <c r="K680" s="1399"/>
      <c r="L680" s="1399"/>
      <c r="M680" s="1399"/>
      <c r="N680" s="1399"/>
      <c r="O680" s="1399"/>
      <c r="P680" s="1399"/>
      <c r="Q680" s="1399"/>
      <c r="R680" s="1399"/>
      <c r="T680" s="22"/>
      <c r="U680" t="s">
        <v>18</v>
      </c>
      <c r="AA680" s="1399"/>
      <c r="AB680" s="1399"/>
      <c r="AC680" s="1399"/>
      <c r="AD680" s="1399"/>
      <c r="AE680" s="1399"/>
      <c r="AF680" s="1399"/>
      <c r="AG680" s="1399"/>
      <c r="AH680" s="1399"/>
      <c r="AI680" s="1399"/>
      <c r="AJ680" s="1399"/>
      <c r="AK680" s="139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7" t="s">
        <v>669</v>
      </c>
      <c r="O681" s="1347"/>
      <c r="T681" s="22"/>
      <c r="U681" t="s">
        <v>20</v>
      </c>
      <c r="AG681" s="1347" t="s">
        <v>669</v>
      </c>
      <c r="AH681" s="1347"/>
      <c r="AZ681" s="3"/>
    </row>
    <row r="682" spans="1:157" ht="12.95" customHeight="1">
      <c r="A682" s="22"/>
      <c r="T682" s="22"/>
      <c r="AZ682" s="3"/>
    </row>
    <row r="683" spans="1:157" ht="12.95" customHeight="1">
      <c r="A683" s="55" t="s">
        <v>461</v>
      </c>
      <c r="B683" t="s">
        <v>463</v>
      </c>
      <c r="G683" s="1489">
        <f>C643</f>
        <v>0</v>
      </c>
      <c r="H683" s="1489"/>
      <c r="I683" s="1489"/>
      <c r="J683" s="1489"/>
      <c r="K683" s="1489"/>
      <c r="L683" s="1489"/>
      <c r="M683" s="1489"/>
      <c r="N683" s="1489"/>
      <c r="O683" s="1489"/>
      <c r="P683" s="1489"/>
      <c r="Q683" s="1489"/>
      <c r="R683" s="1489"/>
      <c r="T683" s="55" t="s">
        <v>646</v>
      </c>
      <c r="U683" t="s">
        <v>463</v>
      </c>
      <c r="Z683" s="1489">
        <f>C644</f>
        <v>0</v>
      </c>
      <c r="AA683" s="1489"/>
      <c r="AB683" s="1489"/>
      <c r="AC683" s="1489"/>
      <c r="AD683" s="1489"/>
      <c r="AE683" s="1489"/>
      <c r="AF683" s="1489"/>
      <c r="AG683" s="1489"/>
      <c r="AH683" s="1489"/>
      <c r="AI683" s="1489"/>
      <c r="AJ683" s="1489"/>
      <c r="AK683" s="1489"/>
      <c r="AZ683" s="3"/>
    </row>
    <row r="684" spans="1:157" ht="12.95" customHeight="1">
      <c r="A684" s="22"/>
      <c r="B684" t="s">
        <v>85</v>
      </c>
      <c r="G684" s="1399"/>
      <c r="H684" s="1399"/>
      <c r="I684" s="1399"/>
      <c r="J684" s="1399"/>
      <c r="K684" s="1399"/>
      <c r="L684" s="1399"/>
      <c r="M684" s="1399"/>
      <c r="N684" s="1399"/>
      <c r="O684" s="1399"/>
      <c r="P684" s="1399"/>
      <c r="Q684" s="1399"/>
      <c r="R684" s="1399"/>
      <c r="T684" s="22"/>
      <c r="U684" t="s">
        <v>85</v>
      </c>
      <c r="Z684" s="1399"/>
      <c r="AA684" s="1399"/>
      <c r="AB684" s="1399"/>
      <c r="AC684" s="1399"/>
      <c r="AD684" s="1399"/>
      <c r="AE684" s="1399"/>
      <c r="AF684" s="1399"/>
      <c r="AG684" s="1399"/>
      <c r="AH684" s="1399"/>
      <c r="AI684" s="1399"/>
      <c r="AJ684" s="1399"/>
      <c r="AK684" s="1399"/>
      <c r="AZ684" s="3"/>
    </row>
    <row r="685" spans="1:157" ht="12.95" customHeight="1">
      <c r="A685" s="22"/>
      <c r="B685" t="s">
        <v>580</v>
      </c>
      <c r="G685" s="1399"/>
      <c r="H685" s="1399"/>
      <c r="I685" s="1399"/>
      <c r="J685" s="1399"/>
      <c r="K685" s="1399"/>
      <c r="L685" s="1399"/>
      <c r="M685" s="1399"/>
      <c r="N685" s="1399"/>
      <c r="O685" s="1399"/>
      <c r="P685" s="1399"/>
      <c r="Q685" s="1399"/>
      <c r="R685" s="1399"/>
      <c r="T685" s="22"/>
      <c r="U685" t="s">
        <v>580</v>
      </c>
      <c r="Z685" s="1454"/>
      <c r="AA685" s="1454"/>
      <c r="AB685" s="1454"/>
      <c r="AC685" s="1454"/>
      <c r="AD685" s="1454"/>
      <c r="AE685" s="1454"/>
      <c r="AF685" s="1454"/>
      <c r="AG685" s="1454"/>
      <c r="AH685" s="1454"/>
      <c r="AI685" s="1454"/>
      <c r="AJ685" s="1454"/>
      <c r="AK685" s="1454"/>
      <c r="AZ685" s="3"/>
    </row>
    <row r="686" spans="1:157" ht="12.95" customHeight="1">
      <c r="A686" s="22"/>
      <c r="B686" t="s">
        <v>17</v>
      </c>
      <c r="G686" s="1399"/>
      <c r="H686" s="1399"/>
      <c r="I686" s="1399"/>
      <c r="J686" s="1399"/>
      <c r="K686" s="1399"/>
      <c r="L686" s="1399"/>
      <c r="M686" s="1399"/>
      <c r="N686" s="1399"/>
      <c r="O686" s="1399"/>
      <c r="P686" s="1399"/>
      <c r="Q686" s="1399"/>
      <c r="R686" s="1399"/>
      <c r="T686" s="22"/>
      <c r="U686" t="s">
        <v>17</v>
      </c>
      <c r="Z686" s="1454"/>
      <c r="AA686" s="1454"/>
      <c r="AB686" s="1454"/>
      <c r="AC686" s="1454"/>
      <c r="AD686" s="1454"/>
      <c r="AE686" s="1454"/>
      <c r="AF686" s="1454"/>
      <c r="AG686" s="1454"/>
      <c r="AH686" s="1454"/>
      <c r="AI686" s="1454"/>
      <c r="AJ686" s="1454"/>
      <c r="AK686" s="1454"/>
      <c r="AZ686" s="3"/>
    </row>
    <row r="687" spans="1:157" ht="12.95" customHeight="1">
      <c r="A687" s="22"/>
      <c r="B687" t="s">
        <v>316</v>
      </c>
      <c r="G687" s="1473"/>
      <c r="H687" s="1473"/>
      <c r="I687" s="1473"/>
      <c r="J687" s="1473"/>
      <c r="K687" s="1473"/>
      <c r="L687" s="1473"/>
      <c r="O687" s="33" t="s">
        <v>206</v>
      </c>
      <c r="P687" s="1444"/>
      <c r="Q687" s="1444"/>
      <c r="R687" s="1444"/>
      <c r="T687" s="22"/>
      <c r="U687" t="s">
        <v>316</v>
      </c>
      <c r="Z687" s="1473"/>
      <c r="AA687" s="1473"/>
      <c r="AB687" s="1473"/>
      <c r="AC687" s="1473"/>
      <c r="AD687" s="1473"/>
      <c r="AE687" s="1473"/>
      <c r="AH687" s="33" t="s">
        <v>206</v>
      </c>
      <c r="AI687" s="1444"/>
      <c r="AJ687" s="1444"/>
      <c r="AK687" s="1444"/>
      <c r="AZ687" s="3"/>
    </row>
    <row r="688" spans="1:157" ht="12.95" customHeight="1">
      <c r="A688" s="22"/>
      <c r="B688" t="s">
        <v>18</v>
      </c>
      <c r="H688" s="1399"/>
      <c r="I688" s="1399"/>
      <c r="J688" s="1399"/>
      <c r="K688" s="1399"/>
      <c r="L688" s="1399"/>
      <c r="M688" s="1399"/>
      <c r="N688" s="1399"/>
      <c r="O688" s="1399"/>
      <c r="P688" s="1399"/>
      <c r="Q688" s="1399"/>
      <c r="R688" s="1399"/>
      <c r="T688" s="22"/>
      <c r="U688" t="s">
        <v>18</v>
      </c>
      <c r="AA688" s="1399"/>
      <c r="AB688" s="1399"/>
      <c r="AC688" s="1399"/>
      <c r="AD688" s="1399"/>
      <c r="AE688" s="1399"/>
      <c r="AF688" s="1399"/>
      <c r="AG688" s="1399"/>
      <c r="AH688" s="1399"/>
      <c r="AI688" s="1399"/>
      <c r="AJ688" s="1399"/>
      <c r="AK688" s="1399"/>
      <c r="AZ688" s="3"/>
    </row>
    <row r="689" spans="1:52" ht="12.95" customHeight="1">
      <c r="A689" s="22"/>
      <c r="B689" t="s">
        <v>20</v>
      </c>
      <c r="N689" s="1347" t="s">
        <v>669</v>
      </c>
      <c r="O689" s="1347"/>
      <c r="T689" s="22"/>
      <c r="U689" t="s">
        <v>20</v>
      </c>
      <c r="AG689" s="1347" t="s">
        <v>669</v>
      </c>
      <c r="AH689" s="1347"/>
      <c r="AZ689" s="3"/>
    </row>
    <row r="690" spans="1:52" ht="12.95" customHeight="1">
      <c r="A690" s="22"/>
      <c r="T690" s="22"/>
      <c r="AZ690" s="3"/>
    </row>
    <row r="691" spans="1:52" ht="12.95" customHeight="1">
      <c r="A691" s="55" t="s">
        <v>362</v>
      </c>
      <c r="B691" t="s">
        <v>463</v>
      </c>
      <c r="G691" s="1489">
        <f>C645</f>
        <v>0</v>
      </c>
      <c r="H691" s="1489"/>
      <c r="I691" s="1489"/>
      <c r="J691" s="1489"/>
      <c r="K691" s="1489"/>
      <c r="L691" s="1489"/>
      <c r="M691" s="1489"/>
      <c r="N691" s="1489"/>
      <c r="O691" s="1489"/>
      <c r="P691" s="1489"/>
      <c r="Q691" s="1489"/>
      <c r="R691" s="1489"/>
      <c r="T691" s="55" t="s">
        <v>363</v>
      </c>
      <c r="U691" t="s">
        <v>463</v>
      </c>
      <c r="Z691" s="1489">
        <f>C646</f>
        <v>0</v>
      </c>
      <c r="AA691" s="1489"/>
      <c r="AB691" s="1489"/>
      <c r="AC691" s="1489"/>
      <c r="AD691" s="1489"/>
      <c r="AE691" s="1489"/>
      <c r="AF691" s="1489"/>
      <c r="AG691" s="1489"/>
      <c r="AH691" s="1489"/>
      <c r="AI691" s="1489"/>
      <c r="AJ691" s="1489"/>
      <c r="AK691" s="1489"/>
      <c r="AZ691" s="3"/>
    </row>
    <row r="692" spans="1:52" ht="12.95" customHeight="1">
      <c r="B692" t="s">
        <v>85</v>
      </c>
      <c r="G692" s="1399"/>
      <c r="H692" s="1399"/>
      <c r="I692" s="1399"/>
      <c r="J692" s="1399"/>
      <c r="K692" s="1399"/>
      <c r="L692" s="1399"/>
      <c r="M692" s="1399"/>
      <c r="N692" s="1399"/>
      <c r="O692" s="1399"/>
      <c r="P692" s="1399"/>
      <c r="Q692" s="1399"/>
      <c r="R692" s="1399"/>
      <c r="T692" s="22"/>
      <c r="U692" t="s">
        <v>85</v>
      </c>
      <c r="Z692" s="1399"/>
      <c r="AA692" s="1399"/>
      <c r="AB692" s="1399"/>
      <c r="AC692" s="1399"/>
      <c r="AD692" s="1399"/>
      <c r="AE692" s="1399"/>
      <c r="AF692" s="1399"/>
      <c r="AG692" s="1399"/>
      <c r="AH692" s="1399"/>
      <c r="AI692" s="1399"/>
      <c r="AJ692" s="1399"/>
      <c r="AK692" s="1399"/>
      <c r="AZ692" s="3"/>
    </row>
    <row r="693" spans="1:52" ht="12.95" customHeight="1">
      <c r="B693" t="s">
        <v>580</v>
      </c>
      <c r="G693" s="1399"/>
      <c r="H693" s="1399"/>
      <c r="I693" s="1399"/>
      <c r="J693" s="1399"/>
      <c r="K693" s="1399"/>
      <c r="L693" s="1399"/>
      <c r="M693" s="1399"/>
      <c r="N693" s="1399"/>
      <c r="O693" s="1399"/>
      <c r="P693" s="1399"/>
      <c r="Q693" s="1399"/>
      <c r="R693" s="1399"/>
      <c r="U693" t="s">
        <v>580</v>
      </c>
      <c r="Z693" s="1454"/>
      <c r="AA693" s="1454"/>
      <c r="AB693" s="1454"/>
      <c r="AC693" s="1454"/>
      <c r="AD693" s="1454"/>
      <c r="AE693" s="1454"/>
      <c r="AF693" s="1454"/>
      <c r="AG693" s="1454"/>
      <c r="AH693" s="1454"/>
      <c r="AI693" s="1454"/>
      <c r="AJ693" s="1454"/>
      <c r="AK693" s="1454"/>
      <c r="AZ693" s="3"/>
    </row>
    <row r="694" spans="1:52" ht="12.95" customHeight="1">
      <c r="B694" t="s">
        <v>17</v>
      </c>
      <c r="G694" s="1399"/>
      <c r="H694" s="1399"/>
      <c r="I694" s="1399"/>
      <c r="J694" s="1399"/>
      <c r="K694" s="1399"/>
      <c r="L694" s="1399"/>
      <c r="M694" s="1399"/>
      <c r="N694" s="1399"/>
      <c r="O694" s="1399"/>
      <c r="P694" s="1399"/>
      <c r="Q694" s="1399"/>
      <c r="R694" s="1399"/>
      <c r="U694" t="s">
        <v>17</v>
      </c>
      <c r="Z694" s="1454"/>
      <c r="AA694" s="1454"/>
      <c r="AB694" s="1454"/>
      <c r="AC694" s="1454"/>
      <c r="AD694" s="1454"/>
      <c r="AE694" s="1454"/>
      <c r="AF694" s="1454"/>
      <c r="AG694" s="1454"/>
      <c r="AH694" s="1454"/>
      <c r="AI694" s="1454"/>
      <c r="AJ694" s="1454"/>
      <c r="AK694" s="1454"/>
      <c r="AZ694" s="3"/>
    </row>
    <row r="695" spans="1:52" ht="12.95" customHeight="1">
      <c r="B695" t="s">
        <v>316</v>
      </c>
      <c r="G695" s="1473"/>
      <c r="H695" s="1473"/>
      <c r="I695" s="1473"/>
      <c r="J695" s="1473"/>
      <c r="K695" s="1473"/>
      <c r="L695" s="1473"/>
      <c r="O695" s="33" t="s">
        <v>206</v>
      </c>
      <c r="P695" s="1444"/>
      <c r="Q695" s="1444"/>
      <c r="R695" s="1444"/>
      <c r="U695" t="s">
        <v>316</v>
      </c>
      <c r="Z695" s="1473"/>
      <c r="AA695" s="1473"/>
      <c r="AB695" s="1473"/>
      <c r="AC695" s="1473"/>
      <c r="AD695" s="1473"/>
      <c r="AE695" s="1473"/>
      <c r="AH695" s="33" t="s">
        <v>206</v>
      </c>
      <c r="AI695" s="1444"/>
      <c r="AJ695" s="1444"/>
      <c r="AK695" s="1444"/>
      <c r="AZ695" s="3"/>
    </row>
    <row r="696" spans="1:52" ht="12.95" customHeight="1">
      <c r="B696" t="s">
        <v>18</v>
      </c>
      <c r="H696" s="1399"/>
      <c r="I696" s="1399"/>
      <c r="J696" s="1399"/>
      <c r="K696" s="1399"/>
      <c r="L696" s="1399"/>
      <c r="M696" s="1399"/>
      <c r="N696" s="1399"/>
      <c r="O696" s="1399"/>
      <c r="P696" s="1399"/>
      <c r="Q696" s="1399"/>
      <c r="R696" s="1399"/>
      <c r="U696" t="s">
        <v>18</v>
      </c>
      <c r="AA696" s="1399"/>
      <c r="AB696" s="1399"/>
      <c r="AC696" s="1399"/>
      <c r="AD696" s="1399"/>
      <c r="AE696" s="1399"/>
      <c r="AF696" s="1399"/>
      <c r="AG696" s="1399"/>
      <c r="AH696" s="1399"/>
      <c r="AI696" s="1399"/>
      <c r="AJ696" s="1399"/>
      <c r="AK696" s="1399"/>
      <c r="AZ696" s="3"/>
    </row>
    <row r="697" spans="1:52" ht="12.95" customHeight="1">
      <c r="B697" t="s">
        <v>20</v>
      </c>
      <c r="N697" s="1347" t="s">
        <v>669</v>
      </c>
      <c r="O697" s="1347"/>
      <c r="U697" t="s">
        <v>20</v>
      </c>
      <c r="AG697" s="1347" t="s">
        <v>669</v>
      </c>
      <c r="AH697" s="1347"/>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347" t="s">
        <v>669</v>
      </c>
      <c r="AF701" s="1347"/>
      <c r="AZ701" s="3"/>
    </row>
    <row r="702" spans="1:52" ht="12.95" customHeight="1">
      <c r="B702" s="135"/>
      <c r="C702" s="135"/>
      <c r="D702" s="136" t="s">
        <v>437</v>
      </c>
      <c r="E702" s="135"/>
      <c r="F702" s="135"/>
      <c r="G702" s="135"/>
      <c r="H702" s="135"/>
      <c r="AE702" s="1347" t="s">
        <v>669</v>
      </c>
      <c r="AF702" s="1347"/>
      <c r="AZ702" s="3"/>
    </row>
    <row r="703" spans="1:52" ht="12.95" customHeight="1">
      <c r="B703" s="135"/>
      <c r="C703" s="135"/>
      <c r="D703" s="136" t="s">
        <v>920</v>
      </c>
      <c r="E703" s="135"/>
      <c r="F703" s="135"/>
      <c r="G703" s="135"/>
      <c r="H703" s="135"/>
      <c r="AE703" s="1694">
        <v>46056</v>
      </c>
      <c r="AF703" s="1694"/>
      <c r="AG703" s="1694"/>
      <c r="AH703" s="1694"/>
      <c r="AI703" s="1694"/>
    </row>
    <row r="704" spans="1:52" ht="12.95" customHeight="1">
      <c r="B704" s="135"/>
      <c r="C704" s="135"/>
      <c r="D704" s="317" t="s">
        <v>983</v>
      </c>
      <c r="E704" s="135"/>
      <c r="F704" s="135"/>
      <c r="G704" s="135"/>
      <c r="H704" s="135"/>
      <c r="AE704" s="1714">
        <v>46154</v>
      </c>
      <c r="AF704" s="1714"/>
      <c r="AG704" s="1714"/>
      <c r="AH704" s="1714"/>
      <c r="AI704" s="1714"/>
    </row>
    <row r="705" spans="1:110" ht="12.95" customHeight="1">
      <c r="B705" s="135"/>
      <c r="C705" s="135"/>
    </row>
    <row r="706" spans="1:110" ht="12.95" customHeight="1">
      <c r="B706" s="135"/>
      <c r="C706" s="135"/>
      <c r="D706" s="136" t="s">
        <v>816</v>
      </c>
      <c r="E706" s="135"/>
      <c r="F706" s="135"/>
      <c r="G706" s="135"/>
      <c r="H706" s="135"/>
      <c r="AE706" s="1694">
        <v>46327</v>
      </c>
      <c r="AF706" s="1694"/>
      <c r="AG706" s="1694"/>
      <c r="AH706" s="1694"/>
      <c r="AI706" s="1694"/>
    </row>
    <row r="707" spans="1:110" ht="12.95" customHeight="1">
      <c r="B707" s="135"/>
      <c r="C707" s="135"/>
      <c r="D707" s="136" t="s">
        <v>435</v>
      </c>
      <c r="E707" s="135"/>
      <c r="F707" s="135"/>
      <c r="G707" s="135"/>
      <c r="H707" s="135"/>
      <c r="AE707" s="1475">
        <f>AM562/SUM('Sources and Uses Budget'!S107,'Sources and Uses Budget'!R4,'Sources and Uses Budget'!R13)</f>
        <v>0.29870763401753792</v>
      </c>
      <c r="AF707" s="1475"/>
      <c r="AG707" s="1475"/>
      <c r="AH707" s="1475"/>
      <c r="AI707" s="1475"/>
    </row>
    <row r="708" spans="1:110" ht="12.95" customHeight="1">
      <c r="B708" s="135"/>
      <c r="C708" s="135"/>
      <c r="D708" s="136" t="s">
        <v>436</v>
      </c>
      <c r="E708" s="135"/>
      <c r="F708" s="135"/>
      <c r="G708" s="135"/>
      <c r="H708" s="135"/>
      <c r="W708" s="1489" t="str">
        <f>H344</f>
        <v xml:space="preserve">CMFA </v>
      </c>
      <c r="X708" s="1489"/>
      <c r="Y708" s="1489"/>
      <c r="Z708" s="1489"/>
      <c r="AA708" s="1489"/>
      <c r="AB708" s="1489"/>
      <c r="AC708" s="1489"/>
      <c r="AD708" s="1489"/>
      <c r="AE708" s="1489"/>
      <c r="AF708" s="1489"/>
      <c r="AG708" s="1489"/>
      <c r="AH708" s="1489"/>
      <c r="AI708" s="1489"/>
      <c r="AJ708" s="1489"/>
      <c r="AK708" s="1489"/>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47" t="s">
        <v>669</v>
      </c>
      <c r="AF710" s="1347"/>
    </row>
    <row r="711" spans="1:110" ht="12.95" customHeight="1">
      <c r="B711" s="135"/>
      <c r="C711" s="135"/>
      <c r="D711" s="136" t="s">
        <v>442</v>
      </c>
      <c r="E711" s="135"/>
      <c r="F711" s="135"/>
      <c r="G711" s="135"/>
      <c r="H711" s="135"/>
      <c r="W711" s="1399" t="s">
        <v>2738</v>
      </c>
      <c r="X711" s="1399"/>
      <c r="Y711" s="1399"/>
      <c r="Z711" s="1399"/>
      <c r="AA711" s="1399"/>
      <c r="AB711" s="1399"/>
      <c r="AC711" s="1399"/>
      <c r="AD711" s="1399"/>
      <c r="AE711" s="1399"/>
      <c r="AF711" s="1399"/>
      <c r="AG711" s="1399"/>
      <c r="AH711" s="1399"/>
      <c r="AI711" s="1399"/>
      <c r="AJ711" s="1399"/>
      <c r="AK711" s="1399"/>
    </row>
    <row r="712" spans="1:110" ht="12.95" customHeight="1">
      <c r="B712" s="135"/>
      <c r="C712" s="135"/>
      <c r="D712" s="136" t="s">
        <v>87</v>
      </c>
      <c r="E712" s="135"/>
      <c r="F712" s="135"/>
      <c r="G712" s="135"/>
      <c r="H712" s="135"/>
      <c r="J712" s="1399" t="s">
        <v>2738</v>
      </c>
      <c r="K712" s="1399"/>
      <c r="L712" s="1399"/>
      <c r="M712" s="1399"/>
      <c r="N712" s="1399"/>
      <c r="O712" s="1399"/>
      <c r="P712" s="1399"/>
      <c r="Q712" s="1399"/>
      <c r="R712" s="1399"/>
      <c r="S712" s="1399"/>
      <c r="T712" s="1399"/>
      <c r="U712" s="1399"/>
      <c r="V712" s="1399"/>
      <c r="W712" s="1399"/>
      <c r="X712" s="1399"/>
      <c r="BB712" s="34"/>
      <c r="BC712" s="34"/>
      <c r="BD712" s="34"/>
      <c r="BE712" s="3"/>
      <c r="BF712" s="3"/>
      <c r="BJ712" s="3"/>
      <c r="BK712" s="3"/>
      <c r="BL712" s="3"/>
      <c r="BM712" s="3"/>
      <c r="BN712" s="34"/>
      <c r="BO712" s="34"/>
    </row>
    <row r="713" spans="1:110" ht="12.95" customHeight="1">
      <c r="B713" s="135"/>
      <c r="C713" s="135"/>
      <c r="D713" s="136" t="s">
        <v>88</v>
      </c>
      <c r="J713" s="1715" t="s">
        <v>2738</v>
      </c>
      <c r="K713" s="1473"/>
      <c r="L713" s="1473"/>
      <c r="M713" s="1473"/>
      <c r="N713" s="1473"/>
      <c r="O713" s="1473"/>
      <c r="P713" s="4" t="s">
        <v>206</v>
      </c>
      <c r="Q713" s="4"/>
      <c r="R713" s="1444"/>
      <c r="S713" s="1444"/>
      <c r="T713" s="144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99" t="s">
        <v>307</v>
      </c>
      <c r="X714" s="1399"/>
      <c r="Y714" s="1399"/>
      <c r="Z714" s="1399"/>
      <c r="AA714" s="1399"/>
      <c r="AB714" s="1399"/>
      <c r="AC714" s="1399"/>
      <c r="AD714" s="1399"/>
      <c r="AE714" s="1399"/>
      <c r="AF714" s="1399"/>
      <c r="AG714" s="1399"/>
      <c r="AH714" s="1399"/>
      <c r="AI714" s="1399"/>
      <c r="AJ714" s="1399"/>
      <c r="AK714" s="139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99" t="s">
        <v>334</v>
      </c>
      <c r="F715" s="1399"/>
      <c r="G715" s="1399"/>
      <c r="H715" s="1399"/>
      <c r="I715" s="1399"/>
      <c r="J715" s="1399"/>
      <c r="K715" s="1399"/>
      <c r="L715" s="1399"/>
      <c r="M715" s="1399"/>
      <c r="N715" s="1399"/>
      <c r="O715" s="1399"/>
      <c r="P715" s="1399"/>
      <c r="Q715" s="1399"/>
      <c r="R715" s="1399"/>
      <c r="S715" s="1399"/>
      <c r="T715" s="1399"/>
      <c r="U715" s="1399"/>
      <c r="V715" s="1399"/>
      <c r="W715" s="1399"/>
      <c r="X715" s="1399"/>
      <c r="Y715" s="1399"/>
      <c r="Z715" s="1399"/>
      <c r="AA715" s="1399"/>
      <c r="AB715" s="1399"/>
      <c r="AC715" s="1399"/>
      <c r="AD715" s="1399"/>
      <c r="AE715" s="1399"/>
      <c r="AF715" s="1399"/>
      <c r="AG715" s="1399"/>
      <c r="AH715" s="1399"/>
      <c r="AI715" s="1399"/>
      <c r="AJ715" s="1399"/>
      <c r="AK715" s="139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8" t="s">
        <v>95</v>
      </c>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c r="AD717" s="1268"/>
      <c r="AE717" s="1268"/>
      <c r="AF717" s="1268"/>
      <c r="AG717" s="1268"/>
      <c r="AH717" s="1268"/>
      <c r="AI717" s="1268"/>
      <c r="AJ717" s="1268"/>
      <c r="AK717" s="1268"/>
      <c r="AL717" s="1268"/>
      <c r="AM717" s="1268"/>
      <c r="AN717" s="1268"/>
      <c r="AO717" s="1268"/>
      <c r="AP717" s="1268"/>
      <c r="AQ717" s="1268"/>
      <c r="AR717" s="1268"/>
      <c r="AS717" s="1268"/>
      <c r="AT717" s="126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c r="AD718" s="1268"/>
      <c r="AE718" s="1268"/>
      <c r="AF718" s="1268"/>
      <c r="AG718" s="1268"/>
      <c r="AH718" s="1268"/>
      <c r="AI718" s="1268"/>
      <c r="AJ718" s="1268"/>
      <c r="AK718" s="1268"/>
      <c r="AL718" s="1268"/>
      <c r="AM718" s="1268"/>
      <c r="AN718" s="1268"/>
      <c r="AO718" s="1268"/>
      <c r="AP718" s="1268"/>
      <c r="AQ718" s="1268"/>
      <c r="AR718" s="1268"/>
      <c r="AS718" s="1268"/>
      <c r="AT718" s="126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c r="AD719" s="1268"/>
      <c r="AE719" s="1268"/>
      <c r="AF719" s="1268"/>
      <c r="AG719" s="1268"/>
      <c r="AH719" s="1268"/>
      <c r="AI719" s="1268"/>
      <c r="AJ719" s="1268"/>
      <c r="AK719" s="1268"/>
      <c r="AL719" s="1268"/>
      <c r="AM719" s="1268"/>
      <c r="AN719" s="1268"/>
      <c r="AO719" s="1268"/>
      <c r="AP719" s="1268"/>
      <c r="AQ719" s="1268"/>
      <c r="AR719" s="1268"/>
      <c r="AS719" s="1268"/>
      <c r="AT719" s="126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32" t="s">
        <v>389</v>
      </c>
      <c r="C722" s="1433"/>
      <c r="D722" s="1433"/>
      <c r="E722" s="1433"/>
      <c r="F722" s="1434"/>
      <c r="G722" s="1432" t="s">
        <v>285</v>
      </c>
      <c r="H722" s="1433"/>
      <c r="I722" s="1433"/>
      <c r="J722" s="1434"/>
      <c r="K722" s="1708" t="s">
        <v>1668</v>
      </c>
      <c r="L722" s="1709"/>
      <c r="M722" s="1709"/>
      <c r="N722" s="1710"/>
      <c r="O722" s="1432" t="s">
        <v>447</v>
      </c>
      <c r="P722" s="1433"/>
      <c r="Q722" s="1433"/>
      <c r="R722" s="1433"/>
      <c r="S722" s="1434"/>
      <c r="T722" s="1498" t="s">
        <v>1923</v>
      </c>
      <c r="U722" s="1433"/>
      <c r="V722" s="1433"/>
      <c r="W722" s="1434"/>
      <c r="X722" s="1498" t="s">
        <v>1925</v>
      </c>
      <c r="Y722" s="1433"/>
      <c r="Z722" s="1433"/>
      <c r="AA722" s="1433"/>
      <c r="AB722" s="1434"/>
      <c r="AC722" s="1498" t="s">
        <v>1924</v>
      </c>
      <c r="AD722" s="1433"/>
      <c r="AE722" s="1433"/>
      <c r="AF722" s="1433"/>
      <c r="AG722" s="1434"/>
      <c r="AH722" s="1498" t="s">
        <v>1926</v>
      </c>
      <c r="AI722" s="1433"/>
      <c r="AJ722" s="1434"/>
      <c r="AK722" s="1498" t="s">
        <v>1953</v>
      </c>
      <c r="AL722" s="1433"/>
      <c r="AM722" s="1433"/>
      <c r="AN722" s="1433"/>
      <c r="AO722" s="143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35"/>
      <c r="C723" s="1436"/>
      <c r="D723" s="1436"/>
      <c r="E723" s="1436"/>
      <c r="F723" s="1437"/>
      <c r="G723" s="1435"/>
      <c r="H723" s="1436"/>
      <c r="I723" s="1436"/>
      <c r="J723" s="1437"/>
      <c r="K723" s="1711"/>
      <c r="L723" s="1712"/>
      <c r="M723" s="1712"/>
      <c r="N723" s="1713"/>
      <c r="O723" s="1435"/>
      <c r="P723" s="1436"/>
      <c r="Q723" s="1436"/>
      <c r="R723" s="1436"/>
      <c r="S723" s="1437"/>
      <c r="T723" s="1435"/>
      <c r="U723" s="1436"/>
      <c r="V723" s="1436"/>
      <c r="W723" s="1437"/>
      <c r="X723" s="1435"/>
      <c r="Y723" s="1436"/>
      <c r="Z723" s="1436"/>
      <c r="AA723" s="1436"/>
      <c r="AB723" s="1437"/>
      <c r="AC723" s="1435"/>
      <c r="AD723" s="1436"/>
      <c r="AE723" s="1436"/>
      <c r="AF723" s="1436"/>
      <c r="AG723" s="1437"/>
      <c r="AH723" s="1435"/>
      <c r="AI723" s="1436"/>
      <c r="AJ723" s="1437"/>
      <c r="AK723" s="1435"/>
      <c r="AL723" s="1436"/>
      <c r="AM723" s="1436"/>
      <c r="AN723" s="1436"/>
      <c r="AO723" s="143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35"/>
      <c r="C724" s="1436"/>
      <c r="D724" s="1436"/>
      <c r="E724" s="1436"/>
      <c r="F724" s="1437"/>
      <c r="G724" s="1435"/>
      <c r="H724" s="1436"/>
      <c r="I724" s="1436"/>
      <c r="J724" s="1437"/>
      <c r="K724" s="1711"/>
      <c r="L724" s="1712"/>
      <c r="M724" s="1712"/>
      <c r="N724" s="1713"/>
      <c r="O724" s="1435"/>
      <c r="P724" s="1436"/>
      <c r="Q724" s="1436"/>
      <c r="R724" s="1436"/>
      <c r="S724" s="1437"/>
      <c r="T724" s="1435"/>
      <c r="U724" s="1436"/>
      <c r="V724" s="1436"/>
      <c r="W724" s="1437"/>
      <c r="X724" s="1435"/>
      <c r="Y724" s="1436"/>
      <c r="Z724" s="1436"/>
      <c r="AA724" s="1436"/>
      <c r="AB724" s="1437"/>
      <c r="AC724" s="1435"/>
      <c r="AD724" s="1436"/>
      <c r="AE724" s="1436"/>
      <c r="AF724" s="1436"/>
      <c r="AG724" s="1437"/>
      <c r="AH724" s="1435"/>
      <c r="AI724" s="1436"/>
      <c r="AJ724" s="1437"/>
      <c r="AK724" s="1435"/>
      <c r="AL724" s="1436"/>
      <c r="AM724" s="1436"/>
      <c r="AN724" s="1436"/>
      <c r="AO724" s="1437"/>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8"/>
      <c r="C725" s="1439"/>
      <c r="D725" s="1439"/>
      <c r="E725" s="1439"/>
      <c r="F725" s="1440"/>
      <c r="G725" s="1438"/>
      <c r="H725" s="1439"/>
      <c r="I725" s="1439"/>
      <c r="J725" s="1440"/>
      <c r="K725" s="1711"/>
      <c r="L725" s="1712"/>
      <c r="M725" s="1712"/>
      <c r="N725" s="1713"/>
      <c r="O725" s="1438"/>
      <c r="P725" s="1439"/>
      <c r="Q725" s="1439"/>
      <c r="R725" s="1439"/>
      <c r="S725" s="1440"/>
      <c r="T725" s="1438"/>
      <c r="U725" s="1439"/>
      <c r="V725" s="1439"/>
      <c r="W725" s="1440"/>
      <c r="X725" s="1438"/>
      <c r="Y725" s="1439"/>
      <c r="Z725" s="1439"/>
      <c r="AA725" s="1439"/>
      <c r="AB725" s="1440"/>
      <c r="AC725" s="1438"/>
      <c r="AD725" s="1439"/>
      <c r="AE725" s="1439"/>
      <c r="AF725" s="1439"/>
      <c r="AG725" s="1440"/>
      <c r="AH725" s="1438"/>
      <c r="AI725" s="1439"/>
      <c r="AJ725" s="1440"/>
      <c r="AK725" s="1438"/>
      <c r="AL725" s="1439"/>
      <c r="AM725" s="1439"/>
      <c r="AN725" s="1439"/>
      <c r="AO725" s="1440"/>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44"/>
      <c r="CJ725" s="1545"/>
      <c r="CK725" s="121" t="s">
        <v>475</v>
      </c>
      <c r="CL725" s="122"/>
      <c r="CM725" s="1544"/>
      <c r="CN725" s="1545"/>
      <c r="CO725" s="3"/>
      <c r="CP725" s="1403" t="s">
        <v>633</v>
      </c>
      <c r="CQ725" s="1404"/>
      <c r="CR725" s="1404"/>
      <c r="CS725" s="1404"/>
      <c r="CT725" s="1405"/>
      <c r="CU725" s="1541" t="s">
        <v>325</v>
      </c>
      <c r="CV725" s="1541"/>
      <c r="CW725" s="1541"/>
      <c r="CX725" s="1541"/>
      <c r="CY725" s="1541"/>
      <c r="CZ725" s="1541" t="s">
        <v>163</v>
      </c>
      <c r="DA725" s="1541"/>
      <c r="DB725" s="1541"/>
      <c r="DC725" s="1541"/>
      <c r="DD725" s="1541"/>
      <c r="DE725" s="1541" t="s">
        <v>164</v>
      </c>
      <c r="DF725" s="1541"/>
      <c r="DG725" s="1541"/>
      <c r="DH725" s="1541"/>
      <c r="DI725" s="1541"/>
      <c r="DJ725" s="1541" t="s">
        <v>460</v>
      </c>
      <c r="DK725" s="1541"/>
      <c r="DL725" s="1541"/>
      <c r="DM725" s="1541"/>
      <c r="DN725" s="1541"/>
      <c r="DO725" s="1541" t="s">
        <v>30</v>
      </c>
      <c r="DP725" s="1541"/>
      <c r="DQ725" s="1541"/>
      <c r="DR725" s="1541"/>
      <c r="DS725" s="1541"/>
      <c r="DT725" s="89"/>
      <c r="DU725" s="1541" t="s">
        <v>633</v>
      </c>
      <c r="DV725" s="1541"/>
      <c r="DW725" s="1541"/>
      <c r="DX725" s="1541"/>
      <c r="DY725" s="1541"/>
      <c r="DZ725" s="1541" t="s">
        <v>325</v>
      </c>
      <c r="EA725" s="1541"/>
      <c r="EB725" s="1541"/>
      <c r="EC725" s="1541"/>
      <c r="ED725" s="1541"/>
      <c r="EE725" s="1541" t="s">
        <v>163</v>
      </c>
      <c r="EF725" s="1541"/>
      <c r="EG725" s="1541"/>
      <c r="EH725" s="1541"/>
      <c r="EI725" s="1541"/>
      <c r="EJ725" s="1541" t="s">
        <v>164</v>
      </c>
      <c r="EK725" s="1541"/>
      <c r="EL725" s="1541"/>
      <c r="EM725" s="1541"/>
      <c r="EN725" s="1541"/>
      <c r="EO725" s="1541" t="s">
        <v>460</v>
      </c>
      <c r="EP725" s="1541"/>
      <c r="EQ725" s="1541"/>
      <c r="ER725" s="1541"/>
      <c r="ES725" s="1541"/>
      <c r="ET725" s="1541" t="s">
        <v>30</v>
      </c>
      <c r="EU725" s="1541"/>
      <c r="EV725" s="1541"/>
      <c r="EW725" s="1541"/>
      <c r="EX725" s="1541"/>
      <c r="EY725" s="4"/>
      <c r="EZ725" s="1541" t="s">
        <v>633</v>
      </c>
      <c r="FA725" s="1541"/>
      <c r="FB725" s="1541"/>
      <c r="FC725" s="1541"/>
      <c r="FD725" s="1541"/>
      <c r="FE725" s="1541" t="s">
        <v>325</v>
      </c>
      <c r="FF725" s="1541"/>
      <c r="FG725" s="1541"/>
      <c r="FH725" s="1541"/>
      <c r="FI725" s="1541"/>
      <c r="FJ725" s="1541" t="s">
        <v>163</v>
      </c>
      <c r="FK725" s="1541"/>
      <c r="FL725" s="1541"/>
      <c r="FM725" s="1541"/>
      <c r="FN725" s="1541"/>
      <c r="FO725" s="1541" t="s">
        <v>164</v>
      </c>
      <c r="FP725" s="1541"/>
      <c r="FQ725" s="1541"/>
      <c r="FR725" s="1541"/>
      <c r="FS725" s="1541"/>
      <c r="FT725" s="1541" t="s">
        <v>460</v>
      </c>
      <c r="FU725" s="1541"/>
      <c r="FV725" s="1541"/>
      <c r="FW725" s="1541"/>
      <c r="FX725" s="1541"/>
      <c r="FY725" s="1541" t="s">
        <v>30</v>
      </c>
      <c r="FZ725" s="1541"/>
      <c r="GA725" s="1541"/>
      <c r="GB725" s="1541"/>
      <c r="GC725" s="1541"/>
    </row>
    <row r="726" spans="1:185" ht="12.95" customHeight="1">
      <c r="A726" s="4"/>
      <c r="B726" s="1371" t="s">
        <v>325</v>
      </c>
      <c r="C726" s="1372"/>
      <c r="D726" s="1372"/>
      <c r="E726" s="1372"/>
      <c r="F726" s="1373"/>
      <c r="G726" s="1365">
        <v>32</v>
      </c>
      <c r="H726" s="1366"/>
      <c r="I726" s="1366"/>
      <c r="J726" s="1367"/>
      <c r="K726" s="1368">
        <v>501</v>
      </c>
      <c r="L726" s="1369"/>
      <c r="M726" s="1369"/>
      <c r="N726" s="1370"/>
      <c r="O726" s="1418">
        <f>723-T726</f>
        <v>648.75</v>
      </c>
      <c r="P726" s="1419"/>
      <c r="Q726" s="1419"/>
      <c r="R726" s="1419"/>
      <c r="S726" s="1420"/>
      <c r="T726" s="1418">
        <f>$Q$840</f>
        <v>74.25</v>
      </c>
      <c r="U726" s="1419"/>
      <c r="V726" s="1419"/>
      <c r="W726" s="1420"/>
      <c r="X726" s="1421">
        <f t="shared" ref="X726:X749" si="10">O726+T726</f>
        <v>723</v>
      </c>
      <c r="Y726" s="1417"/>
      <c r="Z726" s="1417"/>
      <c r="AA726" s="1417"/>
      <c r="AB726" s="1422"/>
      <c r="AC726" s="1423">
        <v>0.3</v>
      </c>
      <c r="AD726" s="1424"/>
      <c r="AE726" s="1424"/>
      <c r="AF726" s="1424"/>
      <c r="AG726" s="1425"/>
      <c r="AH726" s="1441">
        <f>IF($AC726&gt;0,($X726/$AZ726), "")</f>
        <v>0.29975124378109452</v>
      </c>
      <c r="AI726" s="1442"/>
      <c r="AJ726" s="1443"/>
      <c r="AK726" s="1371" t="s">
        <v>591</v>
      </c>
      <c r="AL726" s="1372"/>
      <c r="AM726" s="1372"/>
      <c r="AN726" s="1372"/>
      <c r="AO726" s="1373"/>
      <c r="AP726" s="3"/>
      <c r="AQ726" s="3"/>
      <c r="AR726" s="3"/>
      <c r="AS726" s="3"/>
      <c r="AZ726" s="118">
        <f t="shared" ref="AZ726:AZ760" si="11">IF($G726=0,"N/A",VLOOKUP($T$189,TC_Rent,(MATCH($B726,bedrooms,FALSE)),FALSE))</f>
        <v>2412</v>
      </c>
      <c r="BA726" s="3"/>
      <c r="BB726" s="3"/>
      <c r="BC726" s="3"/>
      <c r="BD726" s="3"/>
      <c r="BE726" s="204"/>
      <c r="BF726" s="293">
        <f t="shared" ref="BF726:BF760" si="12">G726</f>
        <v>32</v>
      </c>
      <c r="BG726" s="297">
        <f t="shared" ref="BG726:BG760" si="13">IF($BF$761=0,0,BF726/$BF$761)</f>
        <v>9.3023255813953487E-2</v>
      </c>
      <c r="BH726" s="298">
        <f t="shared" ref="BH726:BH760" si="14">IF(BG726=0,"",BG726*AC726)</f>
        <v>2.7906976744186046E-2</v>
      </c>
      <c r="BI726" s="3"/>
      <c r="BJ726" s="3"/>
      <c r="BK726" s="3"/>
      <c r="BL726" s="3"/>
      <c r="BM726" s="3"/>
      <c r="BN726" s="3"/>
      <c r="BS726" s="293">
        <f t="shared" ref="BS726:BS760" si="15">G726</f>
        <v>32</v>
      </c>
      <c r="BT726" s="297">
        <f t="shared" ref="BT726:BT760" si="16">IF($BS$761=0,0,BS726/$BS$761)</f>
        <v>9.3023255813953487E-2</v>
      </c>
      <c r="BU726" s="298">
        <f t="shared" ref="BU726:BU760" si="17">IF(BT726=0,"",BT726*AH726)</f>
        <v>2.7883836630799491E-2</v>
      </c>
      <c r="CC726" s="3"/>
      <c r="CD726" s="3"/>
      <c r="CE726" s="3"/>
      <c r="CF726" s="3"/>
      <c r="CG726" s="1542">
        <f>IF(AND(AC726&lt;=0.5,AC726&gt;=0.36),1,0)</f>
        <v>0</v>
      </c>
      <c r="CH726" s="1543"/>
      <c r="CI726" s="1544">
        <f>IF(CG726=1,G726,0)</f>
        <v>0</v>
      </c>
      <c r="CJ726" s="1545"/>
      <c r="CK726" s="1542">
        <f t="shared" ref="CK726:CK760" si="18">IF(AND(AC726&lt;=0.35,AC726&gt;0),1,0)</f>
        <v>1</v>
      </c>
      <c r="CL726" s="1543"/>
      <c r="CM726" s="1544">
        <f t="shared" ref="CM726:CM760" si="19">IF(CK726=1,G726,0)</f>
        <v>32</v>
      </c>
      <c r="CN726" s="1545"/>
      <c r="CO726" s="3"/>
      <c r="CP726" s="1546">
        <f t="shared" ref="CP726:CP760" si="20">IF(B726="SRO/Studio",G726,0)</f>
        <v>0</v>
      </c>
      <c r="CQ726" s="1547"/>
      <c r="CR726" s="1547"/>
      <c r="CS726" s="1547"/>
      <c r="CT726" s="1548"/>
      <c r="CU726" s="1540">
        <f t="shared" ref="CU726:CU760" si="21">IF(B726="1 Bedroom",G726,0)</f>
        <v>32</v>
      </c>
      <c r="CV726" s="1540"/>
      <c r="CW726" s="1540"/>
      <c r="CX726" s="1540"/>
      <c r="CY726" s="1540"/>
      <c r="CZ726" s="1540">
        <f t="shared" ref="CZ726:CZ760" si="22">IF(B726="2 Bedrooms",G726,0)</f>
        <v>0</v>
      </c>
      <c r="DA726" s="1540"/>
      <c r="DB726" s="1540"/>
      <c r="DC726" s="1540"/>
      <c r="DD726" s="1540"/>
      <c r="DE726" s="1540">
        <f t="shared" ref="DE726:DE760" si="23">IF(B726="3 Bedrooms",G726,0)</f>
        <v>0</v>
      </c>
      <c r="DF726" s="1540"/>
      <c r="DG726" s="1540"/>
      <c r="DH726" s="1540"/>
      <c r="DI726" s="1540"/>
      <c r="DJ726" s="1540">
        <f t="shared" ref="DJ726:DJ760" si="24">IF(B726="4 Bedrooms",G726,0)</f>
        <v>0</v>
      </c>
      <c r="DK726" s="1540"/>
      <c r="DL726" s="1540"/>
      <c r="DM726" s="1540"/>
      <c r="DN726" s="1540"/>
      <c r="DO726" s="1540">
        <f t="shared" ref="DO726:DO760" si="25">IF(B726="5 Bedrooms",G726,0)</f>
        <v>0</v>
      </c>
      <c r="DP726" s="1540"/>
      <c r="DQ726" s="1540"/>
      <c r="DR726" s="1540"/>
      <c r="DS726" s="1540"/>
      <c r="DT726" s="6"/>
      <c r="DU726" s="1538">
        <f t="shared" ref="DU726:DU760" si="26">IF(AND(B726="SRO/Studio",AC726&lt;=0.3),G726,0)</f>
        <v>0</v>
      </c>
      <c r="DV726" s="1538"/>
      <c r="DW726" s="1538"/>
      <c r="DX726" s="1538"/>
      <c r="DY726" s="1538"/>
      <c r="DZ726" s="1538">
        <f t="shared" ref="DZ726:DZ760" si="27">IF(AND(B726="1 Bedroom",AC726&lt;=0.3),G726,0)</f>
        <v>32</v>
      </c>
      <c r="EA726" s="1538"/>
      <c r="EB726" s="1538"/>
      <c r="EC726" s="1538"/>
      <c r="ED726" s="1538"/>
      <c r="EE726" s="1538">
        <f t="shared" ref="EE726:EE760" si="28">IF(AND(B726="2 Bedrooms",AC726&lt;=0.3),G726,0)</f>
        <v>0</v>
      </c>
      <c r="EF726" s="1538"/>
      <c r="EG726" s="1538"/>
      <c r="EH726" s="1538"/>
      <c r="EI726" s="1538"/>
      <c r="EJ726" s="1538">
        <f t="shared" ref="EJ726:EJ760" si="29">IF(AND(B726="3 Bedrooms",AC726&lt;=0.3),G726,0)</f>
        <v>0</v>
      </c>
      <c r="EK726" s="1538"/>
      <c r="EL726" s="1538"/>
      <c r="EM726" s="1538"/>
      <c r="EN726" s="1538"/>
      <c r="EO726" s="1538">
        <f t="shared" ref="EO726:EO760" si="30">IF(AND(B726="4 Bedrooms",AC726&lt;=0.3),G726,0)</f>
        <v>0</v>
      </c>
      <c r="EP726" s="1538"/>
      <c r="EQ726" s="1538"/>
      <c r="ER726" s="1538"/>
      <c r="ES726" s="1538"/>
      <c r="ET726" s="1538">
        <f t="shared" ref="ET726:ET760" si="31">IF(AND(B726="5 Bedrooms",AC726&lt;=0.3),G726,0)</f>
        <v>0</v>
      </c>
      <c r="EU726" s="1538"/>
      <c r="EV726" s="1538"/>
      <c r="EW726" s="1538"/>
      <c r="EX726" s="1538"/>
      <c r="EY726" s="4"/>
      <c r="EZ726" s="1542" t="str">
        <f t="shared" ref="EZ726:EZ760" si="32">IF(CP726&gt;0,O726,"")</f>
        <v/>
      </c>
      <c r="FA726" s="1549"/>
      <c r="FB726" s="1549"/>
      <c r="FC726" s="1549"/>
      <c r="FD726" s="1543"/>
      <c r="FE726" s="1542">
        <f t="shared" ref="FE726:FE760" si="33">IF(CU726&gt;0,O726,"")</f>
        <v>648.75</v>
      </c>
      <c r="FF726" s="1549"/>
      <c r="FG726" s="1549"/>
      <c r="FH726" s="1549"/>
      <c r="FI726" s="1543"/>
      <c r="FJ726" s="1542" t="str">
        <f t="shared" ref="FJ726:FJ760" si="34">IF(CZ726&gt;0,O726,"")</f>
        <v/>
      </c>
      <c r="FK726" s="1549"/>
      <c r="FL726" s="1549"/>
      <c r="FM726" s="1549"/>
      <c r="FN726" s="1543"/>
      <c r="FO726" s="1542" t="str">
        <f t="shared" ref="FO726:FO760" si="35">IF(DE726&gt;0,O726,"")</f>
        <v/>
      </c>
      <c r="FP726" s="1549"/>
      <c r="FQ726" s="1549"/>
      <c r="FR726" s="1549"/>
      <c r="FS726" s="1543"/>
      <c r="FT726" s="1542" t="str">
        <f t="shared" ref="FT726:FT760" si="36">IF(DJ726&gt;0,O726,"")</f>
        <v/>
      </c>
      <c r="FU726" s="1549"/>
      <c r="FV726" s="1549"/>
      <c r="FW726" s="1549"/>
      <c r="FX726" s="1543"/>
      <c r="FY726" s="1542" t="str">
        <f t="shared" ref="FY726:FY760" si="37">IF(DO726&gt;0,O726,"")</f>
        <v/>
      </c>
      <c r="FZ726" s="1549"/>
      <c r="GA726" s="1549"/>
      <c r="GB726" s="1549"/>
      <c r="GC726" s="1543"/>
    </row>
    <row r="727" spans="1:185" ht="12.95" customHeight="1">
      <c r="A727" s="4"/>
      <c r="B727" s="1371" t="s">
        <v>325</v>
      </c>
      <c r="C727" s="1372"/>
      <c r="D727" s="1372"/>
      <c r="E727" s="1372"/>
      <c r="F727" s="1373"/>
      <c r="G727" s="1365">
        <v>12</v>
      </c>
      <c r="H727" s="1366"/>
      <c r="I727" s="1366"/>
      <c r="J727" s="1367"/>
      <c r="K727" s="1368">
        <v>501</v>
      </c>
      <c r="L727" s="1369"/>
      <c r="M727" s="1369"/>
      <c r="N727" s="1370"/>
      <c r="O727" s="1418">
        <f>1206-T727</f>
        <v>1131.75</v>
      </c>
      <c r="P727" s="1419"/>
      <c r="Q727" s="1419"/>
      <c r="R727" s="1419"/>
      <c r="S727" s="1420"/>
      <c r="T727" s="1418">
        <f t="shared" ref="T727:T728" si="38">$Q$840</f>
        <v>74.25</v>
      </c>
      <c r="U727" s="1419"/>
      <c r="V727" s="1419"/>
      <c r="W727" s="1420"/>
      <c r="X727" s="1421">
        <f t="shared" si="10"/>
        <v>1206</v>
      </c>
      <c r="Y727" s="1417"/>
      <c r="Z727" s="1417"/>
      <c r="AA727" s="1417"/>
      <c r="AB727" s="1422"/>
      <c r="AC727" s="1423">
        <v>0.5</v>
      </c>
      <c r="AD727" s="1424"/>
      <c r="AE727" s="1424"/>
      <c r="AF727" s="1424"/>
      <c r="AG727" s="1425"/>
      <c r="AH727" s="1441">
        <f t="shared" ref="AH727:AH760" si="39">IF($AC727&gt;0,($X727/$AZ727), "")</f>
        <v>0.5</v>
      </c>
      <c r="AI727" s="1442"/>
      <c r="AJ727" s="1443"/>
      <c r="AK727" s="1371" t="s">
        <v>591</v>
      </c>
      <c r="AL727" s="1372"/>
      <c r="AM727" s="1372"/>
      <c r="AN727" s="1372"/>
      <c r="AO727" s="1373"/>
      <c r="AP727" s="3"/>
      <c r="AQ727" s="3"/>
      <c r="AR727" s="3"/>
      <c r="AS727" s="3"/>
      <c r="AZ727" s="118">
        <f t="shared" si="11"/>
        <v>2412</v>
      </c>
      <c r="BA727" s="3"/>
      <c r="BB727" s="3"/>
      <c r="BC727" s="3"/>
      <c r="BD727" s="3"/>
      <c r="BE727" s="204"/>
      <c r="BF727" s="294">
        <f t="shared" si="12"/>
        <v>12</v>
      </c>
      <c r="BG727" s="297">
        <f t="shared" si="13"/>
        <v>3.4883720930232558E-2</v>
      </c>
      <c r="BH727" s="298">
        <f t="shared" si="14"/>
        <v>1.7441860465116279E-2</v>
      </c>
      <c r="BI727" s="3"/>
      <c r="BJ727" s="3"/>
      <c r="BK727" s="3"/>
      <c r="BL727" s="3"/>
      <c r="BM727" s="3"/>
      <c r="BN727" s="3"/>
      <c r="BS727" s="294">
        <f t="shared" si="15"/>
        <v>12</v>
      </c>
      <c r="BT727" s="297">
        <f t="shared" si="16"/>
        <v>3.4883720930232558E-2</v>
      </c>
      <c r="BU727" s="298">
        <f t="shared" si="17"/>
        <v>1.7441860465116279E-2</v>
      </c>
      <c r="CC727" s="3"/>
      <c r="CD727" s="3"/>
      <c r="CE727" s="3"/>
      <c r="CF727" s="3"/>
      <c r="CG727" s="1542">
        <f t="shared" ref="CG727:CG760" si="40">IF(AND(AC727&lt;=0.5,AC727&gt;=0.36),1,0)</f>
        <v>1</v>
      </c>
      <c r="CH727" s="1543"/>
      <c r="CI727" s="1544">
        <f t="shared" ref="CI727:CI760" si="41">IF(CG727=1,G727,0)</f>
        <v>12</v>
      </c>
      <c r="CJ727" s="1545"/>
      <c r="CK727" s="1542">
        <f t="shared" si="18"/>
        <v>0</v>
      </c>
      <c r="CL727" s="1543"/>
      <c r="CM727" s="1544">
        <f t="shared" si="19"/>
        <v>0</v>
      </c>
      <c r="CN727" s="1545"/>
      <c r="CO727" s="3"/>
      <c r="CP727" s="1546">
        <f t="shared" si="20"/>
        <v>0</v>
      </c>
      <c r="CQ727" s="1547"/>
      <c r="CR727" s="1547"/>
      <c r="CS727" s="1547"/>
      <c r="CT727" s="1548"/>
      <c r="CU727" s="1540">
        <f t="shared" si="21"/>
        <v>12</v>
      </c>
      <c r="CV727" s="1540"/>
      <c r="CW727" s="1540"/>
      <c r="CX727" s="1540"/>
      <c r="CY727" s="1540"/>
      <c r="CZ727" s="1540">
        <f t="shared" si="22"/>
        <v>0</v>
      </c>
      <c r="DA727" s="1540"/>
      <c r="DB727" s="1540"/>
      <c r="DC727" s="1540"/>
      <c r="DD727" s="1540"/>
      <c r="DE727" s="1540">
        <f t="shared" si="23"/>
        <v>0</v>
      </c>
      <c r="DF727" s="1540"/>
      <c r="DG727" s="1540"/>
      <c r="DH727" s="1540"/>
      <c r="DI727" s="1540"/>
      <c r="DJ727" s="1540">
        <f t="shared" si="24"/>
        <v>0</v>
      </c>
      <c r="DK727" s="1540"/>
      <c r="DL727" s="1540"/>
      <c r="DM727" s="1540"/>
      <c r="DN727" s="1540"/>
      <c r="DO727" s="1540">
        <f t="shared" si="25"/>
        <v>0</v>
      </c>
      <c r="DP727" s="1540"/>
      <c r="DQ727" s="1540"/>
      <c r="DR727" s="1540"/>
      <c r="DS727" s="1540"/>
      <c r="DT727" s="6"/>
      <c r="DU727" s="1538">
        <f t="shared" si="26"/>
        <v>0</v>
      </c>
      <c r="DV727" s="1538"/>
      <c r="DW727" s="1538"/>
      <c r="DX727" s="1538"/>
      <c r="DY727" s="1538"/>
      <c r="DZ727" s="1538">
        <f t="shared" si="27"/>
        <v>0</v>
      </c>
      <c r="EA727" s="1538"/>
      <c r="EB727" s="1538"/>
      <c r="EC727" s="1538"/>
      <c r="ED727" s="1538"/>
      <c r="EE727" s="1538">
        <f t="shared" si="28"/>
        <v>0</v>
      </c>
      <c r="EF727" s="1538"/>
      <c r="EG727" s="1538"/>
      <c r="EH727" s="1538"/>
      <c r="EI727" s="1538"/>
      <c r="EJ727" s="1538">
        <f t="shared" si="29"/>
        <v>0</v>
      </c>
      <c r="EK727" s="1538"/>
      <c r="EL727" s="1538"/>
      <c r="EM727" s="1538"/>
      <c r="EN727" s="1538"/>
      <c r="EO727" s="1538">
        <f t="shared" si="30"/>
        <v>0</v>
      </c>
      <c r="EP727" s="1538"/>
      <c r="EQ727" s="1538"/>
      <c r="ER727" s="1538"/>
      <c r="ES727" s="1538"/>
      <c r="ET727" s="1538">
        <f t="shared" si="31"/>
        <v>0</v>
      </c>
      <c r="EU727" s="1538"/>
      <c r="EV727" s="1538"/>
      <c r="EW727" s="1538"/>
      <c r="EX727" s="1538"/>
      <c r="EY727" s="4"/>
      <c r="EZ727" s="1542" t="str">
        <f t="shared" si="32"/>
        <v/>
      </c>
      <c r="FA727" s="1549"/>
      <c r="FB727" s="1549"/>
      <c r="FC727" s="1549"/>
      <c r="FD727" s="1543"/>
      <c r="FE727" s="1542">
        <f t="shared" si="33"/>
        <v>1131.75</v>
      </c>
      <c r="FF727" s="1549"/>
      <c r="FG727" s="1549"/>
      <c r="FH727" s="1549"/>
      <c r="FI727" s="1543"/>
      <c r="FJ727" s="1542" t="str">
        <f t="shared" si="34"/>
        <v/>
      </c>
      <c r="FK727" s="1549"/>
      <c r="FL727" s="1549"/>
      <c r="FM727" s="1549"/>
      <c r="FN727" s="1543"/>
      <c r="FO727" s="1542" t="str">
        <f t="shared" si="35"/>
        <v/>
      </c>
      <c r="FP727" s="1549"/>
      <c r="FQ727" s="1549"/>
      <c r="FR727" s="1549"/>
      <c r="FS727" s="1543"/>
      <c r="FT727" s="1542" t="str">
        <f t="shared" si="36"/>
        <v/>
      </c>
      <c r="FU727" s="1549"/>
      <c r="FV727" s="1549"/>
      <c r="FW727" s="1549"/>
      <c r="FX727" s="1543"/>
      <c r="FY727" s="1542" t="str">
        <f t="shared" si="37"/>
        <v/>
      </c>
      <c r="FZ727" s="1549"/>
      <c r="GA727" s="1549"/>
      <c r="GB727" s="1549"/>
      <c r="GC727" s="1543"/>
    </row>
    <row r="728" spans="1:185" ht="12.95" customHeight="1">
      <c r="A728" s="4"/>
      <c r="B728" s="1371" t="s">
        <v>325</v>
      </c>
      <c r="C728" s="1372"/>
      <c r="D728" s="1372"/>
      <c r="E728" s="1372"/>
      <c r="F728" s="1373"/>
      <c r="G728" s="1365">
        <v>86</v>
      </c>
      <c r="H728" s="1366"/>
      <c r="I728" s="1366"/>
      <c r="J728" s="1367"/>
      <c r="K728" s="1368">
        <v>501</v>
      </c>
      <c r="L728" s="1369"/>
      <c r="M728" s="1369"/>
      <c r="N728" s="1370"/>
      <c r="O728" s="1418">
        <f>1399-T728</f>
        <v>1324.75</v>
      </c>
      <c r="P728" s="1419"/>
      <c r="Q728" s="1419"/>
      <c r="R728" s="1419"/>
      <c r="S728" s="1420"/>
      <c r="T728" s="1418">
        <f t="shared" si="38"/>
        <v>74.25</v>
      </c>
      <c r="U728" s="1419"/>
      <c r="V728" s="1419"/>
      <c r="W728" s="1420"/>
      <c r="X728" s="1421">
        <f t="shared" si="10"/>
        <v>1399</v>
      </c>
      <c r="Y728" s="1417"/>
      <c r="Z728" s="1417"/>
      <c r="AA728" s="1417"/>
      <c r="AB728" s="1422"/>
      <c r="AC728" s="1423">
        <v>0.6</v>
      </c>
      <c r="AD728" s="1424"/>
      <c r="AE728" s="1424"/>
      <c r="AF728" s="1424"/>
      <c r="AG728" s="1425"/>
      <c r="AH728" s="1441">
        <f t="shared" si="39"/>
        <v>0.58001658374792708</v>
      </c>
      <c r="AI728" s="1442"/>
      <c r="AJ728" s="1443"/>
      <c r="AK728" s="1371" t="s">
        <v>591</v>
      </c>
      <c r="AL728" s="1372"/>
      <c r="AM728" s="1372"/>
      <c r="AN728" s="1372"/>
      <c r="AO728" s="1373"/>
      <c r="AP728" s="3"/>
      <c r="AQ728" s="3"/>
      <c r="AR728" s="3"/>
      <c r="AS728" s="3"/>
      <c r="AZ728" s="118">
        <f t="shared" si="11"/>
        <v>2412</v>
      </c>
      <c r="BA728" s="3"/>
      <c r="BB728" s="3"/>
      <c r="BC728" s="3"/>
      <c r="BD728" s="3"/>
      <c r="BE728" s="204"/>
      <c r="BF728" s="294">
        <f t="shared" si="12"/>
        <v>86</v>
      </c>
      <c r="BG728" s="297">
        <f t="shared" si="13"/>
        <v>0.25</v>
      </c>
      <c r="BH728" s="298">
        <f t="shared" si="14"/>
        <v>0.15</v>
      </c>
      <c r="BI728" s="3"/>
      <c r="BJ728" s="3"/>
      <c r="BK728" s="3"/>
      <c r="BL728" s="3"/>
      <c r="BM728" s="3"/>
      <c r="BN728" s="3"/>
      <c r="BS728" s="294">
        <f t="shared" si="15"/>
        <v>86</v>
      </c>
      <c r="BT728" s="297">
        <f t="shared" si="16"/>
        <v>0.25</v>
      </c>
      <c r="BU728" s="298">
        <f t="shared" si="17"/>
        <v>0.14500414593698177</v>
      </c>
      <c r="CC728" s="3"/>
      <c r="CD728" s="3"/>
      <c r="CE728" s="3"/>
      <c r="CF728" s="3"/>
      <c r="CG728" s="1542">
        <f t="shared" si="40"/>
        <v>0</v>
      </c>
      <c r="CH728" s="1543"/>
      <c r="CI728" s="1544">
        <f t="shared" si="41"/>
        <v>0</v>
      </c>
      <c r="CJ728" s="1545"/>
      <c r="CK728" s="1542">
        <f t="shared" si="18"/>
        <v>0</v>
      </c>
      <c r="CL728" s="1543"/>
      <c r="CM728" s="1544">
        <f t="shared" si="19"/>
        <v>0</v>
      </c>
      <c r="CN728" s="1545"/>
      <c r="CO728" s="3"/>
      <c r="CP728" s="1546">
        <f t="shared" si="20"/>
        <v>0</v>
      </c>
      <c r="CQ728" s="1547"/>
      <c r="CR728" s="1547"/>
      <c r="CS728" s="1547"/>
      <c r="CT728" s="1548"/>
      <c r="CU728" s="1540">
        <f t="shared" si="21"/>
        <v>86</v>
      </c>
      <c r="CV728" s="1540"/>
      <c r="CW728" s="1540"/>
      <c r="CX728" s="1540"/>
      <c r="CY728" s="1540"/>
      <c r="CZ728" s="1540">
        <f t="shared" si="22"/>
        <v>0</v>
      </c>
      <c r="DA728" s="1540"/>
      <c r="DB728" s="1540"/>
      <c r="DC728" s="1540"/>
      <c r="DD728" s="1540"/>
      <c r="DE728" s="1540">
        <f t="shared" si="23"/>
        <v>0</v>
      </c>
      <c r="DF728" s="1540"/>
      <c r="DG728" s="1540"/>
      <c r="DH728" s="1540"/>
      <c r="DI728" s="1540"/>
      <c r="DJ728" s="1540">
        <f t="shared" si="24"/>
        <v>0</v>
      </c>
      <c r="DK728" s="1540"/>
      <c r="DL728" s="1540"/>
      <c r="DM728" s="1540"/>
      <c r="DN728" s="1540"/>
      <c r="DO728" s="1540">
        <f t="shared" si="25"/>
        <v>0</v>
      </c>
      <c r="DP728" s="1540"/>
      <c r="DQ728" s="1540"/>
      <c r="DR728" s="1540"/>
      <c r="DS728" s="1540"/>
      <c r="DT728" s="6"/>
      <c r="DU728" s="1538">
        <f t="shared" si="26"/>
        <v>0</v>
      </c>
      <c r="DV728" s="1538"/>
      <c r="DW728" s="1538"/>
      <c r="DX728" s="1538"/>
      <c r="DY728" s="1538"/>
      <c r="DZ728" s="1538">
        <f t="shared" si="27"/>
        <v>0</v>
      </c>
      <c r="EA728" s="1538"/>
      <c r="EB728" s="1538"/>
      <c r="EC728" s="1538"/>
      <c r="ED728" s="1538"/>
      <c r="EE728" s="1538">
        <f t="shared" si="28"/>
        <v>0</v>
      </c>
      <c r="EF728" s="1538"/>
      <c r="EG728" s="1538"/>
      <c r="EH728" s="1538"/>
      <c r="EI728" s="1538"/>
      <c r="EJ728" s="1538">
        <f t="shared" si="29"/>
        <v>0</v>
      </c>
      <c r="EK728" s="1538"/>
      <c r="EL728" s="1538"/>
      <c r="EM728" s="1538"/>
      <c r="EN728" s="1538"/>
      <c r="EO728" s="1538">
        <f t="shared" si="30"/>
        <v>0</v>
      </c>
      <c r="EP728" s="1538"/>
      <c r="EQ728" s="1538"/>
      <c r="ER728" s="1538"/>
      <c r="ES728" s="1538"/>
      <c r="ET728" s="1538">
        <f t="shared" si="31"/>
        <v>0</v>
      </c>
      <c r="EU728" s="1538"/>
      <c r="EV728" s="1538"/>
      <c r="EW728" s="1538"/>
      <c r="EX728" s="1538"/>
      <c r="EZ728" s="1542" t="str">
        <f t="shared" si="32"/>
        <v/>
      </c>
      <c r="FA728" s="1549"/>
      <c r="FB728" s="1549"/>
      <c r="FC728" s="1549"/>
      <c r="FD728" s="1543"/>
      <c r="FE728" s="1542">
        <f t="shared" si="33"/>
        <v>1324.75</v>
      </c>
      <c r="FF728" s="1549"/>
      <c r="FG728" s="1549"/>
      <c r="FH728" s="1549"/>
      <c r="FI728" s="1543"/>
      <c r="FJ728" s="1542" t="str">
        <f t="shared" si="34"/>
        <v/>
      </c>
      <c r="FK728" s="1549"/>
      <c r="FL728" s="1549"/>
      <c r="FM728" s="1549"/>
      <c r="FN728" s="1543"/>
      <c r="FO728" s="1542" t="str">
        <f t="shared" si="35"/>
        <v/>
      </c>
      <c r="FP728" s="1549"/>
      <c r="FQ728" s="1549"/>
      <c r="FR728" s="1549"/>
      <c r="FS728" s="1543"/>
      <c r="FT728" s="1542" t="str">
        <f t="shared" si="36"/>
        <v/>
      </c>
      <c r="FU728" s="1549"/>
      <c r="FV728" s="1549"/>
      <c r="FW728" s="1549"/>
      <c r="FX728" s="1543"/>
      <c r="FY728" s="1542" t="str">
        <f t="shared" si="37"/>
        <v/>
      </c>
      <c r="FZ728" s="1549"/>
      <c r="GA728" s="1549"/>
      <c r="GB728" s="1549"/>
      <c r="GC728" s="1543"/>
    </row>
    <row r="729" spans="1:185" ht="12.95" customHeight="1">
      <c r="B729" s="1371" t="s">
        <v>163</v>
      </c>
      <c r="C729" s="1372"/>
      <c r="D729" s="1372"/>
      <c r="E729" s="1372"/>
      <c r="F729" s="1373"/>
      <c r="G729" s="1365">
        <v>45</v>
      </c>
      <c r="H729" s="1366"/>
      <c r="I729" s="1366"/>
      <c r="J729" s="1367"/>
      <c r="K729" s="1368">
        <v>708</v>
      </c>
      <c r="L729" s="1369"/>
      <c r="M729" s="1369"/>
      <c r="N729" s="1370"/>
      <c r="O729" s="1418">
        <f>868-83</f>
        <v>785</v>
      </c>
      <c r="P729" s="1419"/>
      <c r="Q729" s="1419"/>
      <c r="R729" s="1419"/>
      <c r="S729" s="1420"/>
      <c r="T729" s="1418">
        <f>$U$840</f>
        <v>82.69</v>
      </c>
      <c r="U729" s="1419"/>
      <c r="V729" s="1419"/>
      <c r="W729" s="1420"/>
      <c r="X729" s="1421">
        <f t="shared" si="10"/>
        <v>867.69</v>
      </c>
      <c r="Y729" s="1417"/>
      <c r="Z729" s="1417"/>
      <c r="AA729" s="1417"/>
      <c r="AB729" s="1422"/>
      <c r="AC729" s="1423">
        <v>0.3</v>
      </c>
      <c r="AD729" s="1424"/>
      <c r="AE729" s="1424"/>
      <c r="AF729" s="1424"/>
      <c r="AG729" s="1425"/>
      <c r="AH729" s="1441">
        <f t="shared" si="39"/>
        <v>0.29982377332411886</v>
      </c>
      <c r="AI729" s="1442"/>
      <c r="AJ729" s="1443"/>
      <c r="AK729" s="1371" t="s">
        <v>591</v>
      </c>
      <c r="AL729" s="1372"/>
      <c r="AM729" s="1372"/>
      <c r="AN729" s="1372"/>
      <c r="AO729" s="1373"/>
      <c r="AP729" s="3"/>
      <c r="AQ729" s="3"/>
      <c r="AR729" s="3"/>
      <c r="AS729" s="3"/>
      <c r="AY729" s="116"/>
      <c r="AZ729" s="118">
        <f t="shared" si="11"/>
        <v>2894</v>
      </c>
      <c r="BA729" s="3"/>
      <c r="BB729" s="3"/>
      <c r="BC729" s="3"/>
      <c r="BD729" s="3"/>
      <c r="BE729" s="204"/>
      <c r="BF729" s="294">
        <f t="shared" si="12"/>
        <v>45</v>
      </c>
      <c r="BG729" s="297">
        <f t="shared" si="13"/>
        <v>0.1308139534883721</v>
      </c>
      <c r="BH729" s="298">
        <f t="shared" si="14"/>
        <v>3.9244186046511628E-2</v>
      </c>
      <c r="BI729" s="3"/>
      <c r="BJ729" s="3"/>
      <c r="BK729" s="3"/>
      <c r="BL729" s="3"/>
      <c r="BM729" s="3"/>
      <c r="BN729" s="3"/>
      <c r="BS729" s="294">
        <f t="shared" si="15"/>
        <v>45</v>
      </c>
      <c r="BT729" s="297">
        <f t="shared" si="16"/>
        <v>0.1308139534883721</v>
      </c>
      <c r="BU729" s="298">
        <f t="shared" si="17"/>
        <v>3.9221133138329506E-2</v>
      </c>
      <c r="CC729" s="3"/>
      <c r="CD729" s="3"/>
      <c r="CE729" s="3"/>
      <c r="CF729" s="3"/>
      <c r="CG729" s="1542">
        <f t="shared" si="40"/>
        <v>0</v>
      </c>
      <c r="CH729" s="1543"/>
      <c r="CI729" s="1544">
        <f t="shared" si="41"/>
        <v>0</v>
      </c>
      <c r="CJ729" s="1545"/>
      <c r="CK729" s="1542">
        <f t="shared" si="18"/>
        <v>1</v>
      </c>
      <c r="CL729" s="1543"/>
      <c r="CM729" s="1544">
        <f t="shared" si="19"/>
        <v>45</v>
      </c>
      <c r="CN729" s="1545"/>
      <c r="CO729" s="3"/>
      <c r="CP729" s="1546">
        <f t="shared" si="20"/>
        <v>0</v>
      </c>
      <c r="CQ729" s="1547"/>
      <c r="CR729" s="1547"/>
      <c r="CS729" s="1547"/>
      <c r="CT729" s="1548"/>
      <c r="CU729" s="1540">
        <f t="shared" si="21"/>
        <v>0</v>
      </c>
      <c r="CV729" s="1540"/>
      <c r="CW729" s="1540"/>
      <c r="CX729" s="1540"/>
      <c r="CY729" s="1540"/>
      <c r="CZ729" s="1540">
        <f t="shared" si="22"/>
        <v>45</v>
      </c>
      <c r="DA729" s="1540"/>
      <c r="DB729" s="1540"/>
      <c r="DC729" s="1540"/>
      <c r="DD729" s="1540"/>
      <c r="DE729" s="1540">
        <f t="shared" si="23"/>
        <v>0</v>
      </c>
      <c r="DF729" s="1540"/>
      <c r="DG729" s="1540"/>
      <c r="DH729" s="1540"/>
      <c r="DI729" s="1540"/>
      <c r="DJ729" s="1540">
        <f t="shared" si="24"/>
        <v>0</v>
      </c>
      <c r="DK729" s="1540"/>
      <c r="DL729" s="1540"/>
      <c r="DM729" s="1540"/>
      <c r="DN729" s="1540"/>
      <c r="DO729" s="1540">
        <f t="shared" si="25"/>
        <v>0</v>
      </c>
      <c r="DP729" s="1540"/>
      <c r="DQ729" s="1540"/>
      <c r="DR729" s="1540"/>
      <c r="DS729" s="1540"/>
      <c r="DT729" s="6"/>
      <c r="DU729" s="1538">
        <f t="shared" si="26"/>
        <v>0</v>
      </c>
      <c r="DV729" s="1538"/>
      <c r="DW729" s="1538"/>
      <c r="DX729" s="1538"/>
      <c r="DY729" s="1538"/>
      <c r="DZ729" s="1538">
        <f t="shared" si="27"/>
        <v>0</v>
      </c>
      <c r="EA729" s="1538"/>
      <c r="EB729" s="1538"/>
      <c r="EC729" s="1538"/>
      <c r="ED729" s="1538"/>
      <c r="EE729" s="1538">
        <f t="shared" si="28"/>
        <v>45</v>
      </c>
      <c r="EF729" s="1538"/>
      <c r="EG729" s="1538"/>
      <c r="EH729" s="1538"/>
      <c r="EI729" s="1538"/>
      <c r="EJ729" s="1538">
        <f t="shared" si="29"/>
        <v>0</v>
      </c>
      <c r="EK729" s="1538"/>
      <c r="EL729" s="1538"/>
      <c r="EM729" s="1538"/>
      <c r="EN729" s="1538"/>
      <c r="EO729" s="1538">
        <f t="shared" si="30"/>
        <v>0</v>
      </c>
      <c r="EP729" s="1538"/>
      <c r="EQ729" s="1538"/>
      <c r="ER729" s="1538"/>
      <c r="ES729" s="1538"/>
      <c r="ET729" s="1538">
        <f t="shared" si="31"/>
        <v>0</v>
      </c>
      <c r="EU729" s="1538"/>
      <c r="EV729" s="1538"/>
      <c r="EW729" s="1538"/>
      <c r="EX729" s="1538"/>
      <c r="EZ729" s="1542" t="str">
        <f t="shared" si="32"/>
        <v/>
      </c>
      <c r="FA729" s="1549"/>
      <c r="FB729" s="1549"/>
      <c r="FC729" s="1549"/>
      <c r="FD729" s="1543"/>
      <c r="FE729" s="1542" t="str">
        <f t="shared" si="33"/>
        <v/>
      </c>
      <c r="FF729" s="1549"/>
      <c r="FG729" s="1549"/>
      <c r="FH729" s="1549"/>
      <c r="FI729" s="1543"/>
      <c r="FJ729" s="1542">
        <f t="shared" si="34"/>
        <v>785</v>
      </c>
      <c r="FK729" s="1549"/>
      <c r="FL729" s="1549"/>
      <c r="FM729" s="1549"/>
      <c r="FN729" s="1543"/>
      <c r="FO729" s="1542" t="str">
        <f t="shared" si="35"/>
        <v/>
      </c>
      <c r="FP729" s="1549"/>
      <c r="FQ729" s="1549"/>
      <c r="FR729" s="1549"/>
      <c r="FS729" s="1543"/>
      <c r="FT729" s="1542" t="str">
        <f t="shared" si="36"/>
        <v/>
      </c>
      <c r="FU729" s="1549"/>
      <c r="FV729" s="1549"/>
      <c r="FW729" s="1549"/>
      <c r="FX729" s="1543"/>
      <c r="FY729" s="1542" t="str">
        <f t="shared" si="37"/>
        <v/>
      </c>
      <c r="FZ729" s="1549"/>
      <c r="GA729" s="1549"/>
      <c r="GB729" s="1549"/>
      <c r="GC729" s="1543"/>
    </row>
    <row r="730" spans="1:185" ht="12.95" customHeight="1">
      <c r="B730" s="1371" t="s">
        <v>163</v>
      </c>
      <c r="C730" s="1372"/>
      <c r="D730" s="1372"/>
      <c r="E730" s="1372"/>
      <c r="F730" s="1373"/>
      <c r="G730" s="1365">
        <v>12</v>
      </c>
      <c r="H730" s="1366"/>
      <c r="I730" s="1366"/>
      <c r="J730" s="1367"/>
      <c r="K730" s="1368">
        <v>708</v>
      </c>
      <c r="L730" s="1369"/>
      <c r="M730" s="1369"/>
      <c r="N730" s="1370"/>
      <c r="O730" s="1418">
        <f>1447-T730</f>
        <v>1364.31</v>
      </c>
      <c r="P730" s="1419"/>
      <c r="Q730" s="1419"/>
      <c r="R730" s="1419"/>
      <c r="S730" s="1420"/>
      <c r="T730" s="1418">
        <f t="shared" ref="T730:T731" si="42">$U$840</f>
        <v>82.69</v>
      </c>
      <c r="U730" s="1419"/>
      <c r="V730" s="1419"/>
      <c r="W730" s="1420"/>
      <c r="X730" s="1421">
        <f t="shared" si="10"/>
        <v>1447</v>
      </c>
      <c r="Y730" s="1417"/>
      <c r="Z730" s="1417"/>
      <c r="AA730" s="1417"/>
      <c r="AB730" s="1422"/>
      <c r="AC730" s="1423">
        <v>0.5</v>
      </c>
      <c r="AD730" s="1424"/>
      <c r="AE730" s="1424"/>
      <c r="AF730" s="1424"/>
      <c r="AG730" s="1425"/>
      <c r="AH730" s="1441">
        <f t="shared" si="39"/>
        <v>0.5</v>
      </c>
      <c r="AI730" s="1442"/>
      <c r="AJ730" s="1443"/>
      <c r="AK730" s="1371" t="s">
        <v>591</v>
      </c>
      <c r="AL730" s="1372"/>
      <c r="AM730" s="1372"/>
      <c r="AN730" s="1372"/>
      <c r="AO730" s="1373"/>
      <c r="AP730" s="3"/>
      <c r="AQ730" s="3"/>
      <c r="AR730" s="3"/>
      <c r="AS730" s="3"/>
      <c r="AY730" s="116"/>
      <c r="AZ730" s="118">
        <f t="shared" si="11"/>
        <v>2894</v>
      </c>
      <c r="BA730" s="3"/>
      <c r="BB730" s="3"/>
      <c r="BC730" s="3"/>
      <c r="BD730" s="3"/>
      <c r="BE730" s="204"/>
      <c r="BF730" s="294">
        <f t="shared" si="12"/>
        <v>12</v>
      </c>
      <c r="BG730" s="297">
        <f t="shared" si="13"/>
        <v>3.4883720930232558E-2</v>
      </c>
      <c r="BH730" s="298">
        <f t="shared" si="14"/>
        <v>1.7441860465116279E-2</v>
      </c>
      <c r="BI730" s="3"/>
      <c r="BJ730" s="3"/>
      <c r="BK730" s="3"/>
      <c r="BL730" s="3"/>
      <c r="BM730" s="3"/>
      <c r="BN730" s="3"/>
      <c r="BS730" s="294">
        <f t="shared" si="15"/>
        <v>12</v>
      </c>
      <c r="BT730" s="297">
        <f t="shared" si="16"/>
        <v>3.4883720930232558E-2</v>
      </c>
      <c r="BU730" s="298">
        <f t="shared" si="17"/>
        <v>1.7441860465116279E-2</v>
      </c>
      <c r="CC730" s="3"/>
      <c r="CD730" s="3"/>
      <c r="CE730" s="3"/>
      <c r="CF730" s="3"/>
      <c r="CG730" s="1542">
        <f t="shared" si="40"/>
        <v>1</v>
      </c>
      <c r="CH730" s="1543"/>
      <c r="CI730" s="1544">
        <f t="shared" si="41"/>
        <v>12</v>
      </c>
      <c r="CJ730" s="1545"/>
      <c r="CK730" s="1542">
        <f t="shared" si="18"/>
        <v>0</v>
      </c>
      <c r="CL730" s="1543"/>
      <c r="CM730" s="1544">
        <f t="shared" si="19"/>
        <v>0</v>
      </c>
      <c r="CN730" s="1545"/>
      <c r="CO730" s="3"/>
      <c r="CP730" s="1546">
        <f t="shared" si="20"/>
        <v>0</v>
      </c>
      <c r="CQ730" s="1547"/>
      <c r="CR730" s="1547"/>
      <c r="CS730" s="1547"/>
      <c r="CT730" s="1548"/>
      <c r="CU730" s="1540">
        <f t="shared" si="21"/>
        <v>0</v>
      </c>
      <c r="CV730" s="1540"/>
      <c r="CW730" s="1540"/>
      <c r="CX730" s="1540"/>
      <c r="CY730" s="1540"/>
      <c r="CZ730" s="1540">
        <f t="shared" si="22"/>
        <v>12</v>
      </c>
      <c r="DA730" s="1540"/>
      <c r="DB730" s="1540"/>
      <c r="DC730" s="1540"/>
      <c r="DD730" s="1540"/>
      <c r="DE730" s="1540">
        <f t="shared" si="23"/>
        <v>0</v>
      </c>
      <c r="DF730" s="1540"/>
      <c r="DG730" s="1540"/>
      <c r="DH730" s="1540"/>
      <c r="DI730" s="1540"/>
      <c r="DJ730" s="1540">
        <f t="shared" si="24"/>
        <v>0</v>
      </c>
      <c r="DK730" s="1540"/>
      <c r="DL730" s="1540"/>
      <c r="DM730" s="1540"/>
      <c r="DN730" s="1540"/>
      <c r="DO730" s="1540">
        <f t="shared" si="25"/>
        <v>0</v>
      </c>
      <c r="DP730" s="1540"/>
      <c r="DQ730" s="1540"/>
      <c r="DR730" s="1540"/>
      <c r="DS730" s="1540"/>
      <c r="DT730" s="6"/>
      <c r="DU730" s="1538">
        <f t="shared" si="26"/>
        <v>0</v>
      </c>
      <c r="DV730" s="1538"/>
      <c r="DW730" s="1538"/>
      <c r="DX730" s="1538"/>
      <c r="DY730" s="1538"/>
      <c r="DZ730" s="1538">
        <f t="shared" si="27"/>
        <v>0</v>
      </c>
      <c r="EA730" s="1538"/>
      <c r="EB730" s="1538"/>
      <c r="EC730" s="1538"/>
      <c r="ED730" s="1538"/>
      <c r="EE730" s="1538">
        <f t="shared" si="28"/>
        <v>0</v>
      </c>
      <c r="EF730" s="1538"/>
      <c r="EG730" s="1538"/>
      <c r="EH730" s="1538"/>
      <c r="EI730" s="1538"/>
      <c r="EJ730" s="1538">
        <f t="shared" si="29"/>
        <v>0</v>
      </c>
      <c r="EK730" s="1538"/>
      <c r="EL730" s="1538"/>
      <c r="EM730" s="1538"/>
      <c r="EN730" s="1538"/>
      <c r="EO730" s="1538">
        <f t="shared" si="30"/>
        <v>0</v>
      </c>
      <c r="EP730" s="1538"/>
      <c r="EQ730" s="1538"/>
      <c r="ER730" s="1538"/>
      <c r="ES730" s="1538"/>
      <c r="ET730" s="1538">
        <f t="shared" si="31"/>
        <v>0</v>
      </c>
      <c r="EU730" s="1538"/>
      <c r="EV730" s="1538"/>
      <c r="EW730" s="1538"/>
      <c r="EX730" s="1538"/>
      <c r="EZ730" s="1542" t="str">
        <f t="shared" si="32"/>
        <v/>
      </c>
      <c r="FA730" s="1549"/>
      <c r="FB730" s="1549"/>
      <c r="FC730" s="1549"/>
      <c r="FD730" s="1543"/>
      <c r="FE730" s="1542" t="str">
        <f t="shared" si="33"/>
        <v/>
      </c>
      <c r="FF730" s="1549"/>
      <c r="FG730" s="1549"/>
      <c r="FH730" s="1549"/>
      <c r="FI730" s="1543"/>
      <c r="FJ730" s="1542">
        <f t="shared" si="34"/>
        <v>1364.31</v>
      </c>
      <c r="FK730" s="1549"/>
      <c r="FL730" s="1549"/>
      <c r="FM730" s="1549"/>
      <c r="FN730" s="1543"/>
      <c r="FO730" s="1542" t="str">
        <f t="shared" si="35"/>
        <v/>
      </c>
      <c r="FP730" s="1549"/>
      <c r="FQ730" s="1549"/>
      <c r="FR730" s="1549"/>
      <c r="FS730" s="1543"/>
      <c r="FT730" s="1542" t="str">
        <f t="shared" si="36"/>
        <v/>
      </c>
      <c r="FU730" s="1549"/>
      <c r="FV730" s="1549"/>
      <c r="FW730" s="1549"/>
      <c r="FX730" s="1543"/>
      <c r="FY730" s="1542" t="str">
        <f t="shared" si="37"/>
        <v/>
      </c>
      <c r="FZ730" s="1549"/>
      <c r="GA730" s="1549"/>
      <c r="GB730" s="1549"/>
      <c r="GC730" s="1543"/>
    </row>
    <row r="731" spans="1:185" ht="12.95" customHeight="1">
      <c r="B731" s="1371" t="s">
        <v>163</v>
      </c>
      <c r="C731" s="1372"/>
      <c r="D731" s="1372"/>
      <c r="E731" s="1372"/>
      <c r="F731" s="1373"/>
      <c r="G731" s="1365">
        <v>60</v>
      </c>
      <c r="H731" s="1366"/>
      <c r="I731" s="1366"/>
      <c r="J731" s="1367"/>
      <c r="K731" s="1368">
        <v>708</v>
      </c>
      <c r="L731" s="1369"/>
      <c r="M731" s="1369"/>
      <c r="N731" s="1370"/>
      <c r="O731" s="1418">
        <f>1713-T731</f>
        <v>1630.31</v>
      </c>
      <c r="P731" s="1419"/>
      <c r="Q731" s="1419"/>
      <c r="R731" s="1419"/>
      <c r="S731" s="1420"/>
      <c r="T731" s="1418">
        <f t="shared" si="42"/>
        <v>82.69</v>
      </c>
      <c r="U731" s="1419"/>
      <c r="V731" s="1419"/>
      <c r="W731" s="1420"/>
      <c r="X731" s="1421">
        <f t="shared" si="10"/>
        <v>1713</v>
      </c>
      <c r="Y731" s="1417"/>
      <c r="Z731" s="1417"/>
      <c r="AA731" s="1417"/>
      <c r="AB731" s="1422"/>
      <c r="AC731" s="1423">
        <v>0.6</v>
      </c>
      <c r="AD731" s="1424"/>
      <c r="AE731" s="1424"/>
      <c r="AF731" s="1424"/>
      <c r="AG731" s="1425"/>
      <c r="AH731" s="1441">
        <f t="shared" si="39"/>
        <v>0.59191430545957158</v>
      </c>
      <c r="AI731" s="1442"/>
      <c r="AJ731" s="1443"/>
      <c r="AK731" s="1371" t="s">
        <v>591</v>
      </c>
      <c r="AL731" s="1372"/>
      <c r="AM731" s="1372"/>
      <c r="AN731" s="1372"/>
      <c r="AO731" s="1373"/>
      <c r="AP731" s="3"/>
      <c r="AQ731" s="3"/>
      <c r="AR731" s="3"/>
      <c r="AS731" s="3"/>
      <c r="AY731" s="116"/>
      <c r="AZ731" s="118">
        <f t="shared" si="11"/>
        <v>2894</v>
      </c>
      <c r="BA731" s="3"/>
      <c r="BB731" s="3"/>
      <c r="BC731" s="3"/>
      <c r="BD731" s="3"/>
      <c r="BE731" s="204"/>
      <c r="BF731" s="294">
        <f t="shared" si="12"/>
        <v>60</v>
      </c>
      <c r="BG731" s="297">
        <f t="shared" si="13"/>
        <v>0.1744186046511628</v>
      </c>
      <c r="BH731" s="298">
        <f t="shared" si="14"/>
        <v>0.10465116279069768</v>
      </c>
      <c r="BI731" s="3"/>
      <c r="BJ731" s="3"/>
      <c r="BK731" s="3"/>
      <c r="BL731" s="3"/>
      <c r="BM731" s="3"/>
      <c r="BN731" s="3"/>
      <c r="BS731" s="294">
        <f t="shared" si="15"/>
        <v>60</v>
      </c>
      <c r="BT731" s="297">
        <f t="shared" si="16"/>
        <v>0.1744186046511628</v>
      </c>
      <c r="BU731" s="298">
        <f t="shared" si="17"/>
        <v>0.10324086723132063</v>
      </c>
      <c r="CC731" s="3"/>
      <c r="CD731" s="3"/>
      <c r="CE731" s="3"/>
      <c r="CF731" s="3"/>
      <c r="CG731" s="1542">
        <f t="shared" si="40"/>
        <v>0</v>
      </c>
      <c r="CH731" s="1543"/>
      <c r="CI731" s="1544">
        <f t="shared" si="41"/>
        <v>0</v>
      </c>
      <c r="CJ731" s="1545"/>
      <c r="CK731" s="1542">
        <f t="shared" si="18"/>
        <v>0</v>
      </c>
      <c r="CL731" s="1543"/>
      <c r="CM731" s="1544">
        <f t="shared" si="19"/>
        <v>0</v>
      </c>
      <c r="CN731" s="1545"/>
      <c r="CO731" s="3"/>
      <c r="CP731" s="1546">
        <f t="shared" si="20"/>
        <v>0</v>
      </c>
      <c r="CQ731" s="1547"/>
      <c r="CR731" s="1547"/>
      <c r="CS731" s="1547"/>
      <c r="CT731" s="1548"/>
      <c r="CU731" s="1540">
        <f t="shared" si="21"/>
        <v>0</v>
      </c>
      <c r="CV731" s="1540"/>
      <c r="CW731" s="1540"/>
      <c r="CX731" s="1540"/>
      <c r="CY731" s="1540"/>
      <c r="CZ731" s="1540">
        <f t="shared" si="22"/>
        <v>60</v>
      </c>
      <c r="DA731" s="1540"/>
      <c r="DB731" s="1540"/>
      <c r="DC731" s="1540"/>
      <c r="DD731" s="1540"/>
      <c r="DE731" s="1540">
        <f t="shared" si="23"/>
        <v>0</v>
      </c>
      <c r="DF731" s="1540"/>
      <c r="DG731" s="1540"/>
      <c r="DH731" s="1540"/>
      <c r="DI731" s="1540"/>
      <c r="DJ731" s="1540">
        <f t="shared" si="24"/>
        <v>0</v>
      </c>
      <c r="DK731" s="1540"/>
      <c r="DL731" s="1540"/>
      <c r="DM731" s="1540"/>
      <c r="DN731" s="1540"/>
      <c r="DO731" s="1540">
        <f t="shared" si="25"/>
        <v>0</v>
      </c>
      <c r="DP731" s="1540"/>
      <c r="DQ731" s="1540"/>
      <c r="DR731" s="1540"/>
      <c r="DS731" s="1540"/>
      <c r="DT731" s="6"/>
      <c r="DU731" s="1538">
        <f t="shared" si="26"/>
        <v>0</v>
      </c>
      <c r="DV731" s="1538"/>
      <c r="DW731" s="1538"/>
      <c r="DX731" s="1538"/>
      <c r="DY731" s="1538"/>
      <c r="DZ731" s="1538">
        <f t="shared" si="27"/>
        <v>0</v>
      </c>
      <c r="EA731" s="1538"/>
      <c r="EB731" s="1538"/>
      <c r="EC731" s="1538"/>
      <c r="ED731" s="1538"/>
      <c r="EE731" s="1538">
        <f t="shared" si="28"/>
        <v>0</v>
      </c>
      <c r="EF731" s="1538"/>
      <c r="EG731" s="1538"/>
      <c r="EH731" s="1538"/>
      <c r="EI731" s="1538"/>
      <c r="EJ731" s="1538">
        <f t="shared" si="29"/>
        <v>0</v>
      </c>
      <c r="EK731" s="1538"/>
      <c r="EL731" s="1538"/>
      <c r="EM731" s="1538"/>
      <c r="EN731" s="1538"/>
      <c r="EO731" s="1538">
        <f t="shared" si="30"/>
        <v>0</v>
      </c>
      <c r="EP731" s="1538"/>
      <c r="EQ731" s="1538"/>
      <c r="ER731" s="1538"/>
      <c r="ES731" s="1538"/>
      <c r="ET731" s="1538">
        <f t="shared" si="31"/>
        <v>0</v>
      </c>
      <c r="EU731" s="1538"/>
      <c r="EV731" s="1538"/>
      <c r="EW731" s="1538"/>
      <c r="EX731" s="1538"/>
      <c r="EZ731" s="1542" t="str">
        <f t="shared" si="32"/>
        <v/>
      </c>
      <c r="FA731" s="1549"/>
      <c r="FB731" s="1549"/>
      <c r="FC731" s="1549"/>
      <c r="FD731" s="1543"/>
      <c r="FE731" s="1542" t="str">
        <f t="shared" si="33"/>
        <v/>
      </c>
      <c r="FF731" s="1549"/>
      <c r="FG731" s="1549"/>
      <c r="FH731" s="1549"/>
      <c r="FI731" s="1543"/>
      <c r="FJ731" s="1542">
        <f t="shared" si="34"/>
        <v>1630.31</v>
      </c>
      <c r="FK731" s="1549"/>
      <c r="FL731" s="1549"/>
      <c r="FM731" s="1549"/>
      <c r="FN731" s="1543"/>
      <c r="FO731" s="1542" t="str">
        <f t="shared" si="35"/>
        <v/>
      </c>
      <c r="FP731" s="1549"/>
      <c r="FQ731" s="1549"/>
      <c r="FR731" s="1549"/>
      <c r="FS731" s="1543"/>
      <c r="FT731" s="1542" t="str">
        <f t="shared" si="36"/>
        <v/>
      </c>
      <c r="FU731" s="1549"/>
      <c r="FV731" s="1549"/>
      <c r="FW731" s="1549"/>
      <c r="FX731" s="1543"/>
      <c r="FY731" s="1542" t="str">
        <f t="shared" si="37"/>
        <v/>
      </c>
      <c r="FZ731" s="1549"/>
      <c r="GA731" s="1549"/>
      <c r="GB731" s="1549"/>
      <c r="GC731" s="1543"/>
    </row>
    <row r="732" spans="1:185" ht="12.95" customHeight="1">
      <c r="B732" s="1371" t="s">
        <v>164</v>
      </c>
      <c r="C732" s="1372"/>
      <c r="D732" s="1372"/>
      <c r="E732" s="1372"/>
      <c r="F732" s="1373"/>
      <c r="G732" s="1365">
        <v>10</v>
      </c>
      <c r="H732" s="1366"/>
      <c r="I732" s="1366"/>
      <c r="J732" s="1367"/>
      <c r="K732" s="1368">
        <v>974</v>
      </c>
      <c r="L732" s="1369"/>
      <c r="M732" s="1369"/>
      <c r="N732" s="1370"/>
      <c r="O732" s="1418">
        <f>1003-T732</f>
        <v>907.25</v>
      </c>
      <c r="P732" s="1419"/>
      <c r="Q732" s="1419"/>
      <c r="R732" s="1419"/>
      <c r="S732" s="1420"/>
      <c r="T732" s="1418">
        <f>$Y$840</f>
        <v>95.75</v>
      </c>
      <c r="U732" s="1419"/>
      <c r="V732" s="1419"/>
      <c r="W732" s="1420"/>
      <c r="X732" s="1421">
        <f t="shared" si="10"/>
        <v>1003</v>
      </c>
      <c r="Y732" s="1417"/>
      <c r="Z732" s="1417"/>
      <c r="AA732" s="1417"/>
      <c r="AB732" s="1422"/>
      <c r="AC732" s="1423">
        <v>0.3</v>
      </c>
      <c r="AD732" s="1424"/>
      <c r="AE732" s="1424"/>
      <c r="AF732" s="1424"/>
      <c r="AG732" s="1425"/>
      <c r="AH732" s="1441">
        <f t="shared" si="39"/>
        <v>0.30011968880909634</v>
      </c>
      <c r="AI732" s="1442"/>
      <c r="AJ732" s="1443"/>
      <c r="AK732" s="1371" t="s">
        <v>591</v>
      </c>
      <c r="AL732" s="1372"/>
      <c r="AM732" s="1372"/>
      <c r="AN732" s="1372"/>
      <c r="AO732" s="1373"/>
      <c r="AP732" s="3"/>
      <c r="AQ732" s="3"/>
      <c r="AR732" s="3"/>
      <c r="AS732" s="3"/>
      <c r="AY732" s="116"/>
      <c r="AZ732" s="118">
        <f t="shared" si="11"/>
        <v>3342</v>
      </c>
      <c r="BA732" s="3"/>
      <c r="BB732" s="3"/>
      <c r="BC732" s="3"/>
      <c r="BD732" s="3"/>
      <c r="BE732" s="204"/>
      <c r="BF732" s="294">
        <f t="shared" si="12"/>
        <v>10</v>
      </c>
      <c r="BG732" s="297">
        <f t="shared" si="13"/>
        <v>2.9069767441860465E-2</v>
      </c>
      <c r="BH732" s="298">
        <f t="shared" si="14"/>
        <v>8.7209302325581394E-3</v>
      </c>
      <c r="BI732" s="3"/>
      <c r="BJ732" s="3"/>
      <c r="BK732" s="3"/>
      <c r="BL732" s="3"/>
      <c r="BM732" s="3"/>
      <c r="BN732" s="3"/>
      <c r="BS732" s="294">
        <f t="shared" si="15"/>
        <v>10</v>
      </c>
      <c r="BT732" s="297">
        <f t="shared" si="16"/>
        <v>2.9069767441860465E-2</v>
      </c>
      <c r="BU732" s="298">
        <f t="shared" si="17"/>
        <v>8.7244095584039626E-3</v>
      </c>
      <c r="CC732" s="3"/>
      <c r="CE732" s="3"/>
      <c r="CF732" s="3"/>
      <c r="CG732" s="1542">
        <f t="shared" si="40"/>
        <v>0</v>
      </c>
      <c r="CH732" s="1543"/>
      <c r="CI732" s="1544">
        <f t="shared" si="41"/>
        <v>0</v>
      </c>
      <c r="CJ732" s="1545"/>
      <c r="CK732" s="1542">
        <f t="shared" si="18"/>
        <v>1</v>
      </c>
      <c r="CL732" s="1543"/>
      <c r="CM732" s="1544">
        <f t="shared" si="19"/>
        <v>10</v>
      </c>
      <c r="CN732" s="1545"/>
      <c r="CO732" s="3"/>
      <c r="CP732" s="1546">
        <f t="shared" si="20"/>
        <v>0</v>
      </c>
      <c r="CQ732" s="1547"/>
      <c r="CR732" s="1547"/>
      <c r="CS732" s="1547"/>
      <c r="CT732" s="1548"/>
      <c r="CU732" s="1540">
        <f t="shared" si="21"/>
        <v>0</v>
      </c>
      <c r="CV732" s="1540"/>
      <c r="CW732" s="1540"/>
      <c r="CX732" s="1540"/>
      <c r="CY732" s="1540"/>
      <c r="CZ732" s="1540">
        <f t="shared" si="22"/>
        <v>0</v>
      </c>
      <c r="DA732" s="1540"/>
      <c r="DB732" s="1540"/>
      <c r="DC732" s="1540"/>
      <c r="DD732" s="1540"/>
      <c r="DE732" s="1540">
        <f t="shared" si="23"/>
        <v>10</v>
      </c>
      <c r="DF732" s="1540"/>
      <c r="DG732" s="1540"/>
      <c r="DH732" s="1540"/>
      <c r="DI732" s="1540"/>
      <c r="DJ732" s="1540">
        <f t="shared" si="24"/>
        <v>0</v>
      </c>
      <c r="DK732" s="1540"/>
      <c r="DL732" s="1540"/>
      <c r="DM732" s="1540"/>
      <c r="DN732" s="1540"/>
      <c r="DO732" s="1540">
        <f t="shared" si="25"/>
        <v>0</v>
      </c>
      <c r="DP732" s="1540"/>
      <c r="DQ732" s="1540"/>
      <c r="DR732" s="1540"/>
      <c r="DS732" s="1540"/>
      <c r="DT732" s="6"/>
      <c r="DU732" s="1538">
        <f t="shared" si="26"/>
        <v>0</v>
      </c>
      <c r="DV732" s="1538"/>
      <c r="DW732" s="1538"/>
      <c r="DX732" s="1538"/>
      <c r="DY732" s="1538"/>
      <c r="DZ732" s="1538">
        <f t="shared" si="27"/>
        <v>0</v>
      </c>
      <c r="EA732" s="1538"/>
      <c r="EB732" s="1538"/>
      <c r="EC732" s="1538"/>
      <c r="ED732" s="1538"/>
      <c r="EE732" s="1538">
        <f t="shared" si="28"/>
        <v>0</v>
      </c>
      <c r="EF732" s="1538"/>
      <c r="EG732" s="1538"/>
      <c r="EH732" s="1538"/>
      <c r="EI732" s="1538"/>
      <c r="EJ732" s="1538">
        <f t="shared" si="29"/>
        <v>10</v>
      </c>
      <c r="EK732" s="1538"/>
      <c r="EL732" s="1538"/>
      <c r="EM732" s="1538"/>
      <c r="EN732" s="1538"/>
      <c r="EO732" s="1538">
        <f t="shared" si="30"/>
        <v>0</v>
      </c>
      <c r="EP732" s="1538"/>
      <c r="EQ732" s="1538"/>
      <c r="ER732" s="1538"/>
      <c r="ES732" s="1538"/>
      <c r="ET732" s="1538">
        <f t="shared" si="31"/>
        <v>0</v>
      </c>
      <c r="EU732" s="1538"/>
      <c r="EV732" s="1538"/>
      <c r="EW732" s="1538"/>
      <c r="EX732" s="1538"/>
      <c r="EZ732" s="1542" t="str">
        <f t="shared" si="32"/>
        <v/>
      </c>
      <c r="FA732" s="1549"/>
      <c r="FB732" s="1549"/>
      <c r="FC732" s="1549"/>
      <c r="FD732" s="1543"/>
      <c r="FE732" s="1542" t="str">
        <f t="shared" si="33"/>
        <v/>
      </c>
      <c r="FF732" s="1549"/>
      <c r="FG732" s="1549"/>
      <c r="FH732" s="1549"/>
      <c r="FI732" s="1543"/>
      <c r="FJ732" s="1542" t="str">
        <f t="shared" si="34"/>
        <v/>
      </c>
      <c r="FK732" s="1549"/>
      <c r="FL732" s="1549"/>
      <c r="FM732" s="1549"/>
      <c r="FN732" s="1543"/>
      <c r="FO732" s="1542">
        <f t="shared" si="35"/>
        <v>907.25</v>
      </c>
      <c r="FP732" s="1549"/>
      <c r="FQ732" s="1549"/>
      <c r="FR732" s="1549"/>
      <c r="FS732" s="1543"/>
      <c r="FT732" s="1542" t="str">
        <f t="shared" si="36"/>
        <v/>
      </c>
      <c r="FU732" s="1549"/>
      <c r="FV732" s="1549"/>
      <c r="FW732" s="1549"/>
      <c r="FX732" s="1543"/>
      <c r="FY732" s="1542" t="str">
        <f t="shared" si="37"/>
        <v/>
      </c>
      <c r="FZ732" s="1549"/>
      <c r="GA732" s="1549"/>
      <c r="GB732" s="1549"/>
      <c r="GC732" s="1543"/>
    </row>
    <row r="733" spans="1:185" ht="12.95" customHeight="1">
      <c r="B733" s="1371" t="s">
        <v>164</v>
      </c>
      <c r="C733" s="1372"/>
      <c r="D733" s="1372"/>
      <c r="E733" s="1372"/>
      <c r="F733" s="1373"/>
      <c r="G733" s="1365">
        <v>60</v>
      </c>
      <c r="H733" s="1366"/>
      <c r="I733" s="1366"/>
      <c r="J733" s="1367"/>
      <c r="K733" s="1368">
        <v>974</v>
      </c>
      <c r="L733" s="1369"/>
      <c r="M733" s="1369"/>
      <c r="N733" s="1370"/>
      <c r="O733" s="1418">
        <f>1671-T733</f>
        <v>1575.25</v>
      </c>
      <c r="P733" s="1419"/>
      <c r="Q733" s="1419"/>
      <c r="R733" s="1419"/>
      <c r="S733" s="1420"/>
      <c r="T733" s="1418">
        <f t="shared" ref="T733:T734" si="43">$Y$840</f>
        <v>95.75</v>
      </c>
      <c r="U733" s="1419"/>
      <c r="V733" s="1419"/>
      <c r="W733" s="1420"/>
      <c r="X733" s="1421">
        <f t="shared" si="10"/>
        <v>1671</v>
      </c>
      <c r="Y733" s="1417"/>
      <c r="Z733" s="1417"/>
      <c r="AA733" s="1417"/>
      <c r="AB733" s="1422"/>
      <c r="AC733" s="1423">
        <v>0.5</v>
      </c>
      <c r="AD733" s="1424"/>
      <c r="AE733" s="1424"/>
      <c r="AF733" s="1424"/>
      <c r="AG733" s="1425"/>
      <c r="AH733" s="1441">
        <f t="shared" si="39"/>
        <v>0.5</v>
      </c>
      <c r="AI733" s="1442"/>
      <c r="AJ733" s="1443"/>
      <c r="AK733" s="1371" t="s">
        <v>591</v>
      </c>
      <c r="AL733" s="1372"/>
      <c r="AM733" s="1372"/>
      <c r="AN733" s="1372"/>
      <c r="AO733" s="1373"/>
      <c r="AP733" s="3"/>
      <c r="AQ733" s="3"/>
      <c r="AR733" s="3"/>
      <c r="AS733" s="3"/>
      <c r="AY733" s="1080"/>
      <c r="AZ733" s="118">
        <f t="shared" si="11"/>
        <v>3342</v>
      </c>
      <c r="BA733" s="3"/>
      <c r="BB733" s="3"/>
      <c r="BC733" s="3"/>
      <c r="BD733" s="3"/>
      <c r="BE733" s="204"/>
      <c r="BF733" s="294">
        <f t="shared" si="12"/>
        <v>60</v>
      </c>
      <c r="BG733" s="297">
        <f t="shared" si="13"/>
        <v>0.1744186046511628</v>
      </c>
      <c r="BH733" s="298">
        <f t="shared" si="14"/>
        <v>8.7209302325581398E-2</v>
      </c>
      <c r="BI733" s="3"/>
      <c r="BJ733" s="3"/>
      <c r="BK733" s="3"/>
      <c r="BL733" s="3"/>
      <c r="BM733" s="3"/>
      <c r="BN733" s="3"/>
      <c r="BS733" s="294">
        <f t="shared" si="15"/>
        <v>60</v>
      </c>
      <c r="BT733" s="297">
        <f t="shared" si="16"/>
        <v>0.1744186046511628</v>
      </c>
      <c r="BU733" s="298">
        <f t="shared" si="17"/>
        <v>8.7209302325581398E-2</v>
      </c>
      <c r="BV733" s="292"/>
      <c r="BW733" s="3"/>
      <c r="BX733" s="3"/>
      <c r="BY733" s="3"/>
      <c r="BZ733" s="3"/>
      <c r="CA733" s="3"/>
      <c r="CB733" s="3"/>
      <c r="CC733" s="3"/>
      <c r="CE733" s="3"/>
      <c r="CF733" s="3"/>
      <c r="CG733" s="1542">
        <f t="shared" si="40"/>
        <v>1</v>
      </c>
      <c r="CH733" s="1543"/>
      <c r="CI733" s="1544">
        <f t="shared" si="41"/>
        <v>60</v>
      </c>
      <c r="CJ733" s="1545"/>
      <c r="CK733" s="1542">
        <f t="shared" si="18"/>
        <v>0</v>
      </c>
      <c r="CL733" s="1543"/>
      <c r="CM733" s="1544">
        <f t="shared" si="19"/>
        <v>0</v>
      </c>
      <c r="CN733" s="1545"/>
      <c r="CO733" s="3"/>
      <c r="CP733" s="1546">
        <f t="shared" si="20"/>
        <v>0</v>
      </c>
      <c r="CQ733" s="1547"/>
      <c r="CR733" s="1547"/>
      <c r="CS733" s="1547"/>
      <c r="CT733" s="1548"/>
      <c r="CU733" s="1540">
        <f t="shared" si="21"/>
        <v>0</v>
      </c>
      <c r="CV733" s="1540"/>
      <c r="CW733" s="1540"/>
      <c r="CX733" s="1540"/>
      <c r="CY733" s="1540"/>
      <c r="CZ733" s="1540">
        <f t="shared" si="22"/>
        <v>0</v>
      </c>
      <c r="DA733" s="1540"/>
      <c r="DB733" s="1540"/>
      <c r="DC733" s="1540"/>
      <c r="DD733" s="1540"/>
      <c r="DE733" s="1540">
        <f t="shared" si="23"/>
        <v>60</v>
      </c>
      <c r="DF733" s="1540"/>
      <c r="DG733" s="1540"/>
      <c r="DH733" s="1540"/>
      <c r="DI733" s="1540"/>
      <c r="DJ733" s="1540">
        <f t="shared" si="24"/>
        <v>0</v>
      </c>
      <c r="DK733" s="1540"/>
      <c r="DL733" s="1540"/>
      <c r="DM733" s="1540"/>
      <c r="DN733" s="1540"/>
      <c r="DO733" s="1540">
        <f t="shared" si="25"/>
        <v>0</v>
      </c>
      <c r="DP733" s="1540"/>
      <c r="DQ733" s="1540"/>
      <c r="DR733" s="1540"/>
      <c r="DS733" s="1540"/>
      <c r="DT733" s="6"/>
      <c r="DU733" s="1538">
        <f t="shared" si="26"/>
        <v>0</v>
      </c>
      <c r="DV733" s="1538"/>
      <c r="DW733" s="1538"/>
      <c r="DX733" s="1538"/>
      <c r="DY733" s="1538"/>
      <c r="DZ733" s="1538">
        <f t="shared" si="27"/>
        <v>0</v>
      </c>
      <c r="EA733" s="1538"/>
      <c r="EB733" s="1538"/>
      <c r="EC733" s="1538"/>
      <c r="ED733" s="1538"/>
      <c r="EE733" s="1538">
        <f t="shared" si="28"/>
        <v>0</v>
      </c>
      <c r="EF733" s="1538"/>
      <c r="EG733" s="1538"/>
      <c r="EH733" s="1538"/>
      <c r="EI733" s="1538"/>
      <c r="EJ733" s="1538">
        <f t="shared" si="29"/>
        <v>0</v>
      </c>
      <c r="EK733" s="1538"/>
      <c r="EL733" s="1538"/>
      <c r="EM733" s="1538"/>
      <c r="EN733" s="1538"/>
      <c r="EO733" s="1538">
        <f t="shared" si="30"/>
        <v>0</v>
      </c>
      <c r="EP733" s="1538"/>
      <c r="EQ733" s="1538"/>
      <c r="ER733" s="1538"/>
      <c r="ES733" s="1538"/>
      <c r="ET733" s="1538">
        <f t="shared" si="31"/>
        <v>0</v>
      </c>
      <c r="EU733" s="1538"/>
      <c r="EV733" s="1538"/>
      <c r="EW733" s="1538"/>
      <c r="EX733" s="1538"/>
      <c r="EZ733" s="1542" t="str">
        <f t="shared" si="32"/>
        <v/>
      </c>
      <c r="FA733" s="1549"/>
      <c r="FB733" s="1549"/>
      <c r="FC733" s="1549"/>
      <c r="FD733" s="1543"/>
      <c r="FE733" s="1542" t="str">
        <f t="shared" si="33"/>
        <v/>
      </c>
      <c r="FF733" s="1549"/>
      <c r="FG733" s="1549"/>
      <c r="FH733" s="1549"/>
      <c r="FI733" s="1543"/>
      <c r="FJ733" s="1542" t="str">
        <f t="shared" si="34"/>
        <v/>
      </c>
      <c r="FK733" s="1549"/>
      <c r="FL733" s="1549"/>
      <c r="FM733" s="1549"/>
      <c r="FN733" s="1543"/>
      <c r="FO733" s="1542">
        <f t="shared" si="35"/>
        <v>1575.25</v>
      </c>
      <c r="FP733" s="1549"/>
      <c r="FQ733" s="1549"/>
      <c r="FR733" s="1549"/>
      <c r="FS733" s="1543"/>
      <c r="FT733" s="1542" t="str">
        <f t="shared" si="36"/>
        <v/>
      </c>
      <c r="FU733" s="1549"/>
      <c r="FV733" s="1549"/>
      <c r="FW733" s="1549"/>
      <c r="FX733" s="1543"/>
      <c r="FY733" s="1542" t="str">
        <f t="shared" si="37"/>
        <v/>
      </c>
      <c r="FZ733" s="1549"/>
      <c r="GA733" s="1549"/>
      <c r="GB733" s="1549"/>
      <c r="GC733" s="1543"/>
    </row>
    <row r="734" spans="1:185" ht="12.95" customHeight="1">
      <c r="B734" s="1371" t="s">
        <v>164</v>
      </c>
      <c r="C734" s="1372"/>
      <c r="D734" s="1372"/>
      <c r="E734" s="1372"/>
      <c r="F734" s="1373"/>
      <c r="G734" s="1365">
        <v>27</v>
      </c>
      <c r="H734" s="1366"/>
      <c r="I734" s="1366"/>
      <c r="J734" s="1367"/>
      <c r="K734" s="1368">
        <v>974</v>
      </c>
      <c r="L734" s="1369"/>
      <c r="M734" s="1369"/>
      <c r="N734" s="1370"/>
      <c r="O734" s="1418">
        <f>2006-T734</f>
        <v>1910.25</v>
      </c>
      <c r="P734" s="1419"/>
      <c r="Q734" s="1419"/>
      <c r="R734" s="1419"/>
      <c r="S734" s="1420"/>
      <c r="T734" s="1418">
        <f t="shared" si="43"/>
        <v>95.75</v>
      </c>
      <c r="U734" s="1419"/>
      <c r="V734" s="1419"/>
      <c r="W734" s="1420"/>
      <c r="X734" s="1421">
        <f t="shared" si="10"/>
        <v>2006</v>
      </c>
      <c r="Y734" s="1417"/>
      <c r="Z734" s="1417"/>
      <c r="AA734" s="1417"/>
      <c r="AB734" s="1422"/>
      <c r="AC734" s="1423">
        <v>0.6</v>
      </c>
      <c r="AD734" s="1424"/>
      <c r="AE734" s="1424"/>
      <c r="AF734" s="1424"/>
      <c r="AG734" s="1425"/>
      <c r="AH734" s="1441">
        <f t="shared" si="39"/>
        <v>0.60023937761819268</v>
      </c>
      <c r="AI734" s="1442"/>
      <c r="AJ734" s="1443"/>
      <c r="AK734" s="1371" t="s">
        <v>591</v>
      </c>
      <c r="AL734" s="1372"/>
      <c r="AM734" s="1372"/>
      <c r="AN734" s="1372"/>
      <c r="AO734" s="1373"/>
      <c r="AP734" s="3"/>
      <c r="AQ734" s="3"/>
      <c r="AR734" s="3"/>
      <c r="AS734" s="3"/>
      <c r="AY734" s="1080"/>
      <c r="AZ734" s="118">
        <f t="shared" si="11"/>
        <v>3342</v>
      </c>
      <c r="BA734" s="3"/>
      <c r="BB734" s="3"/>
      <c r="BC734" s="3"/>
      <c r="BD734" s="3"/>
      <c r="BE734" s="204"/>
      <c r="BF734" s="294">
        <f t="shared" si="12"/>
        <v>27</v>
      </c>
      <c r="BG734" s="297">
        <f t="shared" si="13"/>
        <v>7.8488372093023256E-2</v>
      </c>
      <c r="BH734" s="298">
        <f t="shared" si="14"/>
        <v>4.7093023255813951E-2</v>
      </c>
      <c r="BI734" s="3"/>
      <c r="BJ734" s="3"/>
      <c r="BK734" s="3"/>
      <c r="BL734" s="3"/>
      <c r="BM734" s="3"/>
      <c r="BN734" s="3"/>
      <c r="BS734" s="294">
        <f t="shared" si="15"/>
        <v>27</v>
      </c>
      <c r="BT734" s="297">
        <f t="shared" si="16"/>
        <v>7.8488372093023256E-2</v>
      </c>
      <c r="BU734" s="298">
        <f t="shared" si="17"/>
        <v>4.7111811615381402E-2</v>
      </c>
      <c r="BV734" s="3"/>
      <c r="BW734" s="3"/>
      <c r="BX734" s="3"/>
      <c r="BY734" s="3"/>
      <c r="BZ734" s="3"/>
      <c r="CA734" s="3"/>
      <c r="CB734" s="3"/>
      <c r="CC734" s="3"/>
      <c r="CE734" s="3"/>
      <c r="CF734" s="3"/>
      <c r="CG734" s="1542">
        <f t="shared" si="40"/>
        <v>0</v>
      </c>
      <c r="CH734" s="1543"/>
      <c r="CI734" s="1544">
        <f t="shared" si="41"/>
        <v>0</v>
      </c>
      <c r="CJ734" s="1545"/>
      <c r="CK734" s="1542">
        <f t="shared" si="18"/>
        <v>0</v>
      </c>
      <c r="CL734" s="1543"/>
      <c r="CM734" s="1544">
        <f t="shared" si="19"/>
        <v>0</v>
      </c>
      <c r="CN734" s="1545"/>
      <c r="CO734" s="3"/>
      <c r="CP734" s="1546">
        <f t="shared" si="20"/>
        <v>0</v>
      </c>
      <c r="CQ734" s="1547"/>
      <c r="CR734" s="1547"/>
      <c r="CS734" s="1547"/>
      <c r="CT734" s="1548"/>
      <c r="CU734" s="1540">
        <f t="shared" si="21"/>
        <v>0</v>
      </c>
      <c r="CV734" s="1540"/>
      <c r="CW734" s="1540"/>
      <c r="CX734" s="1540"/>
      <c r="CY734" s="1540"/>
      <c r="CZ734" s="1540">
        <f t="shared" si="22"/>
        <v>0</v>
      </c>
      <c r="DA734" s="1540"/>
      <c r="DB734" s="1540"/>
      <c r="DC734" s="1540"/>
      <c r="DD734" s="1540"/>
      <c r="DE734" s="1540">
        <f t="shared" si="23"/>
        <v>27</v>
      </c>
      <c r="DF734" s="1540"/>
      <c r="DG734" s="1540"/>
      <c r="DH734" s="1540"/>
      <c r="DI734" s="1540"/>
      <c r="DJ734" s="1540">
        <f t="shared" si="24"/>
        <v>0</v>
      </c>
      <c r="DK734" s="1540"/>
      <c r="DL734" s="1540"/>
      <c r="DM734" s="1540"/>
      <c r="DN734" s="1540"/>
      <c r="DO734" s="1540">
        <f t="shared" si="25"/>
        <v>0</v>
      </c>
      <c r="DP734" s="1540"/>
      <c r="DQ734" s="1540"/>
      <c r="DR734" s="1540"/>
      <c r="DS734" s="1540"/>
      <c r="DT734" s="6"/>
      <c r="DU734" s="1538">
        <f t="shared" si="26"/>
        <v>0</v>
      </c>
      <c r="DV734" s="1538"/>
      <c r="DW734" s="1538"/>
      <c r="DX734" s="1538"/>
      <c r="DY734" s="1538"/>
      <c r="DZ734" s="1538">
        <f t="shared" si="27"/>
        <v>0</v>
      </c>
      <c r="EA734" s="1538"/>
      <c r="EB734" s="1538"/>
      <c r="EC734" s="1538"/>
      <c r="ED734" s="1538"/>
      <c r="EE734" s="1538">
        <f t="shared" si="28"/>
        <v>0</v>
      </c>
      <c r="EF734" s="1538"/>
      <c r="EG734" s="1538"/>
      <c r="EH734" s="1538"/>
      <c r="EI734" s="1538"/>
      <c r="EJ734" s="1538">
        <f t="shared" si="29"/>
        <v>0</v>
      </c>
      <c r="EK734" s="1538"/>
      <c r="EL734" s="1538"/>
      <c r="EM734" s="1538"/>
      <c r="EN734" s="1538"/>
      <c r="EO734" s="1538">
        <f t="shared" si="30"/>
        <v>0</v>
      </c>
      <c r="EP734" s="1538"/>
      <c r="EQ734" s="1538"/>
      <c r="ER734" s="1538"/>
      <c r="ES734" s="1538"/>
      <c r="ET734" s="1538">
        <f t="shared" si="31"/>
        <v>0</v>
      </c>
      <c r="EU734" s="1538"/>
      <c r="EV734" s="1538"/>
      <c r="EW734" s="1538"/>
      <c r="EX734" s="1538"/>
      <c r="EY734" s="4"/>
      <c r="EZ734" s="1542" t="str">
        <f t="shared" si="32"/>
        <v/>
      </c>
      <c r="FA734" s="1549"/>
      <c r="FB734" s="1549"/>
      <c r="FC734" s="1549"/>
      <c r="FD734" s="1543"/>
      <c r="FE734" s="1542" t="str">
        <f t="shared" si="33"/>
        <v/>
      </c>
      <c r="FF734" s="1549"/>
      <c r="FG734" s="1549"/>
      <c r="FH734" s="1549"/>
      <c r="FI734" s="1543"/>
      <c r="FJ734" s="1542" t="str">
        <f t="shared" si="34"/>
        <v/>
      </c>
      <c r="FK734" s="1549"/>
      <c r="FL734" s="1549"/>
      <c r="FM734" s="1549"/>
      <c r="FN734" s="1543"/>
      <c r="FO734" s="1542">
        <f t="shared" si="35"/>
        <v>1910.25</v>
      </c>
      <c r="FP734" s="1549"/>
      <c r="FQ734" s="1549"/>
      <c r="FR734" s="1549"/>
      <c r="FS734" s="1543"/>
      <c r="FT734" s="1542" t="str">
        <f t="shared" si="36"/>
        <v/>
      </c>
      <c r="FU734" s="1549"/>
      <c r="FV734" s="1549"/>
      <c r="FW734" s="1549"/>
      <c r="FX734" s="1543"/>
      <c r="FY734" s="1542" t="str">
        <f t="shared" si="37"/>
        <v/>
      </c>
      <c r="FZ734" s="1549"/>
      <c r="GA734" s="1549"/>
      <c r="GB734" s="1549"/>
      <c r="GC734" s="1543"/>
    </row>
    <row r="735" spans="1:185" ht="12.95" customHeight="1">
      <c r="A735" s="4"/>
      <c r="B735" s="1371"/>
      <c r="C735" s="1372"/>
      <c r="D735" s="1372"/>
      <c r="E735" s="1372"/>
      <c r="F735" s="1373"/>
      <c r="G735" s="1365"/>
      <c r="H735" s="1366"/>
      <c r="I735" s="1366"/>
      <c r="J735" s="1367"/>
      <c r="K735" s="1368"/>
      <c r="L735" s="1369"/>
      <c r="M735" s="1369"/>
      <c r="N735" s="1370"/>
      <c r="O735" s="1418"/>
      <c r="P735" s="1419"/>
      <c r="Q735" s="1419"/>
      <c r="R735" s="1419"/>
      <c r="S735" s="1420"/>
      <c r="T735" s="1418"/>
      <c r="U735" s="1419"/>
      <c r="V735" s="1419"/>
      <c r="W735" s="1420"/>
      <c r="X735" s="1421">
        <f t="shared" si="10"/>
        <v>0</v>
      </c>
      <c r="Y735" s="1417"/>
      <c r="Z735" s="1417"/>
      <c r="AA735" s="1417"/>
      <c r="AB735" s="1422"/>
      <c r="AC735" s="1423"/>
      <c r="AD735" s="1424"/>
      <c r="AE735" s="1424"/>
      <c r="AF735" s="1424"/>
      <c r="AG735" s="1425"/>
      <c r="AH735" s="1441" t="str">
        <f t="shared" si="39"/>
        <v/>
      </c>
      <c r="AI735" s="1442"/>
      <c r="AJ735" s="1443"/>
      <c r="AK735" s="1371" t="s">
        <v>591</v>
      </c>
      <c r="AL735" s="1372"/>
      <c r="AM735" s="1372"/>
      <c r="AN735" s="1372"/>
      <c r="AO735" s="1373"/>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2">
        <f t="shared" si="40"/>
        <v>0</v>
      </c>
      <c r="CH735" s="1543"/>
      <c r="CI735" s="1544">
        <f t="shared" si="41"/>
        <v>0</v>
      </c>
      <c r="CJ735" s="1545"/>
      <c r="CK735" s="1542">
        <f t="shared" si="18"/>
        <v>0</v>
      </c>
      <c r="CL735" s="1543"/>
      <c r="CM735" s="1544">
        <f t="shared" si="19"/>
        <v>0</v>
      </c>
      <c r="CN735" s="1545"/>
      <c r="CO735" s="3"/>
      <c r="CP735" s="1546">
        <f t="shared" si="20"/>
        <v>0</v>
      </c>
      <c r="CQ735" s="1547"/>
      <c r="CR735" s="1547"/>
      <c r="CS735" s="1547"/>
      <c r="CT735" s="1548"/>
      <c r="CU735" s="1540">
        <f t="shared" si="21"/>
        <v>0</v>
      </c>
      <c r="CV735" s="1540"/>
      <c r="CW735" s="1540"/>
      <c r="CX735" s="1540"/>
      <c r="CY735" s="1540"/>
      <c r="CZ735" s="1540">
        <f t="shared" si="22"/>
        <v>0</v>
      </c>
      <c r="DA735" s="1540"/>
      <c r="DB735" s="1540"/>
      <c r="DC735" s="1540"/>
      <c r="DD735" s="1540"/>
      <c r="DE735" s="1540">
        <f t="shared" si="23"/>
        <v>0</v>
      </c>
      <c r="DF735" s="1540"/>
      <c r="DG735" s="1540"/>
      <c r="DH735" s="1540"/>
      <c r="DI735" s="1540"/>
      <c r="DJ735" s="1540">
        <f t="shared" si="24"/>
        <v>0</v>
      </c>
      <c r="DK735" s="1540"/>
      <c r="DL735" s="1540"/>
      <c r="DM735" s="1540"/>
      <c r="DN735" s="1540"/>
      <c r="DO735" s="1540">
        <f t="shared" si="25"/>
        <v>0</v>
      </c>
      <c r="DP735" s="1540"/>
      <c r="DQ735" s="1540"/>
      <c r="DR735" s="1540"/>
      <c r="DS735" s="1540"/>
      <c r="DT735" s="6"/>
      <c r="DU735" s="1538">
        <f t="shared" si="26"/>
        <v>0</v>
      </c>
      <c r="DV735" s="1538"/>
      <c r="DW735" s="1538"/>
      <c r="DX735" s="1538"/>
      <c r="DY735" s="1538"/>
      <c r="DZ735" s="1538">
        <f t="shared" si="27"/>
        <v>0</v>
      </c>
      <c r="EA735" s="1538"/>
      <c r="EB735" s="1538"/>
      <c r="EC735" s="1538"/>
      <c r="ED735" s="1538"/>
      <c r="EE735" s="1538">
        <f t="shared" si="28"/>
        <v>0</v>
      </c>
      <c r="EF735" s="1538"/>
      <c r="EG735" s="1538"/>
      <c r="EH735" s="1538"/>
      <c r="EI735" s="1538"/>
      <c r="EJ735" s="1538">
        <f t="shared" si="29"/>
        <v>0</v>
      </c>
      <c r="EK735" s="1538"/>
      <c r="EL735" s="1538"/>
      <c r="EM735" s="1538"/>
      <c r="EN735" s="1538"/>
      <c r="EO735" s="1538">
        <f t="shared" si="30"/>
        <v>0</v>
      </c>
      <c r="EP735" s="1538"/>
      <c r="EQ735" s="1538"/>
      <c r="ER735" s="1538"/>
      <c r="ES735" s="1538"/>
      <c r="ET735" s="1538">
        <f t="shared" si="31"/>
        <v>0</v>
      </c>
      <c r="EU735" s="1538"/>
      <c r="EV735" s="1538"/>
      <c r="EW735" s="1538"/>
      <c r="EX735" s="1538"/>
      <c r="EY735" s="4"/>
      <c r="EZ735" s="1542" t="str">
        <f t="shared" si="32"/>
        <v/>
      </c>
      <c r="FA735" s="1549"/>
      <c r="FB735" s="1549"/>
      <c r="FC735" s="1549"/>
      <c r="FD735" s="1543"/>
      <c r="FE735" s="1542" t="str">
        <f t="shared" si="33"/>
        <v/>
      </c>
      <c r="FF735" s="1549"/>
      <c r="FG735" s="1549"/>
      <c r="FH735" s="1549"/>
      <c r="FI735" s="1543"/>
      <c r="FJ735" s="1542" t="str">
        <f t="shared" si="34"/>
        <v/>
      </c>
      <c r="FK735" s="1549"/>
      <c r="FL735" s="1549"/>
      <c r="FM735" s="1549"/>
      <c r="FN735" s="1543"/>
      <c r="FO735" s="1542" t="str">
        <f t="shared" si="35"/>
        <v/>
      </c>
      <c r="FP735" s="1549"/>
      <c r="FQ735" s="1549"/>
      <c r="FR735" s="1549"/>
      <c r="FS735" s="1543"/>
      <c r="FT735" s="1542" t="str">
        <f t="shared" si="36"/>
        <v/>
      </c>
      <c r="FU735" s="1549"/>
      <c r="FV735" s="1549"/>
      <c r="FW735" s="1549"/>
      <c r="FX735" s="1543"/>
      <c r="FY735" s="1542" t="str">
        <f t="shared" si="37"/>
        <v/>
      </c>
      <c r="FZ735" s="1549"/>
      <c r="GA735" s="1549"/>
      <c r="GB735" s="1549"/>
      <c r="GC735" s="1543"/>
    </row>
    <row r="736" spans="1:185" ht="12.95" customHeight="1">
      <c r="A736" s="4"/>
      <c r="B736" s="1371"/>
      <c r="C736" s="1372"/>
      <c r="D736" s="1372"/>
      <c r="E736" s="1372"/>
      <c r="F736" s="1373"/>
      <c r="G736" s="1365"/>
      <c r="H736" s="1366"/>
      <c r="I736" s="1366"/>
      <c r="J736" s="1367"/>
      <c r="K736" s="1368"/>
      <c r="L736" s="1369"/>
      <c r="M736" s="1369"/>
      <c r="N736" s="1370"/>
      <c r="O736" s="1418"/>
      <c r="P736" s="1419"/>
      <c r="Q736" s="1419"/>
      <c r="R736" s="1419"/>
      <c r="S736" s="1420"/>
      <c r="T736" s="1418"/>
      <c r="U736" s="1419"/>
      <c r="V736" s="1419"/>
      <c r="W736" s="1420"/>
      <c r="X736" s="1421">
        <f t="shared" si="10"/>
        <v>0</v>
      </c>
      <c r="Y736" s="1417"/>
      <c r="Z736" s="1417"/>
      <c r="AA736" s="1417"/>
      <c r="AB736" s="1422"/>
      <c r="AC736" s="1423"/>
      <c r="AD736" s="1424"/>
      <c r="AE736" s="1424"/>
      <c r="AF736" s="1424"/>
      <c r="AG736" s="1425"/>
      <c r="AH736" s="1441" t="str">
        <f t="shared" si="39"/>
        <v/>
      </c>
      <c r="AI736" s="1442"/>
      <c r="AJ736" s="1443"/>
      <c r="AK736" s="1371" t="s">
        <v>591</v>
      </c>
      <c r="AL736" s="1372"/>
      <c r="AM736" s="1372"/>
      <c r="AN736" s="1372"/>
      <c r="AO736" s="1373"/>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2">
        <f t="shared" si="40"/>
        <v>0</v>
      </c>
      <c r="CH736" s="1543"/>
      <c r="CI736" s="1544">
        <f t="shared" si="41"/>
        <v>0</v>
      </c>
      <c r="CJ736" s="1545"/>
      <c r="CK736" s="1542">
        <f t="shared" si="18"/>
        <v>0</v>
      </c>
      <c r="CL736" s="1543"/>
      <c r="CM736" s="1544">
        <f t="shared" si="19"/>
        <v>0</v>
      </c>
      <c r="CN736" s="1545"/>
      <c r="CO736" s="3"/>
      <c r="CP736" s="1546">
        <f t="shared" si="20"/>
        <v>0</v>
      </c>
      <c r="CQ736" s="1547"/>
      <c r="CR736" s="1547"/>
      <c r="CS736" s="1547"/>
      <c r="CT736" s="1548"/>
      <c r="CU736" s="1540">
        <f t="shared" si="21"/>
        <v>0</v>
      </c>
      <c r="CV736" s="1540"/>
      <c r="CW736" s="1540"/>
      <c r="CX736" s="1540"/>
      <c r="CY736" s="1540"/>
      <c r="CZ736" s="1540">
        <f t="shared" si="22"/>
        <v>0</v>
      </c>
      <c r="DA736" s="1540"/>
      <c r="DB736" s="1540"/>
      <c r="DC736" s="1540"/>
      <c r="DD736" s="1540"/>
      <c r="DE736" s="1540">
        <f t="shared" si="23"/>
        <v>0</v>
      </c>
      <c r="DF736" s="1540"/>
      <c r="DG736" s="1540"/>
      <c r="DH736" s="1540"/>
      <c r="DI736" s="1540"/>
      <c r="DJ736" s="1540">
        <f t="shared" si="24"/>
        <v>0</v>
      </c>
      <c r="DK736" s="1540"/>
      <c r="DL736" s="1540"/>
      <c r="DM736" s="1540"/>
      <c r="DN736" s="1540"/>
      <c r="DO736" s="1540">
        <f t="shared" si="25"/>
        <v>0</v>
      </c>
      <c r="DP736" s="1540"/>
      <c r="DQ736" s="1540"/>
      <c r="DR736" s="1540"/>
      <c r="DS736" s="1540"/>
      <c r="DT736" s="6"/>
      <c r="DU736" s="1538">
        <f t="shared" si="26"/>
        <v>0</v>
      </c>
      <c r="DV736" s="1538"/>
      <c r="DW736" s="1538"/>
      <c r="DX736" s="1538"/>
      <c r="DY736" s="1538"/>
      <c r="DZ736" s="1538">
        <f t="shared" si="27"/>
        <v>0</v>
      </c>
      <c r="EA736" s="1538"/>
      <c r="EB736" s="1538"/>
      <c r="EC736" s="1538"/>
      <c r="ED736" s="1538"/>
      <c r="EE736" s="1538">
        <f t="shared" si="28"/>
        <v>0</v>
      </c>
      <c r="EF736" s="1538"/>
      <c r="EG736" s="1538"/>
      <c r="EH736" s="1538"/>
      <c r="EI736" s="1538"/>
      <c r="EJ736" s="1538">
        <f t="shared" si="29"/>
        <v>0</v>
      </c>
      <c r="EK736" s="1538"/>
      <c r="EL736" s="1538"/>
      <c r="EM736" s="1538"/>
      <c r="EN736" s="1538"/>
      <c r="EO736" s="1538">
        <f t="shared" si="30"/>
        <v>0</v>
      </c>
      <c r="EP736" s="1538"/>
      <c r="EQ736" s="1538"/>
      <c r="ER736" s="1538"/>
      <c r="ES736" s="1538"/>
      <c r="ET736" s="1538">
        <f t="shared" si="31"/>
        <v>0</v>
      </c>
      <c r="EU736" s="1538"/>
      <c r="EV736" s="1538"/>
      <c r="EW736" s="1538"/>
      <c r="EX736" s="1538"/>
      <c r="EY736" s="4"/>
      <c r="EZ736" s="1542" t="str">
        <f t="shared" si="32"/>
        <v/>
      </c>
      <c r="FA736" s="1549"/>
      <c r="FB736" s="1549"/>
      <c r="FC736" s="1549"/>
      <c r="FD736" s="1543"/>
      <c r="FE736" s="1542" t="str">
        <f t="shared" si="33"/>
        <v/>
      </c>
      <c r="FF736" s="1549"/>
      <c r="FG736" s="1549"/>
      <c r="FH736" s="1549"/>
      <c r="FI736" s="1543"/>
      <c r="FJ736" s="1542" t="str">
        <f t="shared" si="34"/>
        <v/>
      </c>
      <c r="FK736" s="1549"/>
      <c r="FL736" s="1549"/>
      <c r="FM736" s="1549"/>
      <c r="FN736" s="1543"/>
      <c r="FO736" s="1542" t="str">
        <f t="shared" si="35"/>
        <v/>
      </c>
      <c r="FP736" s="1549"/>
      <c r="FQ736" s="1549"/>
      <c r="FR736" s="1549"/>
      <c r="FS736" s="1543"/>
      <c r="FT736" s="1542" t="str">
        <f t="shared" si="36"/>
        <v/>
      </c>
      <c r="FU736" s="1549"/>
      <c r="FV736" s="1549"/>
      <c r="FW736" s="1549"/>
      <c r="FX736" s="1543"/>
      <c r="FY736" s="1542" t="str">
        <f t="shared" si="37"/>
        <v/>
      </c>
      <c r="FZ736" s="1549"/>
      <c r="GA736" s="1549"/>
      <c r="GB736" s="1549"/>
      <c r="GC736" s="1543"/>
    </row>
    <row r="737" spans="1:185" ht="12.95" customHeight="1">
      <c r="A737" s="4"/>
      <c r="B737" s="1371"/>
      <c r="C737" s="1372"/>
      <c r="D737" s="1372"/>
      <c r="E737" s="1372"/>
      <c r="F737" s="1373"/>
      <c r="G737" s="1365"/>
      <c r="H737" s="1366"/>
      <c r="I737" s="1366"/>
      <c r="J737" s="1367"/>
      <c r="K737" s="1368"/>
      <c r="L737" s="1369"/>
      <c r="M737" s="1369"/>
      <c r="N737" s="1370"/>
      <c r="O737" s="1418"/>
      <c r="P737" s="1419"/>
      <c r="Q737" s="1419"/>
      <c r="R737" s="1419"/>
      <c r="S737" s="1420"/>
      <c r="T737" s="1418"/>
      <c r="U737" s="1419"/>
      <c r="V737" s="1419"/>
      <c r="W737" s="1420"/>
      <c r="X737" s="1421">
        <f t="shared" si="10"/>
        <v>0</v>
      </c>
      <c r="Y737" s="1417"/>
      <c r="Z737" s="1417"/>
      <c r="AA737" s="1417"/>
      <c r="AB737" s="1422"/>
      <c r="AC737" s="1423"/>
      <c r="AD737" s="1424"/>
      <c r="AE737" s="1424"/>
      <c r="AF737" s="1424"/>
      <c r="AG737" s="1425"/>
      <c r="AH737" s="1441" t="str">
        <f t="shared" si="39"/>
        <v/>
      </c>
      <c r="AI737" s="1442"/>
      <c r="AJ737" s="1443"/>
      <c r="AK737" s="1371" t="s">
        <v>591</v>
      </c>
      <c r="AL737" s="1372"/>
      <c r="AM737" s="1372"/>
      <c r="AN737" s="1372"/>
      <c r="AO737" s="1373"/>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2">
        <f t="shared" si="40"/>
        <v>0</v>
      </c>
      <c r="CH737" s="1543"/>
      <c r="CI737" s="1544">
        <f t="shared" si="41"/>
        <v>0</v>
      </c>
      <c r="CJ737" s="1545"/>
      <c r="CK737" s="1542">
        <f t="shared" si="18"/>
        <v>0</v>
      </c>
      <c r="CL737" s="1543"/>
      <c r="CM737" s="1544">
        <f t="shared" si="19"/>
        <v>0</v>
      </c>
      <c r="CN737" s="1545"/>
      <c r="CO737" s="3"/>
      <c r="CP737" s="1546">
        <f t="shared" si="20"/>
        <v>0</v>
      </c>
      <c r="CQ737" s="1547"/>
      <c r="CR737" s="1547"/>
      <c r="CS737" s="1547"/>
      <c r="CT737" s="1548"/>
      <c r="CU737" s="1540">
        <f t="shared" si="21"/>
        <v>0</v>
      </c>
      <c r="CV737" s="1540"/>
      <c r="CW737" s="1540"/>
      <c r="CX737" s="1540"/>
      <c r="CY737" s="1540"/>
      <c r="CZ737" s="1540">
        <f t="shared" si="22"/>
        <v>0</v>
      </c>
      <c r="DA737" s="1540"/>
      <c r="DB737" s="1540"/>
      <c r="DC737" s="1540"/>
      <c r="DD737" s="1540"/>
      <c r="DE737" s="1540">
        <f t="shared" si="23"/>
        <v>0</v>
      </c>
      <c r="DF737" s="1540"/>
      <c r="DG737" s="1540"/>
      <c r="DH737" s="1540"/>
      <c r="DI737" s="1540"/>
      <c r="DJ737" s="1540">
        <f t="shared" si="24"/>
        <v>0</v>
      </c>
      <c r="DK737" s="1540"/>
      <c r="DL737" s="1540"/>
      <c r="DM737" s="1540"/>
      <c r="DN737" s="1540"/>
      <c r="DO737" s="1540">
        <f t="shared" si="25"/>
        <v>0</v>
      </c>
      <c r="DP737" s="1540"/>
      <c r="DQ737" s="1540"/>
      <c r="DR737" s="1540"/>
      <c r="DS737" s="1540"/>
      <c r="DT737" s="6"/>
      <c r="DU737" s="1538">
        <f t="shared" si="26"/>
        <v>0</v>
      </c>
      <c r="DV737" s="1538"/>
      <c r="DW737" s="1538"/>
      <c r="DX737" s="1538"/>
      <c r="DY737" s="1538"/>
      <c r="DZ737" s="1538">
        <f t="shared" si="27"/>
        <v>0</v>
      </c>
      <c r="EA737" s="1538"/>
      <c r="EB737" s="1538"/>
      <c r="EC737" s="1538"/>
      <c r="ED737" s="1538"/>
      <c r="EE737" s="1538">
        <f t="shared" si="28"/>
        <v>0</v>
      </c>
      <c r="EF737" s="1538"/>
      <c r="EG737" s="1538"/>
      <c r="EH737" s="1538"/>
      <c r="EI737" s="1538"/>
      <c r="EJ737" s="1538">
        <f t="shared" si="29"/>
        <v>0</v>
      </c>
      <c r="EK737" s="1538"/>
      <c r="EL737" s="1538"/>
      <c r="EM737" s="1538"/>
      <c r="EN737" s="1538"/>
      <c r="EO737" s="1538">
        <f t="shared" si="30"/>
        <v>0</v>
      </c>
      <c r="EP737" s="1538"/>
      <c r="EQ737" s="1538"/>
      <c r="ER737" s="1538"/>
      <c r="ES737" s="1538"/>
      <c r="ET737" s="1538">
        <f t="shared" si="31"/>
        <v>0</v>
      </c>
      <c r="EU737" s="1538"/>
      <c r="EV737" s="1538"/>
      <c r="EW737" s="1538"/>
      <c r="EX737" s="1538"/>
      <c r="EZ737" s="1542" t="str">
        <f t="shared" si="32"/>
        <v/>
      </c>
      <c r="FA737" s="1549"/>
      <c r="FB737" s="1549"/>
      <c r="FC737" s="1549"/>
      <c r="FD737" s="1543"/>
      <c r="FE737" s="1542" t="str">
        <f t="shared" si="33"/>
        <v/>
      </c>
      <c r="FF737" s="1549"/>
      <c r="FG737" s="1549"/>
      <c r="FH737" s="1549"/>
      <c r="FI737" s="1543"/>
      <c r="FJ737" s="1542" t="str">
        <f t="shared" si="34"/>
        <v/>
      </c>
      <c r="FK737" s="1549"/>
      <c r="FL737" s="1549"/>
      <c r="FM737" s="1549"/>
      <c r="FN737" s="1543"/>
      <c r="FO737" s="1542" t="str">
        <f t="shared" si="35"/>
        <v/>
      </c>
      <c r="FP737" s="1549"/>
      <c r="FQ737" s="1549"/>
      <c r="FR737" s="1549"/>
      <c r="FS737" s="1543"/>
      <c r="FT737" s="1542" t="str">
        <f t="shared" si="36"/>
        <v/>
      </c>
      <c r="FU737" s="1549"/>
      <c r="FV737" s="1549"/>
      <c r="FW737" s="1549"/>
      <c r="FX737" s="1543"/>
      <c r="FY737" s="1542" t="str">
        <f t="shared" si="37"/>
        <v/>
      </c>
      <c r="FZ737" s="1549"/>
      <c r="GA737" s="1549"/>
      <c r="GB737" s="1549"/>
      <c r="GC737" s="1543"/>
    </row>
    <row r="738" spans="1:185" ht="12.95" customHeight="1">
      <c r="B738" s="1371"/>
      <c r="C738" s="1372"/>
      <c r="D738" s="1372"/>
      <c r="E738" s="1372"/>
      <c r="F738" s="1373"/>
      <c r="G738" s="1365"/>
      <c r="H738" s="1366"/>
      <c r="I738" s="1366"/>
      <c r="J738" s="1367"/>
      <c r="K738" s="1368"/>
      <c r="L738" s="1369"/>
      <c r="M738" s="1369"/>
      <c r="N738" s="1370"/>
      <c r="O738" s="1418"/>
      <c r="P738" s="1419"/>
      <c r="Q738" s="1419"/>
      <c r="R738" s="1419"/>
      <c r="S738" s="1420"/>
      <c r="T738" s="1418"/>
      <c r="U738" s="1419"/>
      <c r="V738" s="1419"/>
      <c r="W738" s="1420"/>
      <c r="X738" s="1421">
        <f t="shared" si="10"/>
        <v>0</v>
      </c>
      <c r="Y738" s="1417"/>
      <c r="Z738" s="1417"/>
      <c r="AA738" s="1417"/>
      <c r="AB738" s="1422"/>
      <c r="AC738" s="1423"/>
      <c r="AD738" s="1424"/>
      <c r="AE738" s="1424"/>
      <c r="AF738" s="1424"/>
      <c r="AG738" s="1425"/>
      <c r="AH738" s="1441" t="str">
        <f t="shared" si="39"/>
        <v/>
      </c>
      <c r="AI738" s="1442"/>
      <c r="AJ738" s="1443"/>
      <c r="AK738" s="1371" t="s">
        <v>591</v>
      </c>
      <c r="AL738" s="1372"/>
      <c r="AM738" s="1372"/>
      <c r="AN738" s="1372"/>
      <c r="AO738" s="1373"/>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2">
        <f t="shared" si="40"/>
        <v>0</v>
      </c>
      <c r="CH738" s="1543"/>
      <c r="CI738" s="1544">
        <f t="shared" si="41"/>
        <v>0</v>
      </c>
      <c r="CJ738" s="1545"/>
      <c r="CK738" s="1542">
        <f t="shared" si="18"/>
        <v>0</v>
      </c>
      <c r="CL738" s="1543"/>
      <c r="CM738" s="1544">
        <f t="shared" si="19"/>
        <v>0</v>
      </c>
      <c r="CN738" s="1545"/>
      <c r="CO738" s="3"/>
      <c r="CP738" s="1546">
        <f t="shared" si="20"/>
        <v>0</v>
      </c>
      <c r="CQ738" s="1547"/>
      <c r="CR738" s="1547"/>
      <c r="CS738" s="1547"/>
      <c r="CT738" s="1548"/>
      <c r="CU738" s="1540">
        <f t="shared" si="21"/>
        <v>0</v>
      </c>
      <c r="CV738" s="1540"/>
      <c r="CW738" s="1540"/>
      <c r="CX738" s="1540"/>
      <c r="CY738" s="1540"/>
      <c r="CZ738" s="1540">
        <f t="shared" si="22"/>
        <v>0</v>
      </c>
      <c r="DA738" s="1540"/>
      <c r="DB738" s="1540"/>
      <c r="DC738" s="1540"/>
      <c r="DD738" s="1540"/>
      <c r="DE738" s="1540">
        <f t="shared" si="23"/>
        <v>0</v>
      </c>
      <c r="DF738" s="1540"/>
      <c r="DG738" s="1540"/>
      <c r="DH738" s="1540"/>
      <c r="DI738" s="1540"/>
      <c r="DJ738" s="1540">
        <f t="shared" si="24"/>
        <v>0</v>
      </c>
      <c r="DK738" s="1540"/>
      <c r="DL738" s="1540"/>
      <c r="DM738" s="1540"/>
      <c r="DN738" s="1540"/>
      <c r="DO738" s="1540">
        <f t="shared" si="25"/>
        <v>0</v>
      </c>
      <c r="DP738" s="1540"/>
      <c r="DQ738" s="1540"/>
      <c r="DR738" s="1540"/>
      <c r="DS738" s="1540"/>
      <c r="DT738" s="6"/>
      <c r="DU738" s="1538">
        <f t="shared" si="26"/>
        <v>0</v>
      </c>
      <c r="DV738" s="1538"/>
      <c r="DW738" s="1538"/>
      <c r="DX738" s="1538"/>
      <c r="DY738" s="1538"/>
      <c r="DZ738" s="1538">
        <f t="shared" si="27"/>
        <v>0</v>
      </c>
      <c r="EA738" s="1538"/>
      <c r="EB738" s="1538"/>
      <c r="EC738" s="1538"/>
      <c r="ED738" s="1538"/>
      <c r="EE738" s="1538">
        <f t="shared" si="28"/>
        <v>0</v>
      </c>
      <c r="EF738" s="1538"/>
      <c r="EG738" s="1538"/>
      <c r="EH738" s="1538"/>
      <c r="EI738" s="1538"/>
      <c r="EJ738" s="1538">
        <f t="shared" si="29"/>
        <v>0</v>
      </c>
      <c r="EK738" s="1538"/>
      <c r="EL738" s="1538"/>
      <c r="EM738" s="1538"/>
      <c r="EN738" s="1538"/>
      <c r="EO738" s="1538">
        <f t="shared" si="30"/>
        <v>0</v>
      </c>
      <c r="EP738" s="1538"/>
      <c r="EQ738" s="1538"/>
      <c r="ER738" s="1538"/>
      <c r="ES738" s="1538"/>
      <c r="ET738" s="1538">
        <f t="shared" si="31"/>
        <v>0</v>
      </c>
      <c r="EU738" s="1538"/>
      <c r="EV738" s="1538"/>
      <c r="EW738" s="1538"/>
      <c r="EX738" s="1538"/>
      <c r="EZ738" s="1542" t="str">
        <f t="shared" si="32"/>
        <v/>
      </c>
      <c r="FA738" s="1549"/>
      <c r="FB738" s="1549"/>
      <c r="FC738" s="1549"/>
      <c r="FD738" s="1543"/>
      <c r="FE738" s="1542" t="str">
        <f t="shared" si="33"/>
        <v/>
      </c>
      <c r="FF738" s="1549"/>
      <c r="FG738" s="1549"/>
      <c r="FH738" s="1549"/>
      <c r="FI738" s="1543"/>
      <c r="FJ738" s="1542" t="str">
        <f t="shared" si="34"/>
        <v/>
      </c>
      <c r="FK738" s="1549"/>
      <c r="FL738" s="1549"/>
      <c r="FM738" s="1549"/>
      <c r="FN738" s="1543"/>
      <c r="FO738" s="1542" t="str">
        <f t="shared" si="35"/>
        <v/>
      </c>
      <c r="FP738" s="1549"/>
      <c r="FQ738" s="1549"/>
      <c r="FR738" s="1549"/>
      <c r="FS738" s="1543"/>
      <c r="FT738" s="1542" t="str">
        <f t="shared" si="36"/>
        <v/>
      </c>
      <c r="FU738" s="1549"/>
      <c r="FV738" s="1549"/>
      <c r="FW738" s="1549"/>
      <c r="FX738" s="1543"/>
      <c r="FY738" s="1542" t="str">
        <f t="shared" si="37"/>
        <v/>
      </c>
      <c r="FZ738" s="1549"/>
      <c r="GA738" s="1549"/>
      <c r="GB738" s="1549"/>
      <c r="GC738" s="1543"/>
    </row>
    <row r="739" spans="1:185" ht="12.95" customHeight="1">
      <c r="B739" s="1371"/>
      <c r="C739" s="1372"/>
      <c r="D739" s="1372"/>
      <c r="E739" s="1372"/>
      <c r="F739" s="1373"/>
      <c r="G739" s="1365"/>
      <c r="H739" s="1366"/>
      <c r="I739" s="1366"/>
      <c r="J739" s="1367"/>
      <c r="K739" s="1368"/>
      <c r="L739" s="1369"/>
      <c r="M739" s="1369"/>
      <c r="N739" s="1370"/>
      <c r="O739" s="1418"/>
      <c r="P739" s="1419"/>
      <c r="Q739" s="1419"/>
      <c r="R739" s="1419"/>
      <c r="S739" s="1420"/>
      <c r="T739" s="1418"/>
      <c r="U739" s="1419"/>
      <c r="V739" s="1419"/>
      <c r="W739" s="1420"/>
      <c r="X739" s="1421">
        <f t="shared" si="10"/>
        <v>0</v>
      </c>
      <c r="Y739" s="1417"/>
      <c r="Z739" s="1417"/>
      <c r="AA739" s="1417"/>
      <c r="AB739" s="1422"/>
      <c r="AC739" s="1423"/>
      <c r="AD739" s="1424"/>
      <c r="AE739" s="1424"/>
      <c r="AF739" s="1424"/>
      <c r="AG739" s="1425"/>
      <c r="AH739" s="1441" t="str">
        <f t="shared" si="39"/>
        <v/>
      </c>
      <c r="AI739" s="1442"/>
      <c r="AJ739" s="1443"/>
      <c r="AK739" s="1371" t="s">
        <v>591</v>
      </c>
      <c r="AL739" s="1372"/>
      <c r="AM739" s="1372"/>
      <c r="AN739" s="1372"/>
      <c r="AO739" s="1373"/>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2">
        <f t="shared" si="40"/>
        <v>0</v>
      </c>
      <c r="CH739" s="1543"/>
      <c r="CI739" s="1544">
        <f t="shared" si="41"/>
        <v>0</v>
      </c>
      <c r="CJ739" s="1545"/>
      <c r="CK739" s="1542">
        <f t="shared" si="18"/>
        <v>0</v>
      </c>
      <c r="CL739" s="1543"/>
      <c r="CM739" s="1544">
        <f t="shared" si="19"/>
        <v>0</v>
      </c>
      <c r="CN739" s="1545"/>
      <c r="CO739" s="3"/>
      <c r="CP739" s="1546">
        <f t="shared" si="20"/>
        <v>0</v>
      </c>
      <c r="CQ739" s="1547"/>
      <c r="CR739" s="1547"/>
      <c r="CS739" s="1547"/>
      <c r="CT739" s="1548"/>
      <c r="CU739" s="1540">
        <f t="shared" si="21"/>
        <v>0</v>
      </c>
      <c r="CV739" s="1540"/>
      <c r="CW739" s="1540"/>
      <c r="CX739" s="1540"/>
      <c r="CY739" s="1540"/>
      <c r="CZ739" s="1540">
        <f t="shared" si="22"/>
        <v>0</v>
      </c>
      <c r="DA739" s="1540"/>
      <c r="DB739" s="1540"/>
      <c r="DC739" s="1540"/>
      <c r="DD739" s="1540"/>
      <c r="DE739" s="1540">
        <f t="shared" si="23"/>
        <v>0</v>
      </c>
      <c r="DF739" s="1540"/>
      <c r="DG739" s="1540"/>
      <c r="DH739" s="1540"/>
      <c r="DI739" s="1540"/>
      <c r="DJ739" s="1540">
        <f t="shared" si="24"/>
        <v>0</v>
      </c>
      <c r="DK739" s="1540"/>
      <c r="DL739" s="1540"/>
      <c r="DM739" s="1540"/>
      <c r="DN739" s="1540"/>
      <c r="DO739" s="1540">
        <f t="shared" si="25"/>
        <v>0</v>
      </c>
      <c r="DP739" s="1540"/>
      <c r="DQ739" s="1540"/>
      <c r="DR739" s="1540"/>
      <c r="DS739" s="1540"/>
      <c r="DT739" s="6"/>
      <c r="DU739" s="1538">
        <f t="shared" si="26"/>
        <v>0</v>
      </c>
      <c r="DV739" s="1538"/>
      <c r="DW739" s="1538"/>
      <c r="DX739" s="1538"/>
      <c r="DY739" s="1538"/>
      <c r="DZ739" s="1538">
        <f t="shared" si="27"/>
        <v>0</v>
      </c>
      <c r="EA739" s="1538"/>
      <c r="EB739" s="1538"/>
      <c r="EC739" s="1538"/>
      <c r="ED739" s="1538"/>
      <c r="EE739" s="1538">
        <f t="shared" si="28"/>
        <v>0</v>
      </c>
      <c r="EF739" s="1538"/>
      <c r="EG739" s="1538"/>
      <c r="EH739" s="1538"/>
      <c r="EI739" s="1538"/>
      <c r="EJ739" s="1538">
        <f t="shared" si="29"/>
        <v>0</v>
      </c>
      <c r="EK739" s="1538"/>
      <c r="EL739" s="1538"/>
      <c r="EM739" s="1538"/>
      <c r="EN739" s="1538"/>
      <c r="EO739" s="1538">
        <f t="shared" si="30"/>
        <v>0</v>
      </c>
      <c r="EP739" s="1538"/>
      <c r="EQ739" s="1538"/>
      <c r="ER739" s="1538"/>
      <c r="ES739" s="1538"/>
      <c r="ET739" s="1538">
        <f t="shared" si="31"/>
        <v>0</v>
      </c>
      <c r="EU739" s="1538"/>
      <c r="EV739" s="1538"/>
      <c r="EW739" s="1538"/>
      <c r="EX739" s="1538"/>
      <c r="EZ739" s="1542" t="str">
        <f t="shared" si="32"/>
        <v/>
      </c>
      <c r="FA739" s="1549"/>
      <c r="FB739" s="1549"/>
      <c r="FC739" s="1549"/>
      <c r="FD739" s="1543"/>
      <c r="FE739" s="1542" t="str">
        <f t="shared" si="33"/>
        <v/>
      </c>
      <c r="FF739" s="1549"/>
      <c r="FG739" s="1549"/>
      <c r="FH739" s="1549"/>
      <c r="FI739" s="1543"/>
      <c r="FJ739" s="1542" t="str">
        <f t="shared" si="34"/>
        <v/>
      </c>
      <c r="FK739" s="1549"/>
      <c r="FL739" s="1549"/>
      <c r="FM739" s="1549"/>
      <c r="FN739" s="1543"/>
      <c r="FO739" s="1542" t="str">
        <f t="shared" si="35"/>
        <v/>
      </c>
      <c r="FP739" s="1549"/>
      <c r="FQ739" s="1549"/>
      <c r="FR739" s="1549"/>
      <c r="FS739" s="1543"/>
      <c r="FT739" s="1542" t="str">
        <f t="shared" si="36"/>
        <v/>
      </c>
      <c r="FU739" s="1549"/>
      <c r="FV739" s="1549"/>
      <c r="FW739" s="1549"/>
      <c r="FX739" s="1543"/>
      <c r="FY739" s="1542" t="str">
        <f t="shared" si="37"/>
        <v/>
      </c>
      <c r="FZ739" s="1549"/>
      <c r="GA739" s="1549"/>
      <c r="GB739" s="1549"/>
      <c r="GC739" s="1543"/>
    </row>
    <row r="740" spans="1:185" ht="12.95" customHeight="1">
      <c r="B740" s="1371"/>
      <c r="C740" s="1372"/>
      <c r="D740" s="1372"/>
      <c r="E740" s="1372"/>
      <c r="F740" s="1373"/>
      <c r="G740" s="1365"/>
      <c r="H740" s="1366"/>
      <c r="I740" s="1366"/>
      <c r="J740" s="1367"/>
      <c r="K740" s="1368"/>
      <c r="L740" s="1369"/>
      <c r="M740" s="1369"/>
      <c r="N740" s="1370"/>
      <c r="O740" s="1418"/>
      <c r="P740" s="1419"/>
      <c r="Q740" s="1419"/>
      <c r="R740" s="1419"/>
      <c r="S740" s="1420"/>
      <c r="T740" s="1418"/>
      <c r="U740" s="1419"/>
      <c r="V740" s="1419"/>
      <c r="W740" s="1420"/>
      <c r="X740" s="1421">
        <f t="shared" si="10"/>
        <v>0</v>
      </c>
      <c r="Y740" s="1417"/>
      <c r="Z740" s="1417"/>
      <c r="AA740" s="1417"/>
      <c r="AB740" s="1422"/>
      <c r="AC740" s="1423"/>
      <c r="AD740" s="1424"/>
      <c r="AE740" s="1424"/>
      <c r="AF740" s="1424"/>
      <c r="AG740" s="1425"/>
      <c r="AH740" s="1441" t="str">
        <f t="shared" si="39"/>
        <v/>
      </c>
      <c r="AI740" s="1442"/>
      <c r="AJ740" s="1443"/>
      <c r="AK740" s="1371" t="s">
        <v>591</v>
      </c>
      <c r="AL740" s="1372"/>
      <c r="AM740" s="1372"/>
      <c r="AN740" s="1372"/>
      <c r="AO740" s="1373"/>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2">
        <f t="shared" si="40"/>
        <v>0</v>
      </c>
      <c r="CH740" s="1543"/>
      <c r="CI740" s="1544">
        <f t="shared" si="41"/>
        <v>0</v>
      </c>
      <c r="CJ740" s="1545"/>
      <c r="CK740" s="1542">
        <f t="shared" si="18"/>
        <v>0</v>
      </c>
      <c r="CL740" s="1543"/>
      <c r="CM740" s="1544">
        <f t="shared" si="19"/>
        <v>0</v>
      </c>
      <c r="CN740" s="1545"/>
      <c r="CO740" s="3"/>
      <c r="CP740" s="1546">
        <f t="shared" si="20"/>
        <v>0</v>
      </c>
      <c r="CQ740" s="1547"/>
      <c r="CR740" s="1547"/>
      <c r="CS740" s="1547"/>
      <c r="CT740" s="1548"/>
      <c r="CU740" s="1540">
        <f t="shared" si="21"/>
        <v>0</v>
      </c>
      <c r="CV740" s="1540"/>
      <c r="CW740" s="1540"/>
      <c r="CX740" s="1540"/>
      <c r="CY740" s="1540"/>
      <c r="CZ740" s="1540">
        <f t="shared" si="22"/>
        <v>0</v>
      </c>
      <c r="DA740" s="1540"/>
      <c r="DB740" s="1540"/>
      <c r="DC740" s="1540"/>
      <c r="DD740" s="1540"/>
      <c r="DE740" s="1540">
        <f t="shared" si="23"/>
        <v>0</v>
      </c>
      <c r="DF740" s="1540"/>
      <c r="DG740" s="1540"/>
      <c r="DH740" s="1540"/>
      <c r="DI740" s="1540"/>
      <c r="DJ740" s="1540">
        <f t="shared" si="24"/>
        <v>0</v>
      </c>
      <c r="DK740" s="1540"/>
      <c r="DL740" s="1540"/>
      <c r="DM740" s="1540"/>
      <c r="DN740" s="1540"/>
      <c r="DO740" s="1540">
        <f t="shared" si="25"/>
        <v>0</v>
      </c>
      <c r="DP740" s="1540"/>
      <c r="DQ740" s="1540"/>
      <c r="DR740" s="1540"/>
      <c r="DS740" s="1540"/>
      <c r="DT740" s="6"/>
      <c r="DU740" s="1538">
        <f t="shared" si="26"/>
        <v>0</v>
      </c>
      <c r="DV740" s="1538"/>
      <c r="DW740" s="1538"/>
      <c r="DX740" s="1538"/>
      <c r="DY740" s="1538"/>
      <c r="DZ740" s="1538">
        <f t="shared" si="27"/>
        <v>0</v>
      </c>
      <c r="EA740" s="1538"/>
      <c r="EB740" s="1538"/>
      <c r="EC740" s="1538"/>
      <c r="ED740" s="1538"/>
      <c r="EE740" s="1538">
        <f t="shared" si="28"/>
        <v>0</v>
      </c>
      <c r="EF740" s="1538"/>
      <c r="EG740" s="1538"/>
      <c r="EH740" s="1538"/>
      <c r="EI740" s="1538"/>
      <c r="EJ740" s="1538">
        <f t="shared" si="29"/>
        <v>0</v>
      </c>
      <c r="EK740" s="1538"/>
      <c r="EL740" s="1538"/>
      <c r="EM740" s="1538"/>
      <c r="EN740" s="1538"/>
      <c r="EO740" s="1538">
        <f t="shared" si="30"/>
        <v>0</v>
      </c>
      <c r="EP740" s="1538"/>
      <c r="EQ740" s="1538"/>
      <c r="ER740" s="1538"/>
      <c r="ES740" s="1538"/>
      <c r="ET740" s="1538">
        <f t="shared" si="31"/>
        <v>0</v>
      </c>
      <c r="EU740" s="1538"/>
      <c r="EV740" s="1538"/>
      <c r="EW740" s="1538"/>
      <c r="EX740" s="1538"/>
      <c r="EZ740" s="1542" t="str">
        <f t="shared" si="32"/>
        <v/>
      </c>
      <c r="FA740" s="1549"/>
      <c r="FB740" s="1549"/>
      <c r="FC740" s="1549"/>
      <c r="FD740" s="1543"/>
      <c r="FE740" s="1542" t="str">
        <f t="shared" si="33"/>
        <v/>
      </c>
      <c r="FF740" s="1549"/>
      <c r="FG740" s="1549"/>
      <c r="FH740" s="1549"/>
      <c r="FI740" s="1543"/>
      <c r="FJ740" s="1542" t="str">
        <f t="shared" si="34"/>
        <v/>
      </c>
      <c r="FK740" s="1549"/>
      <c r="FL740" s="1549"/>
      <c r="FM740" s="1549"/>
      <c r="FN740" s="1543"/>
      <c r="FO740" s="1542" t="str">
        <f t="shared" si="35"/>
        <v/>
      </c>
      <c r="FP740" s="1549"/>
      <c r="FQ740" s="1549"/>
      <c r="FR740" s="1549"/>
      <c r="FS740" s="1543"/>
      <c r="FT740" s="1542" t="str">
        <f t="shared" si="36"/>
        <v/>
      </c>
      <c r="FU740" s="1549"/>
      <c r="FV740" s="1549"/>
      <c r="FW740" s="1549"/>
      <c r="FX740" s="1543"/>
      <c r="FY740" s="1542" t="str">
        <f t="shared" si="37"/>
        <v/>
      </c>
      <c r="FZ740" s="1549"/>
      <c r="GA740" s="1549"/>
      <c r="GB740" s="1549"/>
      <c r="GC740" s="1543"/>
    </row>
    <row r="741" spans="1:185" ht="12.95" customHeight="1">
      <c r="B741" s="1371"/>
      <c r="C741" s="1372"/>
      <c r="D741" s="1372"/>
      <c r="E741" s="1372"/>
      <c r="F741" s="1373"/>
      <c r="G741" s="1365"/>
      <c r="H741" s="1366"/>
      <c r="I741" s="1366"/>
      <c r="J741" s="1367"/>
      <c r="K741" s="1368"/>
      <c r="L741" s="1369"/>
      <c r="M741" s="1369"/>
      <c r="N741" s="1370"/>
      <c r="O741" s="1418"/>
      <c r="P741" s="1419"/>
      <c r="Q741" s="1419"/>
      <c r="R741" s="1419"/>
      <c r="S741" s="1420"/>
      <c r="T741" s="1418"/>
      <c r="U741" s="1419"/>
      <c r="V741" s="1419"/>
      <c r="W741" s="1420"/>
      <c r="X741" s="1421">
        <f t="shared" si="10"/>
        <v>0</v>
      </c>
      <c r="Y741" s="1417"/>
      <c r="Z741" s="1417"/>
      <c r="AA741" s="1417"/>
      <c r="AB741" s="1422"/>
      <c r="AC741" s="1423"/>
      <c r="AD741" s="1424"/>
      <c r="AE741" s="1424"/>
      <c r="AF741" s="1424"/>
      <c r="AG741" s="1425"/>
      <c r="AH741" s="1441" t="str">
        <f t="shared" si="39"/>
        <v/>
      </c>
      <c r="AI741" s="1442"/>
      <c r="AJ741" s="1443"/>
      <c r="AK741" s="1371" t="s">
        <v>591</v>
      </c>
      <c r="AL741" s="1372"/>
      <c r="AM741" s="1372"/>
      <c r="AN741" s="1372"/>
      <c r="AO741" s="1373"/>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2">
        <f t="shared" si="40"/>
        <v>0</v>
      </c>
      <c r="CH741" s="1543"/>
      <c r="CI741" s="1544">
        <f t="shared" si="41"/>
        <v>0</v>
      </c>
      <c r="CJ741" s="1545"/>
      <c r="CK741" s="1542">
        <f t="shared" si="18"/>
        <v>0</v>
      </c>
      <c r="CL741" s="1543"/>
      <c r="CM741" s="1544">
        <f t="shared" si="19"/>
        <v>0</v>
      </c>
      <c r="CN741" s="1545"/>
      <c r="CO741" s="3"/>
      <c r="CP741" s="1546">
        <f t="shared" si="20"/>
        <v>0</v>
      </c>
      <c r="CQ741" s="1547"/>
      <c r="CR741" s="1547"/>
      <c r="CS741" s="1547"/>
      <c r="CT741" s="1548"/>
      <c r="CU741" s="1540">
        <f t="shared" si="21"/>
        <v>0</v>
      </c>
      <c r="CV741" s="1540"/>
      <c r="CW741" s="1540"/>
      <c r="CX741" s="1540"/>
      <c r="CY741" s="1540"/>
      <c r="CZ741" s="1540">
        <f t="shared" si="22"/>
        <v>0</v>
      </c>
      <c r="DA741" s="1540"/>
      <c r="DB741" s="1540"/>
      <c r="DC741" s="1540"/>
      <c r="DD741" s="1540"/>
      <c r="DE741" s="1540">
        <f t="shared" si="23"/>
        <v>0</v>
      </c>
      <c r="DF741" s="1540"/>
      <c r="DG741" s="1540"/>
      <c r="DH741" s="1540"/>
      <c r="DI741" s="1540"/>
      <c r="DJ741" s="1540">
        <f t="shared" si="24"/>
        <v>0</v>
      </c>
      <c r="DK741" s="1540"/>
      <c r="DL741" s="1540"/>
      <c r="DM741" s="1540"/>
      <c r="DN741" s="1540"/>
      <c r="DO741" s="1540">
        <f t="shared" si="25"/>
        <v>0</v>
      </c>
      <c r="DP741" s="1540"/>
      <c r="DQ741" s="1540"/>
      <c r="DR741" s="1540"/>
      <c r="DS741" s="1540"/>
      <c r="DT741" s="6"/>
      <c r="DU741" s="1538">
        <f t="shared" si="26"/>
        <v>0</v>
      </c>
      <c r="DV741" s="1538"/>
      <c r="DW741" s="1538"/>
      <c r="DX741" s="1538"/>
      <c r="DY741" s="1538"/>
      <c r="DZ741" s="1538">
        <f t="shared" si="27"/>
        <v>0</v>
      </c>
      <c r="EA741" s="1538"/>
      <c r="EB741" s="1538"/>
      <c r="EC741" s="1538"/>
      <c r="ED741" s="1538"/>
      <c r="EE741" s="1538">
        <f t="shared" si="28"/>
        <v>0</v>
      </c>
      <c r="EF741" s="1538"/>
      <c r="EG741" s="1538"/>
      <c r="EH741" s="1538"/>
      <c r="EI741" s="1538"/>
      <c r="EJ741" s="1538">
        <f t="shared" si="29"/>
        <v>0</v>
      </c>
      <c r="EK741" s="1538"/>
      <c r="EL741" s="1538"/>
      <c r="EM741" s="1538"/>
      <c r="EN741" s="1538"/>
      <c r="EO741" s="1538">
        <f t="shared" si="30"/>
        <v>0</v>
      </c>
      <c r="EP741" s="1538"/>
      <c r="EQ741" s="1538"/>
      <c r="ER741" s="1538"/>
      <c r="ES741" s="1538"/>
      <c r="ET741" s="1538">
        <f t="shared" si="31"/>
        <v>0</v>
      </c>
      <c r="EU741" s="1538"/>
      <c r="EV741" s="1538"/>
      <c r="EW741" s="1538"/>
      <c r="EX741" s="1538"/>
      <c r="EZ741" s="1542" t="str">
        <f t="shared" si="32"/>
        <v/>
      </c>
      <c r="FA741" s="1549"/>
      <c r="FB741" s="1549"/>
      <c r="FC741" s="1549"/>
      <c r="FD741" s="1543"/>
      <c r="FE741" s="1542" t="str">
        <f t="shared" si="33"/>
        <v/>
      </c>
      <c r="FF741" s="1549"/>
      <c r="FG741" s="1549"/>
      <c r="FH741" s="1549"/>
      <c r="FI741" s="1543"/>
      <c r="FJ741" s="1542" t="str">
        <f t="shared" si="34"/>
        <v/>
      </c>
      <c r="FK741" s="1549"/>
      <c r="FL741" s="1549"/>
      <c r="FM741" s="1549"/>
      <c r="FN741" s="1543"/>
      <c r="FO741" s="1542" t="str">
        <f t="shared" si="35"/>
        <v/>
      </c>
      <c r="FP741" s="1549"/>
      <c r="FQ741" s="1549"/>
      <c r="FR741" s="1549"/>
      <c r="FS741" s="1543"/>
      <c r="FT741" s="1542" t="str">
        <f t="shared" si="36"/>
        <v/>
      </c>
      <c r="FU741" s="1549"/>
      <c r="FV741" s="1549"/>
      <c r="FW741" s="1549"/>
      <c r="FX741" s="1543"/>
      <c r="FY741" s="1542" t="str">
        <f t="shared" si="37"/>
        <v/>
      </c>
      <c r="FZ741" s="1549"/>
      <c r="GA741" s="1549"/>
      <c r="GB741" s="1549"/>
      <c r="GC741" s="1543"/>
    </row>
    <row r="742" spans="1:185" ht="12.95" customHeight="1">
      <c r="B742" s="1371"/>
      <c r="C742" s="1372"/>
      <c r="D742" s="1372"/>
      <c r="E742" s="1372"/>
      <c r="F742" s="1373"/>
      <c r="G742" s="1365"/>
      <c r="H742" s="1366"/>
      <c r="I742" s="1366"/>
      <c r="J742" s="1367"/>
      <c r="K742" s="1368"/>
      <c r="L742" s="1369"/>
      <c r="M742" s="1369"/>
      <c r="N742" s="1370"/>
      <c r="O742" s="1418"/>
      <c r="P742" s="1419"/>
      <c r="Q742" s="1419"/>
      <c r="R742" s="1419"/>
      <c r="S742" s="1420"/>
      <c r="T742" s="1418"/>
      <c r="U742" s="1419"/>
      <c r="V742" s="1419"/>
      <c r="W742" s="1420"/>
      <c r="X742" s="1421">
        <f t="shared" si="10"/>
        <v>0</v>
      </c>
      <c r="Y742" s="1417"/>
      <c r="Z742" s="1417"/>
      <c r="AA742" s="1417"/>
      <c r="AB742" s="1422"/>
      <c r="AC742" s="1423"/>
      <c r="AD742" s="1424"/>
      <c r="AE742" s="1424"/>
      <c r="AF742" s="1424"/>
      <c r="AG742" s="1425"/>
      <c r="AH742" s="1441" t="str">
        <f t="shared" si="39"/>
        <v/>
      </c>
      <c r="AI742" s="1442"/>
      <c r="AJ742" s="1443"/>
      <c r="AK742" s="1371" t="s">
        <v>591</v>
      </c>
      <c r="AL742" s="1372"/>
      <c r="AM742" s="1372"/>
      <c r="AN742" s="1372"/>
      <c r="AO742" s="1373"/>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2">
        <f t="shared" si="40"/>
        <v>0</v>
      </c>
      <c r="CH742" s="1543"/>
      <c r="CI742" s="1544">
        <f t="shared" si="41"/>
        <v>0</v>
      </c>
      <c r="CJ742" s="1545"/>
      <c r="CK742" s="1542">
        <f t="shared" si="18"/>
        <v>0</v>
      </c>
      <c r="CL742" s="1543"/>
      <c r="CM742" s="1544">
        <f t="shared" si="19"/>
        <v>0</v>
      </c>
      <c r="CN742" s="1545"/>
      <c r="CO742" s="3"/>
      <c r="CP742" s="1546">
        <f t="shared" si="20"/>
        <v>0</v>
      </c>
      <c r="CQ742" s="1547"/>
      <c r="CR742" s="1547"/>
      <c r="CS742" s="1547"/>
      <c r="CT742" s="1548"/>
      <c r="CU742" s="1540">
        <f t="shared" si="21"/>
        <v>0</v>
      </c>
      <c r="CV742" s="1540"/>
      <c r="CW742" s="1540"/>
      <c r="CX742" s="1540"/>
      <c r="CY742" s="1540"/>
      <c r="CZ742" s="1540">
        <f t="shared" si="22"/>
        <v>0</v>
      </c>
      <c r="DA742" s="1540"/>
      <c r="DB742" s="1540"/>
      <c r="DC742" s="1540"/>
      <c r="DD742" s="1540"/>
      <c r="DE742" s="1540">
        <f t="shared" si="23"/>
        <v>0</v>
      </c>
      <c r="DF742" s="1540"/>
      <c r="DG742" s="1540"/>
      <c r="DH742" s="1540"/>
      <c r="DI742" s="1540"/>
      <c r="DJ742" s="1540">
        <f t="shared" si="24"/>
        <v>0</v>
      </c>
      <c r="DK742" s="1540"/>
      <c r="DL742" s="1540"/>
      <c r="DM742" s="1540"/>
      <c r="DN742" s="1540"/>
      <c r="DO742" s="1540">
        <f t="shared" si="25"/>
        <v>0</v>
      </c>
      <c r="DP742" s="1540"/>
      <c r="DQ742" s="1540"/>
      <c r="DR742" s="1540"/>
      <c r="DS742" s="1540"/>
      <c r="DT742" s="6"/>
      <c r="DU742" s="1538">
        <f t="shared" si="26"/>
        <v>0</v>
      </c>
      <c r="DV742" s="1538"/>
      <c r="DW742" s="1538"/>
      <c r="DX742" s="1538"/>
      <c r="DY742" s="1538"/>
      <c r="DZ742" s="1538">
        <f t="shared" si="27"/>
        <v>0</v>
      </c>
      <c r="EA742" s="1538"/>
      <c r="EB742" s="1538"/>
      <c r="EC742" s="1538"/>
      <c r="ED742" s="1538"/>
      <c r="EE742" s="1538">
        <f t="shared" si="28"/>
        <v>0</v>
      </c>
      <c r="EF742" s="1538"/>
      <c r="EG742" s="1538"/>
      <c r="EH742" s="1538"/>
      <c r="EI742" s="1538"/>
      <c r="EJ742" s="1538">
        <f t="shared" si="29"/>
        <v>0</v>
      </c>
      <c r="EK742" s="1538"/>
      <c r="EL742" s="1538"/>
      <c r="EM742" s="1538"/>
      <c r="EN742" s="1538"/>
      <c r="EO742" s="1538">
        <f t="shared" si="30"/>
        <v>0</v>
      </c>
      <c r="EP742" s="1538"/>
      <c r="EQ742" s="1538"/>
      <c r="ER742" s="1538"/>
      <c r="ES742" s="1538"/>
      <c r="ET742" s="1538">
        <f t="shared" si="31"/>
        <v>0</v>
      </c>
      <c r="EU742" s="1538"/>
      <c r="EV742" s="1538"/>
      <c r="EW742" s="1538"/>
      <c r="EX742" s="1538"/>
      <c r="EZ742" s="1542" t="str">
        <f t="shared" si="32"/>
        <v/>
      </c>
      <c r="FA742" s="1549"/>
      <c r="FB742" s="1549"/>
      <c r="FC742" s="1549"/>
      <c r="FD742" s="1543"/>
      <c r="FE742" s="1542" t="str">
        <f t="shared" si="33"/>
        <v/>
      </c>
      <c r="FF742" s="1549"/>
      <c r="FG742" s="1549"/>
      <c r="FH742" s="1549"/>
      <c r="FI742" s="1543"/>
      <c r="FJ742" s="1542" t="str">
        <f t="shared" si="34"/>
        <v/>
      </c>
      <c r="FK742" s="1549"/>
      <c r="FL742" s="1549"/>
      <c r="FM742" s="1549"/>
      <c r="FN742" s="1543"/>
      <c r="FO742" s="1542" t="str">
        <f t="shared" si="35"/>
        <v/>
      </c>
      <c r="FP742" s="1549"/>
      <c r="FQ742" s="1549"/>
      <c r="FR742" s="1549"/>
      <c r="FS742" s="1543"/>
      <c r="FT742" s="1542" t="str">
        <f t="shared" si="36"/>
        <v/>
      </c>
      <c r="FU742" s="1549"/>
      <c r="FV742" s="1549"/>
      <c r="FW742" s="1549"/>
      <c r="FX742" s="1543"/>
      <c r="FY742" s="1542" t="str">
        <f t="shared" si="37"/>
        <v/>
      </c>
      <c r="FZ742" s="1549"/>
      <c r="GA742" s="1549"/>
      <c r="GB742" s="1549"/>
      <c r="GC742" s="1543"/>
    </row>
    <row r="743" spans="1:185" ht="12.95" customHeight="1">
      <c r="B743" s="1371"/>
      <c r="C743" s="1372"/>
      <c r="D743" s="1372"/>
      <c r="E743" s="1372"/>
      <c r="F743" s="1373"/>
      <c r="G743" s="1365"/>
      <c r="H743" s="1366"/>
      <c r="I743" s="1366"/>
      <c r="J743" s="1367"/>
      <c r="K743" s="1368"/>
      <c r="L743" s="1369"/>
      <c r="M743" s="1369"/>
      <c r="N743" s="1370"/>
      <c r="O743" s="1418"/>
      <c r="P743" s="1419"/>
      <c r="Q743" s="1419"/>
      <c r="R743" s="1419"/>
      <c r="S743" s="1420"/>
      <c r="T743" s="1418"/>
      <c r="U743" s="1419"/>
      <c r="V743" s="1419"/>
      <c r="W743" s="1420"/>
      <c r="X743" s="1421">
        <f t="shared" si="10"/>
        <v>0</v>
      </c>
      <c r="Y743" s="1417"/>
      <c r="Z743" s="1417"/>
      <c r="AA743" s="1417"/>
      <c r="AB743" s="1422"/>
      <c r="AC743" s="1423"/>
      <c r="AD743" s="1424"/>
      <c r="AE743" s="1424"/>
      <c r="AF743" s="1424"/>
      <c r="AG743" s="1425"/>
      <c r="AH743" s="1441" t="str">
        <f t="shared" si="39"/>
        <v/>
      </c>
      <c r="AI743" s="1442"/>
      <c r="AJ743" s="1443"/>
      <c r="AK743" s="1371" t="s">
        <v>591</v>
      </c>
      <c r="AL743" s="1372"/>
      <c r="AM743" s="1372"/>
      <c r="AN743" s="1372"/>
      <c r="AO743" s="1373"/>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2">
        <f t="shared" si="40"/>
        <v>0</v>
      </c>
      <c r="CH743" s="1543"/>
      <c r="CI743" s="1544">
        <f t="shared" si="41"/>
        <v>0</v>
      </c>
      <c r="CJ743" s="1545"/>
      <c r="CK743" s="1542">
        <f t="shared" si="18"/>
        <v>0</v>
      </c>
      <c r="CL743" s="1543"/>
      <c r="CM743" s="1544">
        <f t="shared" si="19"/>
        <v>0</v>
      </c>
      <c r="CN743" s="1545"/>
      <c r="CO743" s="3"/>
      <c r="CP743" s="1546">
        <f t="shared" si="20"/>
        <v>0</v>
      </c>
      <c r="CQ743" s="1547"/>
      <c r="CR743" s="1547"/>
      <c r="CS743" s="1547"/>
      <c r="CT743" s="1548"/>
      <c r="CU743" s="1540">
        <f t="shared" si="21"/>
        <v>0</v>
      </c>
      <c r="CV743" s="1540"/>
      <c r="CW743" s="1540"/>
      <c r="CX743" s="1540"/>
      <c r="CY743" s="1540"/>
      <c r="CZ743" s="1540">
        <f t="shared" si="22"/>
        <v>0</v>
      </c>
      <c r="DA743" s="1540"/>
      <c r="DB743" s="1540"/>
      <c r="DC743" s="1540"/>
      <c r="DD743" s="1540"/>
      <c r="DE743" s="1540">
        <f t="shared" si="23"/>
        <v>0</v>
      </c>
      <c r="DF743" s="1540"/>
      <c r="DG743" s="1540"/>
      <c r="DH743" s="1540"/>
      <c r="DI743" s="1540"/>
      <c r="DJ743" s="1540">
        <f t="shared" si="24"/>
        <v>0</v>
      </c>
      <c r="DK743" s="1540"/>
      <c r="DL743" s="1540"/>
      <c r="DM743" s="1540"/>
      <c r="DN743" s="1540"/>
      <c r="DO743" s="1540">
        <f t="shared" si="25"/>
        <v>0</v>
      </c>
      <c r="DP743" s="1540"/>
      <c r="DQ743" s="1540"/>
      <c r="DR743" s="1540"/>
      <c r="DS743" s="1540"/>
      <c r="DT743" s="6"/>
      <c r="DU743" s="1538">
        <f t="shared" si="26"/>
        <v>0</v>
      </c>
      <c r="DV743" s="1538"/>
      <c r="DW743" s="1538"/>
      <c r="DX743" s="1538"/>
      <c r="DY743" s="1538"/>
      <c r="DZ743" s="1538">
        <f t="shared" si="27"/>
        <v>0</v>
      </c>
      <c r="EA743" s="1538"/>
      <c r="EB743" s="1538"/>
      <c r="EC743" s="1538"/>
      <c r="ED743" s="1538"/>
      <c r="EE743" s="1538">
        <f t="shared" si="28"/>
        <v>0</v>
      </c>
      <c r="EF743" s="1538"/>
      <c r="EG743" s="1538"/>
      <c r="EH743" s="1538"/>
      <c r="EI743" s="1538"/>
      <c r="EJ743" s="1538">
        <f t="shared" si="29"/>
        <v>0</v>
      </c>
      <c r="EK743" s="1538"/>
      <c r="EL743" s="1538"/>
      <c r="EM743" s="1538"/>
      <c r="EN743" s="1538"/>
      <c r="EO743" s="1538">
        <f t="shared" si="30"/>
        <v>0</v>
      </c>
      <c r="EP743" s="1538"/>
      <c r="EQ743" s="1538"/>
      <c r="ER743" s="1538"/>
      <c r="ES743" s="1538"/>
      <c r="ET743" s="1538">
        <f t="shared" si="31"/>
        <v>0</v>
      </c>
      <c r="EU743" s="1538"/>
      <c r="EV743" s="1538"/>
      <c r="EW743" s="1538"/>
      <c r="EX743" s="1538"/>
      <c r="EZ743" s="1542" t="str">
        <f t="shared" si="32"/>
        <v/>
      </c>
      <c r="FA743" s="1549"/>
      <c r="FB743" s="1549"/>
      <c r="FC743" s="1549"/>
      <c r="FD743" s="1543"/>
      <c r="FE743" s="1542" t="str">
        <f t="shared" si="33"/>
        <v/>
      </c>
      <c r="FF743" s="1549"/>
      <c r="FG743" s="1549"/>
      <c r="FH743" s="1549"/>
      <c r="FI743" s="1543"/>
      <c r="FJ743" s="1542" t="str">
        <f t="shared" si="34"/>
        <v/>
      </c>
      <c r="FK743" s="1549"/>
      <c r="FL743" s="1549"/>
      <c r="FM743" s="1549"/>
      <c r="FN743" s="1543"/>
      <c r="FO743" s="1542" t="str">
        <f t="shared" si="35"/>
        <v/>
      </c>
      <c r="FP743" s="1549"/>
      <c r="FQ743" s="1549"/>
      <c r="FR743" s="1549"/>
      <c r="FS743" s="1543"/>
      <c r="FT743" s="1542" t="str">
        <f t="shared" si="36"/>
        <v/>
      </c>
      <c r="FU743" s="1549"/>
      <c r="FV743" s="1549"/>
      <c r="FW743" s="1549"/>
      <c r="FX743" s="1543"/>
      <c r="FY743" s="1542" t="str">
        <f t="shared" si="37"/>
        <v/>
      </c>
      <c r="FZ743" s="1549"/>
      <c r="GA743" s="1549"/>
      <c r="GB743" s="1549"/>
      <c r="GC743" s="1543"/>
    </row>
    <row r="744" spans="1:185" ht="12.95" customHeight="1">
      <c r="B744" s="1371"/>
      <c r="C744" s="1372"/>
      <c r="D744" s="1372"/>
      <c r="E744" s="1372"/>
      <c r="F744" s="1373"/>
      <c r="G744" s="1365"/>
      <c r="H744" s="1366"/>
      <c r="I744" s="1366"/>
      <c r="J744" s="1367"/>
      <c r="K744" s="1368"/>
      <c r="L744" s="1369"/>
      <c r="M744" s="1369"/>
      <c r="N744" s="1370"/>
      <c r="O744" s="1418"/>
      <c r="P744" s="1419"/>
      <c r="Q744" s="1419"/>
      <c r="R744" s="1419"/>
      <c r="S744" s="1420"/>
      <c r="T744" s="1418"/>
      <c r="U744" s="1419"/>
      <c r="V744" s="1419"/>
      <c r="W744" s="1420"/>
      <c r="X744" s="1421">
        <f t="shared" si="10"/>
        <v>0</v>
      </c>
      <c r="Y744" s="1417"/>
      <c r="Z744" s="1417"/>
      <c r="AA744" s="1417"/>
      <c r="AB744" s="1422"/>
      <c r="AC744" s="1423"/>
      <c r="AD744" s="1424"/>
      <c r="AE744" s="1424"/>
      <c r="AF744" s="1424"/>
      <c r="AG744" s="1425"/>
      <c r="AH744" s="1441" t="str">
        <f t="shared" si="39"/>
        <v/>
      </c>
      <c r="AI744" s="1442"/>
      <c r="AJ744" s="1443"/>
      <c r="AK744" s="1371" t="s">
        <v>591</v>
      </c>
      <c r="AL744" s="1372"/>
      <c r="AM744" s="1372"/>
      <c r="AN744" s="1372"/>
      <c r="AO744" s="1373"/>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2">
        <f t="shared" si="40"/>
        <v>0</v>
      </c>
      <c r="CH744" s="1543"/>
      <c r="CI744" s="1544">
        <f t="shared" si="41"/>
        <v>0</v>
      </c>
      <c r="CJ744" s="1545"/>
      <c r="CK744" s="1542">
        <f t="shared" si="18"/>
        <v>0</v>
      </c>
      <c r="CL744" s="1543"/>
      <c r="CM744" s="1544">
        <f t="shared" si="19"/>
        <v>0</v>
      </c>
      <c r="CN744" s="1545"/>
      <c r="CO744" s="3"/>
      <c r="CP744" s="1546">
        <f t="shared" si="20"/>
        <v>0</v>
      </c>
      <c r="CQ744" s="1547"/>
      <c r="CR744" s="1547"/>
      <c r="CS744" s="1547"/>
      <c r="CT744" s="1548"/>
      <c r="CU744" s="1540">
        <f t="shared" si="21"/>
        <v>0</v>
      </c>
      <c r="CV744" s="1540"/>
      <c r="CW744" s="1540"/>
      <c r="CX744" s="1540"/>
      <c r="CY744" s="1540"/>
      <c r="CZ744" s="1540">
        <f t="shared" si="22"/>
        <v>0</v>
      </c>
      <c r="DA744" s="1540"/>
      <c r="DB744" s="1540"/>
      <c r="DC744" s="1540"/>
      <c r="DD744" s="1540"/>
      <c r="DE744" s="1540">
        <f t="shared" si="23"/>
        <v>0</v>
      </c>
      <c r="DF744" s="1540"/>
      <c r="DG744" s="1540"/>
      <c r="DH744" s="1540"/>
      <c r="DI744" s="1540"/>
      <c r="DJ744" s="1540">
        <f t="shared" si="24"/>
        <v>0</v>
      </c>
      <c r="DK744" s="1540"/>
      <c r="DL744" s="1540"/>
      <c r="DM744" s="1540"/>
      <c r="DN744" s="1540"/>
      <c r="DO744" s="1540">
        <f t="shared" si="25"/>
        <v>0</v>
      </c>
      <c r="DP744" s="1540"/>
      <c r="DQ744" s="1540"/>
      <c r="DR744" s="1540"/>
      <c r="DS744" s="1540"/>
      <c r="DT744" s="6"/>
      <c r="DU744" s="1538">
        <f t="shared" si="26"/>
        <v>0</v>
      </c>
      <c r="DV744" s="1538"/>
      <c r="DW744" s="1538"/>
      <c r="DX744" s="1538"/>
      <c r="DY744" s="1538"/>
      <c r="DZ744" s="1538">
        <f t="shared" si="27"/>
        <v>0</v>
      </c>
      <c r="EA744" s="1538"/>
      <c r="EB744" s="1538"/>
      <c r="EC744" s="1538"/>
      <c r="ED744" s="1538"/>
      <c r="EE744" s="1538">
        <f t="shared" si="28"/>
        <v>0</v>
      </c>
      <c r="EF744" s="1538"/>
      <c r="EG744" s="1538"/>
      <c r="EH744" s="1538"/>
      <c r="EI744" s="1538"/>
      <c r="EJ744" s="1538">
        <f t="shared" si="29"/>
        <v>0</v>
      </c>
      <c r="EK744" s="1538"/>
      <c r="EL744" s="1538"/>
      <c r="EM744" s="1538"/>
      <c r="EN744" s="1538"/>
      <c r="EO744" s="1538">
        <f t="shared" si="30"/>
        <v>0</v>
      </c>
      <c r="EP744" s="1538"/>
      <c r="EQ744" s="1538"/>
      <c r="ER744" s="1538"/>
      <c r="ES744" s="1538"/>
      <c r="ET744" s="1538">
        <f t="shared" si="31"/>
        <v>0</v>
      </c>
      <c r="EU744" s="1538"/>
      <c r="EV744" s="1538"/>
      <c r="EW744" s="1538"/>
      <c r="EX744" s="1538"/>
      <c r="EZ744" s="1542" t="str">
        <f t="shared" si="32"/>
        <v/>
      </c>
      <c r="FA744" s="1549"/>
      <c r="FB744" s="1549"/>
      <c r="FC744" s="1549"/>
      <c r="FD744" s="1543"/>
      <c r="FE744" s="1542" t="str">
        <f t="shared" si="33"/>
        <v/>
      </c>
      <c r="FF744" s="1549"/>
      <c r="FG744" s="1549"/>
      <c r="FH744" s="1549"/>
      <c r="FI744" s="1543"/>
      <c r="FJ744" s="1542" t="str">
        <f t="shared" si="34"/>
        <v/>
      </c>
      <c r="FK744" s="1549"/>
      <c r="FL744" s="1549"/>
      <c r="FM744" s="1549"/>
      <c r="FN744" s="1543"/>
      <c r="FO744" s="1542" t="str">
        <f t="shared" si="35"/>
        <v/>
      </c>
      <c r="FP744" s="1549"/>
      <c r="FQ744" s="1549"/>
      <c r="FR744" s="1549"/>
      <c r="FS744" s="1543"/>
      <c r="FT744" s="1542" t="str">
        <f t="shared" si="36"/>
        <v/>
      </c>
      <c r="FU744" s="1549"/>
      <c r="FV744" s="1549"/>
      <c r="FW744" s="1549"/>
      <c r="FX744" s="1543"/>
      <c r="FY744" s="1542" t="str">
        <f t="shared" si="37"/>
        <v/>
      </c>
      <c r="FZ744" s="1549"/>
      <c r="GA744" s="1549"/>
      <c r="GB744" s="1549"/>
      <c r="GC744" s="1543"/>
    </row>
    <row r="745" spans="1:185" ht="12.95" customHeight="1">
      <c r="B745" s="1371"/>
      <c r="C745" s="1372"/>
      <c r="D745" s="1372"/>
      <c r="E745" s="1372"/>
      <c r="F745" s="1373"/>
      <c r="G745" s="1365"/>
      <c r="H745" s="1366"/>
      <c r="I745" s="1366"/>
      <c r="J745" s="1367"/>
      <c r="K745" s="1368"/>
      <c r="L745" s="1369"/>
      <c r="M745" s="1369"/>
      <c r="N745" s="1370"/>
      <c r="O745" s="1418"/>
      <c r="P745" s="1419"/>
      <c r="Q745" s="1419"/>
      <c r="R745" s="1419"/>
      <c r="S745" s="1420"/>
      <c r="T745" s="1418"/>
      <c r="U745" s="1419"/>
      <c r="V745" s="1419"/>
      <c r="W745" s="1420"/>
      <c r="X745" s="1421">
        <f t="shared" si="10"/>
        <v>0</v>
      </c>
      <c r="Y745" s="1417"/>
      <c r="Z745" s="1417"/>
      <c r="AA745" s="1417"/>
      <c r="AB745" s="1422"/>
      <c r="AC745" s="1423"/>
      <c r="AD745" s="1424"/>
      <c r="AE745" s="1424"/>
      <c r="AF745" s="1424"/>
      <c r="AG745" s="1425"/>
      <c r="AH745" s="1441" t="str">
        <f t="shared" si="39"/>
        <v/>
      </c>
      <c r="AI745" s="1442"/>
      <c r="AJ745" s="1443"/>
      <c r="AK745" s="1371" t="s">
        <v>591</v>
      </c>
      <c r="AL745" s="1372"/>
      <c r="AM745" s="1372"/>
      <c r="AN745" s="1372"/>
      <c r="AO745" s="1373"/>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2">
        <f t="shared" si="40"/>
        <v>0</v>
      </c>
      <c r="CH745" s="1543"/>
      <c r="CI745" s="1544">
        <f t="shared" si="41"/>
        <v>0</v>
      </c>
      <c r="CJ745" s="1545"/>
      <c r="CK745" s="1542">
        <f t="shared" si="18"/>
        <v>0</v>
      </c>
      <c r="CL745" s="1543"/>
      <c r="CM745" s="1544">
        <f t="shared" si="19"/>
        <v>0</v>
      </c>
      <c r="CN745" s="1545"/>
      <c r="CO745" s="3"/>
      <c r="CP745" s="1546">
        <f t="shared" si="20"/>
        <v>0</v>
      </c>
      <c r="CQ745" s="1547"/>
      <c r="CR745" s="1547"/>
      <c r="CS745" s="1547"/>
      <c r="CT745" s="1548"/>
      <c r="CU745" s="1540">
        <f t="shared" si="21"/>
        <v>0</v>
      </c>
      <c r="CV745" s="1540"/>
      <c r="CW745" s="1540"/>
      <c r="CX745" s="1540"/>
      <c r="CY745" s="1540"/>
      <c r="CZ745" s="1540">
        <f t="shared" si="22"/>
        <v>0</v>
      </c>
      <c r="DA745" s="1540"/>
      <c r="DB745" s="1540"/>
      <c r="DC745" s="1540"/>
      <c r="DD745" s="1540"/>
      <c r="DE745" s="1540">
        <f t="shared" si="23"/>
        <v>0</v>
      </c>
      <c r="DF745" s="1540"/>
      <c r="DG745" s="1540"/>
      <c r="DH745" s="1540"/>
      <c r="DI745" s="1540"/>
      <c r="DJ745" s="1540">
        <f t="shared" si="24"/>
        <v>0</v>
      </c>
      <c r="DK745" s="1540"/>
      <c r="DL745" s="1540"/>
      <c r="DM745" s="1540"/>
      <c r="DN745" s="1540"/>
      <c r="DO745" s="1540">
        <f t="shared" si="25"/>
        <v>0</v>
      </c>
      <c r="DP745" s="1540"/>
      <c r="DQ745" s="1540"/>
      <c r="DR745" s="1540"/>
      <c r="DS745" s="1540"/>
      <c r="DT745" s="6"/>
      <c r="DU745" s="1538">
        <f t="shared" si="26"/>
        <v>0</v>
      </c>
      <c r="DV745" s="1538"/>
      <c r="DW745" s="1538"/>
      <c r="DX745" s="1538"/>
      <c r="DY745" s="1538"/>
      <c r="DZ745" s="1538">
        <f t="shared" si="27"/>
        <v>0</v>
      </c>
      <c r="EA745" s="1538"/>
      <c r="EB745" s="1538"/>
      <c r="EC745" s="1538"/>
      <c r="ED745" s="1538"/>
      <c r="EE745" s="1538">
        <f t="shared" si="28"/>
        <v>0</v>
      </c>
      <c r="EF745" s="1538"/>
      <c r="EG745" s="1538"/>
      <c r="EH745" s="1538"/>
      <c r="EI745" s="1538"/>
      <c r="EJ745" s="1538">
        <f t="shared" si="29"/>
        <v>0</v>
      </c>
      <c r="EK745" s="1538"/>
      <c r="EL745" s="1538"/>
      <c r="EM745" s="1538"/>
      <c r="EN745" s="1538"/>
      <c r="EO745" s="1538">
        <f t="shared" si="30"/>
        <v>0</v>
      </c>
      <c r="EP745" s="1538"/>
      <c r="EQ745" s="1538"/>
      <c r="ER745" s="1538"/>
      <c r="ES745" s="1538"/>
      <c r="ET745" s="1538">
        <f t="shared" si="31"/>
        <v>0</v>
      </c>
      <c r="EU745" s="1538"/>
      <c r="EV745" s="1538"/>
      <c r="EW745" s="1538"/>
      <c r="EX745" s="1538"/>
      <c r="EZ745" s="1542" t="str">
        <f t="shared" si="32"/>
        <v/>
      </c>
      <c r="FA745" s="1549"/>
      <c r="FB745" s="1549"/>
      <c r="FC745" s="1549"/>
      <c r="FD745" s="1543"/>
      <c r="FE745" s="1542" t="str">
        <f t="shared" si="33"/>
        <v/>
      </c>
      <c r="FF745" s="1549"/>
      <c r="FG745" s="1549"/>
      <c r="FH745" s="1549"/>
      <c r="FI745" s="1543"/>
      <c r="FJ745" s="1542" t="str">
        <f t="shared" si="34"/>
        <v/>
      </c>
      <c r="FK745" s="1549"/>
      <c r="FL745" s="1549"/>
      <c r="FM745" s="1549"/>
      <c r="FN745" s="1543"/>
      <c r="FO745" s="1542" t="str">
        <f t="shared" si="35"/>
        <v/>
      </c>
      <c r="FP745" s="1549"/>
      <c r="FQ745" s="1549"/>
      <c r="FR745" s="1549"/>
      <c r="FS745" s="1543"/>
      <c r="FT745" s="1542" t="str">
        <f t="shared" si="36"/>
        <v/>
      </c>
      <c r="FU745" s="1549"/>
      <c r="FV745" s="1549"/>
      <c r="FW745" s="1549"/>
      <c r="FX745" s="1543"/>
      <c r="FY745" s="1542" t="str">
        <f t="shared" si="37"/>
        <v/>
      </c>
      <c r="FZ745" s="1549"/>
      <c r="GA745" s="1549"/>
      <c r="GB745" s="1549"/>
      <c r="GC745" s="1543"/>
    </row>
    <row r="746" spans="1:185" ht="12.95" customHeight="1">
      <c r="B746" s="1371"/>
      <c r="C746" s="1372"/>
      <c r="D746" s="1372"/>
      <c r="E746" s="1372"/>
      <c r="F746" s="1373"/>
      <c r="G746" s="1365"/>
      <c r="H746" s="1366"/>
      <c r="I746" s="1366"/>
      <c r="J746" s="1367"/>
      <c r="K746" s="1368"/>
      <c r="L746" s="1369"/>
      <c r="M746" s="1369"/>
      <c r="N746" s="1370"/>
      <c r="O746" s="1418"/>
      <c r="P746" s="1419"/>
      <c r="Q746" s="1419"/>
      <c r="R746" s="1419"/>
      <c r="S746" s="1420"/>
      <c r="T746" s="1418"/>
      <c r="U746" s="1419"/>
      <c r="V746" s="1419"/>
      <c r="W746" s="1420"/>
      <c r="X746" s="1421">
        <f t="shared" si="10"/>
        <v>0</v>
      </c>
      <c r="Y746" s="1417"/>
      <c r="Z746" s="1417"/>
      <c r="AA746" s="1417"/>
      <c r="AB746" s="1422"/>
      <c r="AC746" s="1423"/>
      <c r="AD746" s="1424"/>
      <c r="AE746" s="1424"/>
      <c r="AF746" s="1424"/>
      <c r="AG746" s="1425"/>
      <c r="AH746" s="1441" t="str">
        <f t="shared" si="39"/>
        <v/>
      </c>
      <c r="AI746" s="1442"/>
      <c r="AJ746" s="1443"/>
      <c r="AK746" s="1371" t="s">
        <v>591</v>
      </c>
      <c r="AL746" s="1372"/>
      <c r="AM746" s="1372"/>
      <c r="AN746" s="1372"/>
      <c r="AO746" s="1373"/>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2">
        <f t="shared" si="40"/>
        <v>0</v>
      </c>
      <c r="CH746" s="1543"/>
      <c r="CI746" s="1544">
        <f t="shared" si="41"/>
        <v>0</v>
      </c>
      <c r="CJ746" s="1545"/>
      <c r="CK746" s="1542">
        <f t="shared" si="18"/>
        <v>0</v>
      </c>
      <c r="CL746" s="1543"/>
      <c r="CM746" s="1544">
        <f t="shared" si="19"/>
        <v>0</v>
      </c>
      <c r="CN746" s="1545"/>
      <c r="CO746" s="3"/>
      <c r="CP746" s="1546">
        <f t="shared" si="20"/>
        <v>0</v>
      </c>
      <c r="CQ746" s="1547"/>
      <c r="CR746" s="1547"/>
      <c r="CS746" s="1547"/>
      <c r="CT746" s="1548"/>
      <c r="CU746" s="1540">
        <f t="shared" si="21"/>
        <v>0</v>
      </c>
      <c r="CV746" s="1540"/>
      <c r="CW746" s="1540"/>
      <c r="CX746" s="1540"/>
      <c r="CY746" s="1540"/>
      <c r="CZ746" s="1540">
        <f t="shared" si="22"/>
        <v>0</v>
      </c>
      <c r="DA746" s="1540"/>
      <c r="DB746" s="1540"/>
      <c r="DC746" s="1540"/>
      <c r="DD746" s="1540"/>
      <c r="DE746" s="1540">
        <f t="shared" si="23"/>
        <v>0</v>
      </c>
      <c r="DF746" s="1540"/>
      <c r="DG746" s="1540"/>
      <c r="DH746" s="1540"/>
      <c r="DI746" s="1540"/>
      <c r="DJ746" s="1540">
        <f t="shared" si="24"/>
        <v>0</v>
      </c>
      <c r="DK746" s="1540"/>
      <c r="DL746" s="1540"/>
      <c r="DM746" s="1540"/>
      <c r="DN746" s="1540"/>
      <c r="DO746" s="1540">
        <f t="shared" si="25"/>
        <v>0</v>
      </c>
      <c r="DP746" s="1540"/>
      <c r="DQ746" s="1540"/>
      <c r="DR746" s="1540"/>
      <c r="DS746" s="1540"/>
      <c r="DT746" s="6"/>
      <c r="DU746" s="1538">
        <f t="shared" si="26"/>
        <v>0</v>
      </c>
      <c r="DV746" s="1538"/>
      <c r="DW746" s="1538"/>
      <c r="DX746" s="1538"/>
      <c r="DY746" s="1538"/>
      <c r="DZ746" s="1538">
        <f t="shared" si="27"/>
        <v>0</v>
      </c>
      <c r="EA746" s="1538"/>
      <c r="EB746" s="1538"/>
      <c r="EC746" s="1538"/>
      <c r="ED746" s="1538"/>
      <c r="EE746" s="1538">
        <f t="shared" si="28"/>
        <v>0</v>
      </c>
      <c r="EF746" s="1538"/>
      <c r="EG746" s="1538"/>
      <c r="EH746" s="1538"/>
      <c r="EI746" s="1538"/>
      <c r="EJ746" s="1538">
        <f t="shared" si="29"/>
        <v>0</v>
      </c>
      <c r="EK746" s="1538"/>
      <c r="EL746" s="1538"/>
      <c r="EM746" s="1538"/>
      <c r="EN746" s="1538"/>
      <c r="EO746" s="1538">
        <f t="shared" si="30"/>
        <v>0</v>
      </c>
      <c r="EP746" s="1538"/>
      <c r="EQ746" s="1538"/>
      <c r="ER746" s="1538"/>
      <c r="ES746" s="1538"/>
      <c r="ET746" s="1538">
        <f t="shared" si="31"/>
        <v>0</v>
      </c>
      <c r="EU746" s="1538"/>
      <c r="EV746" s="1538"/>
      <c r="EW746" s="1538"/>
      <c r="EX746" s="1538"/>
      <c r="EZ746" s="1542" t="str">
        <f t="shared" si="32"/>
        <v/>
      </c>
      <c r="FA746" s="1549"/>
      <c r="FB746" s="1549"/>
      <c r="FC746" s="1549"/>
      <c r="FD746" s="1543"/>
      <c r="FE746" s="1542" t="str">
        <f t="shared" si="33"/>
        <v/>
      </c>
      <c r="FF746" s="1549"/>
      <c r="FG746" s="1549"/>
      <c r="FH746" s="1549"/>
      <c r="FI746" s="1543"/>
      <c r="FJ746" s="1542" t="str">
        <f t="shared" si="34"/>
        <v/>
      </c>
      <c r="FK746" s="1549"/>
      <c r="FL746" s="1549"/>
      <c r="FM746" s="1549"/>
      <c r="FN746" s="1543"/>
      <c r="FO746" s="1542" t="str">
        <f t="shared" si="35"/>
        <v/>
      </c>
      <c r="FP746" s="1549"/>
      <c r="FQ746" s="1549"/>
      <c r="FR746" s="1549"/>
      <c r="FS746" s="1543"/>
      <c r="FT746" s="1542" t="str">
        <f t="shared" si="36"/>
        <v/>
      </c>
      <c r="FU746" s="1549"/>
      <c r="FV746" s="1549"/>
      <c r="FW746" s="1549"/>
      <c r="FX746" s="1543"/>
      <c r="FY746" s="1542" t="str">
        <f t="shared" si="37"/>
        <v/>
      </c>
      <c r="FZ746" s="1549"/>
      <c r="GA746" s="1549"/>
      <c r="GB746" s="1549"/>
      <c r="GC746" s="1543"/>
    </row>
    <row r="747" spans="1:185" ht="12.95" customHeight="1">
      <c r="B747" s="1371"/>
      <c r="C747" s="1372"/>
      <c r="D747" s="1372"/>
      <c r="E747" s="1372"/>
      <c r="F747" s="1373"/>
      <c r="G747" s="1365"/>
      <c r="H747" s="1366"/>
      <c r="I747" s="1366"/>
      <c r="J747" s="1367"/>
      <c r="K747" s="1368"/>
      <c r="L747" s="1369"/>
      <c r="M747" s="1369"/>
      <c r="N747" s="1370"/>
      <c r="O747" s="1418"/>
      <c r="P747" s="1419"/>
      <c r="Q747" s="1419"/>
      <c r="R747" s="1419"/>
      <c r="S747" s="1420"/>
      <c r="T747" s="1418"/>
      <c r="U747" s="1419"/>
      <c r="V747" s="1419"/>
      <c r="W747" s="1420"/>
      <c r="X747" s="1421">
        <f t="shared" si="10"/>
        <v>0</v>
      </c>
      <c r="Y747" s="1417"/>
      <c r="Z747" s="1417"/>
      <c r="AA747" s="1417"/>
      <c r="AB747" s="1422"/>
      <c r="AC747" s="1423"/>
      <c r="AD747" s="1424"/>
      <c r="AE747" s="1424"/>
      <c r="AF747" s="1424"/>
      <c r="AG747" s="1425"/>
      <c r="AH747" s="1441" t="str">
        <f t="shared" si="39"/>
        <v/>
      </c>
      <c r="AI747" s="1442"/>
      <c r="AJ747" s="1443"/>
      <c r="AK747" s="1371" t="s">
        <v>591</v>
      </c>
      <c r="AL747" s="1372"/>
      <c r="AM747" s="1372"/>
      <c r="AN747" s="1372"/>
      <c r="AO747" s="1373"/>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2">
        <f t="shared" si="40"/>
        <v>0</v>
      </c>
      <c r="CH747" s="1543"/>
      <c r="CI747" s="1544">
        <f t="shared" si="41"/>
        <v>0</v>
      </c>
      <c r="CJ747" s="1545"/>
      <c r="CK747" s="1542">
        <f t="shared" si="18"/>
        <v>0</v>
      </c>
      <c r="CL747" s="1543"/>
      <c r="CM747" s="1544">
        <f t="shared" si="19"/>
        <v>0</v>
      </c>
      <c r="CN747" s="1545"/>
      <c r="CO747" s="3"/>
      <c r="CP747" s="1546">
        <f t="shared" si="20"/>
        <v>0</v>
      </c>
      <c r="CQ747" s="1547"/>
      <c r="CR747" s="1547"/>
      <c r="CS747" s="1547"/>
      <c r="CT747" s="1548"/>
      <c r="CU747" s="1540">
        <f t="shared" si="21"/>
        <v>0</v>
      </c>
      <c r="CV747" s="1540"/>
      <c r="CW747" s="1540"/>
      <c r="CX747" s="1540"/>
      <c r="CY747" s="1540"/>
      <c r="CZ747" s="1540">
        <f t="shared" si="22"/>
        <v>0</v>
      </c>
      <c r="DA747" s="1540"/>
      <c r="DB747" s="1540"/>
      <c r="DC747" s="1540"/>
      <c r="DD747" s="1540"/>
      <c r="DE747" s="1540">
        <f t="shared" si="23"/>
        <v>0</v>
      </c>
      <c r="DF747" s="1540"/>
      <c r="DG747" s="1540"/>
      <c r="DH747" s="1540"/>
      <c r="DI747" s="1540"/>
      <c r="DJ747" s="1540">
        <f t="shared" si="24"/>
        <v>0</v>
      </c>
      <c r="DK747" s="1540"/>
      <c r="DL747" s="1540"/>
      <c r="DM747" s="1540"/>
      <c r="DN747" s="1540"/>
      <c r="DO747" s="1540">
        <f t="shared" si="25"/>
        <v>0</v>
      </c>
      <c r="DP747" s="1540"/>
      <c r="DQ747" s="1540"/>
      <c r="DR747" s="1540"/>
      <c r="DS747" s="1540"/>
      <c r="DT747" s="6"/>
      <c r="DU747" s="1538">
        <f t="shared" si="26"/>
        <v>0</v>
      </c>
      <c r="DV747" s="1538"/>
      <c r="DW747" s="1538"/>
      <c r="DX747" s="1538"/>
      <c r="DY747" s="1538"/>
      <c r="DZ747" s="1538">
        <f t="shared" si="27"/>
        <v>0</v>
      </c>
      <c r="EA747" s="1538"/>
      <c r="EB747" s="1538"/>
      <c r="EC747" s="1538"/>
      <c r="ED747" s="1538"/>
      <c r="EE747" s="1538">
        <f t="shared" si="28"/>
        <v>0</v>
      </c>
      <c r="EF747" s="1538"/>
      <c r="EG747" s="1538"/>
      <c r="EH747" s="1538"/>
      <c r="EI747" s="1538"/>
      <c r="EJ747" s="1538">
        <f t="shared" si="29"/>
        <v>0</v>
      </c>
      <c r="EK747" s="1538"/>
      <c r="EL747" s="1538"/>
      <c r="EM747" s="1538"/>
      <c r="EN747" s="1538"/>
      <c r="EO747" s="1538">
        <f t="shared" si="30"/>
        <v>0</v>
      </c>
      <c r="EP747" s="1538"/>
      <c r="EQ747" s="1538"/>
      <c r="ER747" s="1538"/>
      <c r="ES747" s="1538"/>
      <c r="ET747" s="1538">
        <f t="shared" si="31"/>
        <v>0</v>
      </c>
      <c r="EU747" s="1538"/>
      <c r="EV747" s="1538"/>
      <c r="EW747" s="1538"/>
      <c r="EX747" s="1538"/>
      <c r="EZ747" s="1542" t="str">
        <f t="shared" si="32"/>
        <v/>
      </c>
      <c r="FA747" s="1549"/>
      <c r="FB747" s="1549"/>
      <c r="FC747" s="1549"/>
      <c r="FD747" s="1543"/>
      <c r="FE747" s="1542" t="str">
        <f t="shared" si="33"/>
        <v/>
      </c>
      <c r="FF747" s="1549"/>
      <c r="FG747" s="1549"/>
      <c r="FH747" s="1549"/>
      <c r="FI747" s="1543"/>
      <c r="FJ747" s="1542" t="str">
        <f t="shared" si="34"/>
        <v/>
      </c>
      <c r="FK747" s="1549"/>
      <c r="FL747" s="1549"/>
      <c r="FM747" s="1549"/>
      <c r="FN747" s="1543"/>
      <c r="FO747" s="1542" t="str">
        <f t="shared" si="35"/>
        <v/>
      </c>
      <c r="FP747" s="1549"/>
      <c r="FQ747" s="1549"/>
      <c r="FR747" s="1549"/>
      <c r="FS747" s="1543"/>
      <c r="FT747" s="1542" t="str">
        <f t="shared" si="36"/>
        <v/>
      </c>
      <c r="FU747" s="1549"/>
      <c r="FV747" s="1549"/>
      <c r="FW747" s="1549"/>
      <c r="FX747" s="1543"/>
      <c r="FY747" s="1542" t="str">
        <f t="shared" si="37"/>
        <v/>
      </c>
      <c r="FZ747" s="1549"/>
      <c r="GA747" s="1549"/>
      <c r="GB747" s="1549"/>
      <c r="GC747" s="1543"/>
    </row>
    <row r="748" spans="1:185" ht="12.95" customHeight="1">
      <c r="B748" s="1371"/>
      <c r="C748" s="1372"/>
      <c r="D748" s="1372"/>
      <c r="E748" s="1372"/>
      <c r="F748" s="1373"/>
      <c r="G748" s="1365"/>
      <c r="H748" s="1366"/>
      <c r="I748" s="1366"/>
      <c r="J748" s="1367"/>
      <c r="K748" s="1368"/>
      <c r="L748" s="1369"/>
      <c r="M748" s="1369"/>
      <c r="N748" s="1370"/>
      <c r="O748" s="1418"/>
      <c r="P748" s="1419"/>
      <c r="Q748" s="1419"/>
      <c r="R748" s="1419"/>
      <c r="S748" s="1420"/>
      <c r="T748" s="1418"/>
      <c r="U748" s="1419"/>
      <c r="V748" s="1419"/>
      <c r="W748" s="1420"/>
      <c r="X748" s="1421">
        <f t="shared" si="10"/>
        <v>0</v>
      </c>
      <c r="Y748" s="1417"/>
      <c r="Z748" s="1417"/>
      <c r="AA748" s="1417"/>
      <c r="AB748" s="1422"/>
      <c r="AC748" s="1423"/>
      <c r="AD748" s="1424"/>
      <c r="AE748" s="1424"/>
      <c r="AF748" s="1424"/>
      <c r="AG748" s="1425"/>
      <c r="AH748" s="1441" t="str">
        <f t="shared" si="39"/>
        <v/>
      </c>
      <c r="AI748" s="1442"/>
      <c r="AJ748" s="1443"/>
      <c r="AK748" s="1371" t="s">
        <v>591</v>
      </c>
      <c r="AL748" s="1372"/>
      <c r="AM748" s="1372"/>
      <c r="AN748" s="1372"/>
      <c r="AO748" s="1373"/>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2">
        <f t="shared" si="40"/>
        <v>0</v>
      </c>
      <c r="CH748" s="1543"/>
      <c r="CI748" s="1544">
        <f t="shared" si="41"/>
        <v>0</v>
      </c>
      <c r="CJ748" s="1545"/>
      <c r="CK748" s="1542">
        <f t="shared" si="18"/>
        <v>0</v>
      </c>
      <c r="CL748" s="1543"/>
      <c r="CM748" s="1544">
        <f t="shared" si="19"/>
        <v>0</v>
      </c>
      <c r="CN748" s="1545"/>
      <c r="CO748" s="3"/>
      <c r="CP748" s="1546">
        <f t="shared" si="20"/>
        <v>0</v>
      </c>
      <c r="CQ748" s="1547"/>
      <c r="CR748" s="1547"/>
      <c r="CS748" s="1547"/>
      <c r="CT748" s="1548"/>
      <c r="CU748" s="1540">
        <f t="shared" si="21"/>
        <v>0</v>
      </c>
      <c r="CV748" s="1540"/>
      <c r="CW748" s="1540"/>
      <c r="CX748" s="1540"/>
      <c r="CY748" s="1540"/>
      <c r="CZ748" s="1540">
        <f t="shared" si="22"/>
        <v>0</v>
      </c>
      <c r="DA748" s="1540"/>
      <c r="DB748" s="1540"/>
      <c r="DC748" s="1540"/>
      <c r="DD748" s="1540"/>
      <c r="DE748" s="1540">
        <f t="shared" si="23"/>
        <v>0</v>
      </c>
      <c r="DF748" s="1540"/>
      <c r="DG748" s="1540"/>
      <c r="DH748" s="1540"/>
      <c r="DI748" s="1540"/>
      <c r="DJ748" s="1540">
        <f t="shared" si="24"/>
        <v>0</v>
      </c>
      <c r="DK748" s="1540"/>
      <c r="DL748" s="1540"/>
      <c r="DM748" s="1540"/>
      <c r="DN748" s="1540"/>
      <c r="DO748" s="1540">
        <f t="shared" si="25"/>
        <v>0</v>
      </c>
      <c r="DP748" s="1540"/>
      <c r="DQ748" s="1540"/>
      <c r="DR748" s="1540"/>
      <c r="DS748" s="1540"/>
      <c r="DT748" s="6"/>
      <c r="DU748" s="1538">
        <f t="shared" si="26"/>
        <v>0</v>
      </c>
      <c r="DV748" s="1538"/>
      <c r="DW748" s="1538"/>
      <c r="DX748" s="1538"/>
      <c r="DY748" s="1538"/>
      <c r="DZ748" s="1538">
        <f t="shared" si="27"/>
        <v>0</v>
      </c>
      <c r="EA748" s="1538"/>
      <c r="EB748" s="1538"/>
      <c r="EC748" s="1538"/>
      <c r="ED748" s="1538"/>
      <c r="EE748" s="1538">
        <f t="shared" si="28"/>
        <v>0</v>
      </c>
      <c r="EF748" s="1538"/>
      <c r="EG748" s="1538"/>
      <c r="EH748" s="1538"/>
      <c r="EI748" s="1538"/>
      <c r="EJ748" s="1538">
        <f t="shared" si="29"/>
        <v>0</v>
      </c>
      <c r="EK748" s="1538"/>
      <c r="EL748" s="1538"/>
      <c r="EM748" s="1538"/>
      <c r="EN748" s="1538"/>
      <c r="EO748" s="1538">
        <f t="shared" si="30"/>
        <v>0</v>
      </c>
      <c r="EP748" s="1538"/>
      <c r="EQ748" s="1538"/>
      <c r="ER748" s="1538"/>
      <c r="ES748" s="1538"/>
      <c r="ET748" s="1538">
        <f t="shared" si="31"/>
        <v>0</v>
      </c>
      <c r="EU748" s="1538"/>
      <c r="EV748" s="1538"/>
      <c r="EW748" s="1538"/>
      <c r="EX748" s="1538"/>
      <c r="EZ748" s="1542" t="str">
        <f t="shared" si="32"/>
        <v/>
      </c>
      <c r="FA748" s="1549"/>
      <c r="FB748" s="1549"/>
      <c r="FC748" s="1549"/>
      <c r="FD748" s="1543"/>
      <c r="FE748" s="1542" t="str">
        <f t="shared" si="33"/>
        <v/>
      </c>
      <c r="FF748" s="1549"/>
      <c r="FG748" s="1549"/>
      <c r="FH748" s="1549"/>
      <c r="FI748" s="1543"/>
      <c r="FJ748" s="1542" t="str">
        <f t="shared" si="34"/>
        <v/>
      </c>
      <c r="FK748" s="1549"/>
      <c r="FL748" s="1549"/>
      <c r="FM748" s="1549"/>
      <c r="FN748" s="1543"/>
      <c r="FO748" s="1542" t="str">
        <f t="shared" si="35"/>
        <v/>
      </c>
      <c r="FP748" s="1549"/>
      <c r="FQ748" s="1549"/>
      <c r="FR748" s="1549"/>
      <c r="FS748" s="1543"/>
      <c r="FT748" s="1542" t="str">
        <f t="shared" si="36"/>
        <v/>
      </c>
      <c r="FU748" s="1549"/>
      <c r="FV748" s="1549"/>
      <c r="FW748" s="1549"/>
      <c r="FX748" s="1543"/>
      <c r="FY748" s="1542" t="str">
        <f t="shared" si="37"/>
        <v/>
      </c>
      <c r="FZ748" s="1549"/>
      <c r="GA748" s="1549"/>
      <c r="GB748" s="1549"/>
      <c r="GC748" s="1543"/>
    </row>
    <row r="749" spans="1:185" ht="12.95" customHeight="1">
      <c r="B749" s="1371"/>
      <c r="C749" s="1372"/>
      <c r="D749" s="1372"/>
      <c r="E749" s="1372"/>
      <c r="F749" s="1373"/>
      <c r="G749" s="1365"/>
      <c r="H749" s="1366"/>
      <c r="I749" s="1366"/>
      <c r="J749" s="1367"/>
      <c r="K749" s="1368"/>
      <c r="L749" s="1369"/>
      <c r="M749" s="1369"/>
      <c r="N749" s="1370"/>
      <c r="O749" s="1418"/>
      <c r="P749" s="1419"/>
      <c r="Q749" s="1419"/>
      <c r="R749" s="1419"/>
      <c r="S749" s="1420"/>
      <c r="T749" s="1418"/>
      <c r="U749" s="1419"/>
      <c r="V749" s="1419"/>
      <c r="W749" s="1420"/>
      <c r="X749" s="1421">
        <f t="shared" si="10"/>
        <v>0</v>
      </c>
      <c r="Y749" s="1417"/>
      <c r="Z749" s="1417"/>
      <c r="AA749" s="1417"/>
      <c r="AB749" s="1422"/>
      <c r="AC749" s="1423"/>
      <c r="AD749" s="1424"/>
      <c r="AE749" s="1424"/>
      <c r="AF749" s="1424"/>
      <c r="AG749" s="1425"/>
      <c r="AH749" s="1441" t="str">
        <f t="shared" si="39"/>
        <v/>
      </c>
      <c r="AI749" s="1442"/>
      <c r="AJ749" s="1443"/>
      <c r="AK749" s="1371" t="s">
        <v>591</v>
      </c>
      <c r="AL749" s="1372"/>
      <c r="AM749" s="1372"/>
      <c r="AN749" s="1372"/>
      <c r="AO749" s="1373"/>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2">
        <f t="shared" si="40"/>
        <v>0</v>
      </c>
      <c r="CH749" s="1543"/>
      <c r="CI749" s="1544">
        <f t="shared" si="41"/>
        <v>0</v>
      </c>
      <c r="CJ749" s="1545"/>
      <c r="CK749" s="1542">
        <f t="shared" si="18"/>
        <v>0</v>
      </c>
      <c r="CL749" s="1543"/>
      <c r="CM749" s="1544">
        <f t="shared" si="19"/>
        <v>0</v>
      </c>
      <c r="CN749" s="1545"/>
      <c r="CO749" s="3"/>
      <c r="CP749" s="1546">
        <f t="shared" si="20"/>
        <v>0</v>
      </c>
      <c r="CQ749" s="1547"/>
      <c r="CR749" s="1547"/>
      <c r="CS749" s="1547"/>
      <c r="CT749" s="1548"/>
      <c r="CU749" s="1540">
        <f t="shared" si="21"/>
        <v>0</v>
      </c>
      <c r="CV749" s="1540"/>
      <c r="CW749" s="1540"/>
      <c r="CX749" s="1540"/>
      <c r="CY749" s="1540"/>
      <c r="CZ749" s="1540">
        <f t="shared" si="22"/>
        <v>0</v>
      </c>
      <c r="DA749" s="1540"/>
      <c r="DB749" s="1540"/>
      <c r="DC749" s="1540"/>
      <c r="DD749" s="1540"/>
      <c r="DE749" s="1540">
        <f t="shared" si="23"/>
        <v>0</v>
      </c>
      <c r="DF749" s="1540"/>
      <c r="DG749" s="1540"/>
      <c r="DH749" s="1540"/>
      <c r="DI749" s="1540"/>
      <c r="DJ749" s="1540">
        <f t="shared" si="24"/>
        <v>0</v>
      </c>
      <c r="DK749" s="1540"/>
      <c r="DL749" s="1540"/>
      <c r="DM749" s="1540"/>
      <c r="DN749" s="1540"/>
      <c r="DO749" s="1540">
        <f t="shared" si="25"/>
        <v>0</v>
      </c>
      <c r="DP749" s="1540"/>
      <c r="DQ749" s="1540"/>
      <c r="DR749" s="1540"/>
      <c r="DS749" s="1540"/>
      <c r="DT749" s="6"/>
      <c r="DU749" s="1538">
        <f t="shared" si="26"/>
        <v>0</v>
      </c>
      <c r="DV749" s="1538"/>
      <c r="DW749" s="1538"/>
      <c r="DX749" s="1538"/>
      <c r="DY749" s="1538"/>
      <c r="DZ749" s="1538">
        <f t="shared" si="27"/>
        <v>0</v>
      </c>
      <c r="EA749" s="1538"/>
      <c r="EB749" s="1538"/>
      <c r="EC749" s="1538"/>
      <c r="ED749" s="1538"/>
      <c r="EE749" s="1538">
        <f t="shared" si="28"/>
        <v>0</v>
      </c>
      <c r="EF749" s="1538"/>
      <c r="EG749" s="1538"/>
      <c r="EH749" s="1538"/>
      <c r="EI749" s="1538"/>
      <c r="EJ749" s="1538">
        <f t="shared" si="29"/>
        <v>0</v>
      </c>
      <c r="EK749" s="1538"/>
      <c r="EL749" s="1538"/>
      <c r="EM749" s="1538"/>
      <c r="EN749" s="1538"/>
      <c r="EO749" s="1538">
        <f t="shared" si="30"/>
        <v>0</v>
      </c>
      <c r="EP749" s="1538"/>
      <c r="EQ749" s="1538"/>
      <c r="ER749" s="1538"/>
      <c r="ES749" s="1538"/>
      <c r="ET749" s="1538">
        <f t="shared" si="31"/>
        <v>0</v>
      </c>
      <c r="EU749" s="1538"/>
      <c r="EV749" s="1538"/>
      <c r="EW749" s="1538"/>
      <c r="EX749" s="1538"/>
      <c r="EZ749" s="1542" t="str">
        <f t="shared" si="32"/>
        <v/>
      </c>
      <c r="FA749" s="1549"/>
      <c r="FB749" s="1549"/>
      <c r="FC749" s="1549"/>
      <c r="FD749" s="1543"/>
      <c r="FE749" s="1542" t="str">
        <f t="shared" si="33"/>
        <v/>
      </c>
      <c r="FF749" s="1549"/>
      <c r="FG749" s="1549"/>
      <c r="FH749" s="1549"/>
      <c r="FI749" s="1543"/>
      <c r="FJ749" s="1542" t="str">
        <f t="shared" si="34"/>
        <v/>
      </c>
      <c r="FK749" s="1549"/>
      <c r="FL749" s="1549"/>
      <c r="FM749" s="1549"/>
      <c r="FN749" s="1543"/>
      <c r="FO749" s="1542" t="str">
        <f t="shared" si="35"/>
        <v/>
      </c>
      <c r="FP749" s="1549"/>
      <c r="FQ749" s="1549"/>
      <c r="FR749" s="1549"/>
      <c r="FS749" s="1543"/>
      <c r="FT749" s="1542" t="str">
        <f t="shared" si="36"/>
        <v/>
      </c>
      <c r="FU749" s="1549"/>
      <c r="FV749" s="1549"/>
      <c r="FW749" s="1549"/>
      <c r="FX749" s="1543"/>
      <c r="FY749" s="1542" t="str">
        <f t="shared" si="37"/>
        <v/>
      </c>
      <c r="FZ749" s="1549"/>
      <c r="GA749" s="1549"/>
      <c r="GB749" s="1549"/>
      <c r="GC749" s="1543"/>
    </row>
    <row r="750" spans="1:185" ht="12.95" customHeight="1">
      <c r="B750" s="1371"/>
      <c r="C750" s="1372"/>
      <c r="D750" s="1372"/>
      <c r="E750" s="1372"/>
      <c r="F750" s="1373"/>
      <c r="G750" s="1365"/>
      <c r="H750" s="1366"/>
      <c r="I750" s="1366"/>
      <c r="J750" s="1367"/>
      <c r="K750" s="1368"/>
      <c r="L750" s="1369"/>
      <c r="M750" s="1369"/>
      <c r="N750" s="1370"/>
      <c r="O750" s="1418"/>
      <c r="P750" s="1419"/>
      <c r="Q750" s="1419"/>
      <c r="R750" s="1419"/>
      <c r="S750" s="1420"/>
      <c r="T750" s="1418"/>
      <c r="U750" s="1419"/>
      <c r="V750" s="1419"/>
      <c r="W750" s="1420"/>
      <c r="X750" s="1421">
        <f t="shared" ref="X750:X759" si="44">O750+T750</f>
        <v>0</v>
      </c>
      <c r="Y750" s="1417"/>
      <c r="Z750" s="1417"/>
      <c r="AA750" s="1417"/>
      <c r="AB750" s="1422"/>
      <c r="AC750" s="1423"/>
      <c r="AD750" s="1424"/>
      <c r="AE750" s="1424"/>
      <c r="AF750" s="1424"/>
      <c r="AG750" s="1425"/>
      <c r="AH750" s="1441" t="str">
        <f t="shared" si="39"/>
        <v/>
      </c>
      <c r="AI750" s="1442"/>
      <c r="AJ750" s="1443"/>
      <c r="AK750" s="1371" t="s">
        <v>591</v>
      </c>
      <c r="AL750" s="1372"/>
      <c r="AM750" s="1372"/>
      <c r="AN750" s="1372"/>
      <c r="AO750" s="1373"/>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2">
        <f t="shared" si="40"/>
        <v>0</v>
      </c>
      <c r="CH750" s="1543"/>
      <c r="CI750" s="1544">
        <f t="shared" si="41"/>
        <v>0</v>
      </c>
      <c r="CJ750" s="1545"/>
      <c r="CK750" s="1542">
        <f t="shared" si="18"/>
        <v>0</v>
      </c>
      <c r="CL750" s="1543"/>
      <c r="CM750" s="1544">
        <f t="shared" si="19"/>
        <v>0</v>
      </c>
      <c r="CN750" s="1545"/>
      <c r="CO750" s="3"/>
      <c r="CP750" s="1546">
        <f t="shared" si="20"/>
        <v>0</v>
      </c>
      <c r="CQ750" s="1547"/>
      <c r="CR750" s="1547"/>
      <c r="CS750" s="1547"/>
      <c r="CT750" s="1548"/>
      <c r="CU750" s="1540">
        <f t="shared" si="21"/>
        <v>0</v>
      </c>
      <c r="CV750" s="1540"/>
      <c r="CW750" s="1540"/>
      <c r="CX750" s="1540"/>
      <c r="CY750" s="1540"/>
      <c r="CZ750" s="1540">
        <f t="shared" si="22"/>
        <v>0</v>
      </c>
      <c r="DA750" s="1540"/>
      <c r="DB750" s="1540"/>
      <c r="DC750" s="1540"/>
      <c r="DD750" s="1540"/>
      <c r="DE750" s="1540">
        <f t="shared" si="23"/>
        <v>0</v>
      </c>
      <c r="DF750" s="1540"/>
      <c r="DG750" s="1540"/>
      <c r="DH750" s="1540"/>
      <c r="DI750" s="1540"/>
      <c r="DJ750" s="1540">
        <f t="shared" si="24"/>
        <v>0</v>
      </c>
      <c r="DK750" s="1540"/>
      <c r="DL750" s="1540"/>
      <c r="DM750" s="1540"/>
      <c r="DN750" s="1540"/>
      <c r="DO750" s="1540">
        <f t="shared" si="25"/>
        <v>0</v>
      </c>
      <c r="DP750" s="1540"/>
      <c r="DQ750" s="1540"/>
      <c r="DR750" s="1540"/>
      <c r="DS750" s="1540"/>
      <c r="DT750" s="6"/>
      <c r="DU750" s="1538">
        <f t="shared" si="26"/>
        <v>0</v>
      </c>
      <c r="DV750" s="1538"/>
      <c r="DW750" s="1538"/>
      <c r="DX750" s="1538"/>
      <c r="DY750" s="1538"/>
      <c r="DZ750" s="1538">
        <f t="shared" si="27"/>
        <v>0</v>
      </c>
      <c r="EA750" s="1538"/>
      <c r="EB750" s="1538"/>
      <c r="EC750" s="1538"/>
      <c r="ED750" s="1538"/>
      <c r="EE750" s="1538">
        <f t="shared" si="28"/>
        <v>0</v>
      </c>
      <c r="EF750" s="1538"/>
      <c r="EG750" s="1538"/>
      <c r="EH750" s="1538"/>
      <c r="EI750" s="1538"/>
      <c r="EJ750" s="1538">
        <f t="shared" si="29"/>
        <v>0</v>
      </c>
      <c r="EK750" s="1538"/>
      <c r="EL750" s="1538"/>
      <c r="EM750" s="1538"/>
      <c r="EN750" s="1538"/>
      <c r="EO750" s="1538">
        <f t="shared" si="30"/>
        <v>0</v>
      </c>
      <c r="EP750" s="1538"/>
      <c r="EQ750" s="1538"/>
      <c r="ER750" s="1538"/>
      <c r="ES750" s="1538"/>
      <c r="ET750" s="1538">
        <f t="shared" si="31"/>
        <v>0</v>
      </c>
      <c r="EU750" s="1538"/>
      <c r="EV750" s="1538"/>
      <c r="EW750" s="1538"/>
      <c r="EX750" s="1538"/>
      <c r="EZ750" s="1542" t="str">
        <f t="shared" si="32"/>
        <v/>
      </c>
      <c r="FA750" s="1549"/>
      <c r="FB750" s="1549"/>
      <c r="FC750" s="1549"/>
      <c r="FD750" s="1543"/>
      <c r="FE750" s="1542" t="str">
        <f t="shared" si="33"/>
        <v/>
      </c>
      <c r="FF750" s="1549"/>
      <c r="FG750" s="1549"/>
      <c r="FH750" s="1549"/>
      <c r="FI750" s="1543"/>
      <c r="FJ750" s="1542" t="str">
        <f t="shared" si="34"/>
        <v/>
      </c>
      <c r="FK750" s="1549"/>
      <c r="FL750" s="1549"/>
      <c r="FM750" s="1549"/>
      <c r="FN750" s="1543"/>
      <c r="FO750" s="1542" t="str">
        <f t="shared" si="35"/>
        <v/>
      </c>
      <c r="FP750" s="1549"/>
      <c r="FQ750" s="1549"/>
      <c r="FR750" s="1549"/>
      <c r="FS750" s="1543"/>
      <c r="FT750" s="1542" t="str">
        <f t="shared" si="36"/>
        <v/>
      </c>
      <c r="FU750" s="1549"/>
      <c r="FV750" s="1549"/>
      <c r="FW750" s="1549"/>
      <c r="FX750" s="1543"/>
      <c r="FY750" s="1542" t="str">
        <f t="shared" si="37"/>
        <v/>
      </c>
      <c r="FZ750" s="1549"/>
      <c r="GA750" s="1549"/>
      <c r="GB750" s="1549"/>
      <c r="GC750" s="1543"/>
    </row>
    <row r="751" spans="1:185" s="3" customFormat="1" ht="12.95" customHeight="1">
      <c r="A751"/>
      <c r="B751" s="1371"/>
      <c r="C751" s="1372"/>
      <c r="D751" s="1372"/>
      <c r="E751" s="1372"/>
      <c r="F751" s="1373"/>
      <c r="G751" s="1365"/>
      <c r="H751" s="1366"/>
      <c r="I751" s="1366"/>
      <c r="J751" s="1367"/>
      <c r="K751" s="1368"/>
      <c r="L751" s="1369"/>
      <c r="M751" s="1369"/>
      <c r="N751" s="1370"/>
      <c r="O751" s="1418"/>
      <c r="P751" s="1419"/>
      <c r="Q751" s="1419"/>
      <c r="R751" s="1419"/>
      <c r="S751" s="1420"/>
      <c r="T751" s="1418"/>
      <c r="U751" s="1419"/>
      <c r="V751" s="1419"/>
      <c r="W751" s="1420"/>
      <c r="X751" s="1421">
        <f t="shared" si="44"/>
        <v>0</v>
      </c>
      <c r="Y751" s="1417"/>
      <c r="Z751" s="1417"/>
      <c r="AA751" s="1417"/>
      <c r="AB751" s="1422"/>
      <c r="AC751" s="1423"/>
      <c r="AD751" s="1424"/>
      <c r="AE751" s="1424"/>
      <c r="AF751" s="1424"/>
      <c r="AG751" s="1425"/>
      <c r="AH751" s="1441" t="str">
        <f t="shared" si="39"/>
        <v/>
      </c>
      <c r="AI751" s="1442"/>
      <c r="AJ751" s="1443"/>
      <c r="AK751" s="1371" t="s">
        <v>591</v>
      </c>
      <c r="AL751" s="1372"/>
      <c r="AM751" s="1372"/>
      <c r="AN751" s="1372"/>
      <c r="AO751" s="1373"/>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2">
        <f t="shared" si="40"/>
        <v>0</v>
      </c>
      <c r="CH751" s="1543"/>
      <c r="CI751" s="1544">
        <f t="shared" si="41"/>
        <v>0</v>
      </c>
      <c r="CJ751" s="1545"/>
      <c r="CK751" s="1542">
        <f t="shared" si="18"/>
        <v>0</v>
      </c>
      <c r="CL751" s="1543"/>
      <c r="CM751" s="1544">
        <f t="shared" si="19"/>
        <v>0</v>
      </c>
      <c r="CN751" s="1545"/>
      <c r="CP751" s="1546">
        <f t="shared" si="20"/>
        <v>0</v>
      </c>
      <c r="CQ751" s="1547"/>
      <c r="CR751" s="1547"/>
      <c r="CS751" s="1547"/>
      <c r="CT751" s="1548"/>
      <c r="CU751" s="1540">
        <f t="shared" si="21"/>
        <v>0</v>
      </c>
      <c r="CV751" s="1540"/>
      <c r="CW751" s="1540"/>
      <c r="CX751" s="1540"/>
      <c r="CY751" s="1540"/>
      <c r="CZ751" s="1540">
        <f t="shared" si="22"/>
        <v>0</v>
      </c>
      <c r="DA751" s="1540"/>
      <c r="DB751" s="1540"/>
      <c r="DC751" s="1540"/>
      <c r="DD751" s="1540"/>
      <c r="DE751" s="1540">
        <f t="shared" si="23"/>
        <v>0</v>
      </c>
      <c r="DF751" s="1540"/>
      <c r="DG751" s="1540"/>
      <c r="DH751" s="1540"/>
      <c r="DI751" s="1540"/>
      <c r="DJ751" s="1540">
        <f t="shared" si="24"/>
        <v>0</v>
      </c>
      <c r="DK751" s="1540"/>
      <c r="DL751" s="1540"/>
      <c r="DM751" s="1540"/>
      <c r="DN751" s="1540"/>
      <c r="DO751" s="1540">
        <f t="shared" si="25"/>
        <v>0</v>
      </c>
      <c r="DP751" s="1540"/>
      <c r="DQ751" s="1540"/>
      <c r="DR751" s="1540"/>
      <c r="DS751" s="1540"/>
      <c r="DT751" s="6"/>
      <c r="DU751" s="1538">
        <f t="shared" si="26"/>
        <v>0</v>
      </c>
      <c r="DV751" s="1538"/>
      <c r="DW751" s="1538"/>
      <c r="DX751" s="1538"/>
      <c r="DY751" s="1538"/>
      <c r="DZ751" s="1538">
        <f t="shared" si="27"/>
        <v>0</v>
      </c>
      <c r="EA751" s="1538"/>
      <c r="EB751" s="1538"/>
      <c r="EC751" s="1538"/>
      <c r="ED751" s="1538"/>
      <c r="EE751" s="1538">
        <f t="shared" si="28"/>
        <v>0</v>
      </c>
      <c r="EF751" s="1538"/>
      <c r="EG751" s="1538"/>
      <c r="EH751" s="1538"/>
      <c r="EI751" s="1538"/>
      <c r="EJ751" s="1538">
        <f t="shared" si="29"/>
        <v>0</v>
      </c>
      <c r="EK751" s="1538"/>
      <c r="EL751" s="1538"/>
      <c r="EM751" s="1538"/>
      <c r="EN751" s="1538"/>
      <c r="EO751" s="1538">
        <f t="shared" si="30"/>
        <v>0</v>
      </c>
      <c r="EP751" s="1538"/>
      <c r="EQ751" s="1538"/>
      <c r="ER751" s="1538"/>
      <c r="ES751" s="1538"/>
      <c r="ET751" s="1538">
        <f t="shared" si="31"/>
        <v>0</v>
      </c>
      <c r="EU751" s="1538"/>
      <c r="EV751" s="1538"/>
      <c r="EW751" s="1538"/>
      <c r="EX751" s="1538"/>
      <c r="EY751"/>
      <c r="EZ751" s="1542" t="str">
        <f t="shared" si="32"/>
        <v/>
      </c>
      <c r="FA751" s="1549"/>
      <c r="FB751" s="1549"/>
      <c r="FC751" s="1549"/>
      <c r="FD751" s="1543"/>
      <c r="FE751" s="1542" t="str">
        <f t="shared" si="33"/>
        <v/>
      </c>
      <c r="FF751" s="1549"/>
      <c r="FG751" s="1549"/>
      <c r="FH751" s="1549"/>
      <c r="FI751" s="1543"/>
      <c r="FJ751" s="1542" t="str">
        <f t="shared" si="34"/>
        <v/>
      </c>
      <c r="FK751" s="1549"/>
      <c r="FL751" s="1549"/>
      <c r="FM751" s="1549"/>
      <c r="FN751" s="1543"/>
      <c r="FO751" s="1542" t="str">
        <f t="shared" si="35"/>
        <v/>
      </c>
      <c r="FP751" s="1549"/>
      <c r="FQ751" s="1549"/>
      <c r="FR751" s="1549"/>
      <c r="FS751" s="1543"/>
      <c r="FT751" s="1542" t="str">
        <f t="shared" si="36"/>
        <v/>
      </c>
      <c r="FU751" s="1549"/>
      <c r="FV751" s="1549"/>
      <c r="FW751" s="1549"/>
      <c r="FX751" s="1543"/>
      <c r="FY751" s="1542" t="str">
        <f t="shared" si="37"/>
        <v/>
      </c>
      <c r="FZ751" s="1549"/>
      <c r="GA751" s="1549"/>
      <c r="GB751" s="1549"/>
      <c r="GC751" s="1543"/>
    </row>
    <row r="752" spans="1:185" ht="12.95" customHeight="1">
      <c r="B752" s="1371"/>
      <c r="C752" s="1372"/>
      <c r="D752" s="1372"/>
      <c r="E752" s="1372"/>
      <c r="F752" s="1373"/>
      <c r="G752" s="1365"/>
      <c r="H752" s="1366"/>
      <c r="I752" s="1366"/>
      <c r="J752" s="1367"/>
      <c r="K752" s="1368"/>
      <c r="L752" s="1369"/>
      <c r="M752" s="1369"/>
      <c r="N752" s="1370"/>
      <c r="O752" s="1418"/>
      <c r="P752" s="1419"/>
      <c r="Q752" s="1419"/>
      <c r="R752" s="1419"/>
      <c r="S752" s="1420"/>
      <c r="T752" s="1418"/>
      <c r="U752" s="1419"/>
      <c r="V752" s="1419"/>
      <c r="W752" s="1420"/>
      <c r="X752" s="1421">
        <f t="shared" si="44"/>
        <v>0</v>
      </c>
      <c r="Y752" s="1417"/>
      <c r="Z752" s="1417"/>
      <c r="AA752" s="1417"/>
      <c r="AB752" s="1422"/>
      <c r="AC752" s="1423"/>
      <c r="AD752" s="1424"/>
      <c r="AE752" s="1424"/>
      <c r="AF752" s="1424"/>
      <c r="AG752" s="1425"/>
      <c r="AH752" s="1441" t="str">
        <f t="shared" si="39"/>
        <v/>
      </c>
      <c r="AI752" s="1442"/>
      <c r="AJ752" s="1443"/>
      <c r="AK752" s="1371" t="s">
        <v>591</v>
      </c>
      <c r="AL752" s="1372"/>
      <c r="AM752" s="1372"/>
      <c r="AN752" s="1372"/>
      <c r="AO752" s="1373"/>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2">
        <f t="shared" si="40"/>
        <v>0</v>
      </c>
      <c r="CH752" s="1543"/>
      <c r="CI752" s="1544">
        <f t="shared" si="41"/>
        <v>0</v>
      </c>
      <c r="CJ752" s="1545"/>
      <c r="CK752" s="1542">
        <f t="shared" si="18"/>
        <v>0</v>
      </c>
      <c r="CL752" s="1543"/>
      <c r="CM752" s="1544">
        <f t="shared" si="19"/>
        <v>0</v>
      </c>
      <c r="CN752" s="1545"/>
      <c r="CO752" s="3"/>
      <c r="CP752" s="1546">
        <f t="shared" si="20"/>
        <v>0</v>
      </c>
      <c r="CQ752" s="1547"/>
      <c r="CR752" s="1547"/>
      <c r="CS752" s="1547"/>
      <c r="CT752" s="1548"/>
      <c r="CU752" s="1540">
        <f t="shared" si="21"/>
        <v>0</v>
      </c>
      <c r="CV752" s="1540"/>
      <c r="CW752" s="1540"/>
      <c r="CX752" s="1540"/>
      <c r="CY752" s="1540"/>
      <c r="CZ752" s="1540">
        <f t="shared" si="22"/>
        <v>0</v>
      </c>
      <c r="DA752" s="1540"/>
      <c r="DB752" s="1540"/>
      <c r="DC752" s="1540"/>
      <c r="DD752" s="1540"/>
      <c r="DE752" s="1540">
        <f t="shared" si="23"/>
        <v>0</v>
      </c>
      <c r="DF752" s="1540"/>
      <c r="DG752" s="1540"/>
      <c r="DH752" s="1540"/>
      <c r="DI752" s="1540"/>
      <c r="DJ752" s="1540">
        <f t="shared" si="24"/>
        <v>0</v>
      </c>
      <c r="DK752" s="1540"/>
      <c r="DL752" s="1540"/>
      <c r="DM752" s="1540"/>
      <c r="DN752" s="1540"/>
      <c r="DO752" s="1540">
        <f t="shared" si="25"/>
        <v>0</v>
      </c>
      <c r="DP752" s="1540"/>
      <c r="DQ752" s="1540"/>
      <c r="DR752" s="1540"/>
      <c r="DS752" s="1540"/>
      <c r="DT752" s="6"/>
      <c r="DU752" s="1538">
        <f t="shared" si="26"/>
        <v>0</v>
      </c>
      <c r="DV752" s="1538"/>
      <c r="DW752" s="1538"/>
      <c r="DX752" s="1538"/>
      <c r="DY752" s="1538"/>
      <c r="DZ752" s="1538">
        <f t="shared" si="27"/>
        <v>0</v>
      </c>
      <c r="EA752" s="1538"/>
      <c r="EB752" s="1538"/>
      <c r="EC752" s="1538"/>
      <c r="ED752" s="1538"/>
      <c r="EE752" s="1538">
        <f t="shared" si="28"/>
        <v>0</v>
      </c>
      <c r="EF752" s="1538"/>
      <c r="EG752" s="1538"/>
      <c r="EH752" s="1538"/>
      <c r="EI752" s="1538"/>
      <c r="EJ752" s="1538">
        <f t="shared" si="29"/>
        <v>0</v>
      </c>
      <c r="EK752" s="1538"/>
      <c r="EL752" s="1538"/>
      <c r="EM752" s="1538"/>
      <c r="EN752" s="1538"/>
      <c r="EO752" s="1538">
        <f t="shared" si="30"/>
        <v>0</v>
      </c>
      <c r="EP752" s="1538"/>
      <c r="EQ752" s="1538"/>
      <c r="ER752" s="1538"/>
      <c r="ES752" s="1538"/>
      <c r="ET752" s="1538">
        <f t="shared" si="31"/>
        <v>0</v>
      </c>
      <c r="EU752" s="1538"/>
      <c r="EV752" s="1538"/>
      <c r="EW752" s="1538"/>
      <c r="EX752" s="1538"/>
      <c r="EZ752" s="1542" t="str">
        <f t="shared" si="32"/>
        <v/>
      </c>
      <c r="FA752" s="1549"/>
      <c r="FB752" s="1549"/>
      <c r="FC752" s="1549"/>
      <c r="FD752" s="1543"/>
      <c r="FE752" s="1542" t="str">
        <f t="shared" si="33"/>
        <v/>
      </c>
      <c r="FF752" s="1549"/>
      <c r="FG752" s="1549"/>
      <c r="FH752" s="1549"/>
      <c r="FI752" s="1543"/>
      <c r="FJ752" s="1542" t="str">
        <f t="shared" si="34"/>
        <v/>
      </c>
      <c r="FK752" s="1549"/>
      <c r="FL752" s="1549"/>
      <c r="FM752" s="1549"/>
      <c r="FN752" s="1543"/>
      <c r="FO752" s="1542" t="str">
        <f t="shared" si="35"/>
        <v/>
      </c>
      <c r="FP752" s="1549"/>
      <c r="FQ752" s="1549"/>
      <c r="FR752" s="1549"/>
      <c r="FS752" s="1543"/>
      <c r="FT752" s="1542" t="str">
        <f t="shared" si="36"/>
        <v/>
      </c>
      <c r="FU752" s="1549"/>
      <c r="FV752" s="1549"/>
      <c r="FW752" s="1549"/>
      <c r="FX752" s="1543"/>
      <c r="FY752" s="1542" t="str">
        <f t="shared" si="37"/>
        <v/>
      </c>
      <c r="FZ752" s="1549"/>
      <c r="GA752" s="1549"/>
      <c r="GB752" s="1549"/>
      <c r="GC752" s="1543"/>
    </row>
    <row r="753" spans="1:185" ht="12.95" customHeight="1">
      <c r="B753" s="1371"/>
      <c r="C753" s="1372"/>
      <c r="D753" s="1372"/>
      <c r="E753" s="1372"/>
      <c r="F753" s="1373"/>
      <c r="G753" s="1365"/>
      <c r="H753" s="1366"/>
      <c r="I753" s="1366"/>
      <c r="J753" s="1367"/>
      <c r="K753" s="1368"/>
      <c r="L753" s="1369"/>
      <c r="M753" s="1369"/>
      <c r="N753" s="1370"/>
      <c r="O753" s="1418"/>
      <c r="P753" s="1419"/>
      <c r="Q753" s="1419"/>
      <c r="R753" s="1419"/>
      <c r="S753" s="1420"/>
      <c r="T753" s="1418"/>
      <c r="U753" s="1419"/>
      <c r="V753" s="1419"/>
      <c r="W753" s="1420"/>
      <c r="X753" s="1421">
        <f t="shared" si="44"/>
        <v>0</v>
      </c>
      <c r="Y753" s="1417"/>
      <c r="Z753" s="1417"/>
      <c r="AA753" s="1417"/>
      <c r="AB753" s="1422"/>
      <c r="AC753" s="1423"/>
      <c r="AD753" s="1424"/>
      <c r="AE753" s="1424"/>
      <c r="AF753" s="1424"/>
      <c r="AG753" s="1425"/>
      <c r="AH753" s="1441" t="str">
        <f t="shared" si="39"/>
        <v/>
      </c>
      <c r="AI753" s="1442"/>
      <c r="AJ753" s="1443"/>
      <c r="AK753" s="1371" t="s">
        <v>591</v>
      </c>
      <c r="AL753" s="1372"/>
      <c r="AM753" s="1372"/>
      <c r="AN753" s="1372"/>
      <c r="AO753" s="1373"/>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2">
        <f t="shared" si="40"/>
        <v>0</v>
      </c>
      <c r="CH753" s="1543"/>
      <c r="CI753" s="1544">
        <f t="shared" si="41"/>
        <v>0</v>
      </c>
      <c r="CJ753" s="1545"/>
      <c r="CK753" s="1542">
        <f t="shared" si="18"/>
        <v>0</v>
      </c>
      <c r="CL753" s="1543"/>
      <c r="CM753" s="1544">
        <f t="shared" si="19"/>
        <v>0</v>
      </c>
      <c r="CN753" s="1545"/>
      <c r="CO753" s="3"/>
      <c r="CP753" s="1546">
        <f t="shared" si="20"/>
        <v>0</v>
      </c>
      <c r="CQ753" s="1547"/>
      <c r="CR753" s="1547"/>
      <c r="CS753" s="1547"/>
      <c r="CT753" s="1548"/>
      <c r="CU753" s="1540">
        <f t="shared" si="21"/>
        <v>0</v>
      </c>
      <c r="CV753" s="1540"/>
      <c r="CW753" s="1540"/>
      <c r="CX753" s="1540"/>
      <c r="CY753" s="1540"/>
      <c r="CZ753" s="1540">
        <f t="shared" si="22"/>
        <v>0</v>
      </c>
      <c r="DA753" s="1540"/>
      <c r="DB753" s="1540"/>
      <c r="DC753" s="1540"/>
      <c r="DD753" s="1540"/>
      <c r="DE753" s="1540">
        <f t="shared" si="23"/>
        <v>0</v>
      </c>
      <c r="DF753" s="1540"/>
      <c r="DG753" s="1540"/>
      <c r="DH753" s="1540"/>
      <c r="DI753" s="1540"/>
      <c r="DJ753" s="1540">
        <f t="shared" si="24"/>
        <v>0</v>
      </c>
      <c r="DK753" s="1540"/>
      <c r="DL753" s="1540"/>
      <c r="DM753" s="1540"/>
      <c r="DN753" s="1540"/>
      <c r="DO753" s="1540">
        <f t="shared" si="25"/>
        <v>0</v>
      </c>
      <c r="DP753" s="1540"/>
      <c r="DQ753" s="1540"/>
      <c r="DR753" s="1540"/>
      <c r="DS753" s="1540"/>
      <c r="DT753" s="6"/>
      <c r="DU753" s="1538">
        <f t="shared" si="26"/>
        <v>0</v>
      </c>
      <c r="DV753" s="1538"/>
      <c r="DW753" s="1538"/>
      <c r="DX753" s="1538"/>
      <c r="DY753" s="1538"/>
      <c r="DZ753" s="1538">
        <f t="shared" si="27"/>
        <v>0</v>
      </c>
      <c r="EA753" s="1538"/>
      <c r="EB753" s="1538"/>
      <c r="EC753" s="1538"/>
      <c r="ED753" s="1538"/>
      <c r="EE753" s="1538">
        <f t="shared" si="28"/>
        <v>0</v>
      </c>
      <c r="EF753" s="1538"/>
      <c r="EG753" s="1538"/>
      <c r="EH753" s="1538"/>
      <c r="EI753" s="1538"/>
      <c r="EJ753" s="1538">
        <f t="shared" si="29"/>
        <v>0</v>
      </c>
      <c r="EK753" s="1538"/>
      <c r="EL753" s="1538"/>
      <c r="EM753" s="1538"/>
      <c r="EN753" s="1538"/>
      <c r="EO753" s="1538">
        <f t="shared" si="30"/>
        <v>0</v>
      </c>
      <c r="EP753" s="1538"/>
      <c r="EQ753" s="1538"/>
      <c r="ER753" s="1538"/>
      <c r="ES753" s="1538"/>
      <c r="ET753" s="1538">
        <f t="shared" si="31"/>
        <v>0</v>
      </c>
      <c r="EU753" s="1538"/>
      <c r="EV753" s="1538"/>
      <c r="EW753" s="1538"/>
      <c r="EX753" s="1538"/>
      <c r="EZ753" s="1542" t="str">
        <f t="shared" si="32"/>
        <v/>
      </c>
      <c r="FA753" s="1549"/>
      <c r="FB753" s="1549"/>
      <c r="FC753" s="1549"/>
      <c r="FD753" s="1543"/>
      <c r="FE753" s="1542" t="str">
        <f t="shared" si="33"/>
        <v/>
      </c>
      <c r="FF753" s="1549"/>
      <c r="FG753" s="1549"/>
      <c r="FH753" s="1549"/>
      <c r="FI753" s="1543"/>
      <c r="FJ753" s="1542" t="str">
        <f t="shared" si="34"/>
        <v/>
      </c>
      <c r="FK753" s="1549"/>
      <c r="FL753" s="1549"/>
      <c r="FM753" s="1549"/>
      <c r="FN753" s="1543"/>
      <c r="FO753" s="1542" t="str">
        <f t="shared" si="35"/>
        <v/>
      </c>
      <c r="FP753" s="1549"/>
      <c r="FQ753" s="1549"/>
      <c r="FR753" s="1549"/>
      <c r="FS753" s="1543"/>
      <c r="FT753" s="1542" t="str">
        <f t="shared" si="36"/>
        <v/>
      </c>
      <c r="FU753" s="1549"/>
      <c r="FV753" s="1549"/>
      <c r="FW753" s="1549"/>
      <c r="FX753" s="1543"/>
      <c r="FY753" s="1542" t="str">
        <f t="shared" si="37"/>
        <v/>
      </c>
      <c r="FZ753" s="1549"/>
      <c r="GA753" s="1549"/>
      <c r="GB753" s="1549"/>
      <c r="GC753" s="1543"/>
    </row>
    <row r="754" spans="1:185" ht="12.95" customHeight="1">
      <c r="B754" s="1371"/>
      <c r="C754" s="1372"/>
      <c r="D754" s="1372"/>
      <c r="E754" s="1372"/>
      <c r="F754" s="1373"/>
      <c r="G754" s="1365"/>
      <c r="H754" s="1366"/>
      <c r="I754" s="1366"/>
      <c r="J754" s="1367"/>
      <c r="K754" s="1368"/>
      <c r="L754" s="1369"/>
      <c r="M754" s="1369"/>
      <c r="N754" s="1370"/>
      <c r="O754" s="1418"/>
      <c r="P754" s="1419"/>
      <c r="Q754" s="1419"/>
      <c r="R754" s="1419"/>
      <c r="S754" s="1420"/>
      <c r="T754" s="1418"/>
      <c r="U754" s="1419"/>
      <c r="V754" s="1419"/>
      <c r="W754" s="1420"/>
      <c r="X754" s="1421">
        <f t="shared" si="44"/>
        <v>0</v>
      </c>
      <c r="Y754" s="1417"/>
      <c r="Z754" s="1417"/>
      <c r="AA754" s="1417"/>
      <c r="AB754" s="1422"/>
      <c r="AC754" s="1423"/>
      <c r="AD754" s="1424"/>
      <c r="AE754" s="1424"/>
      <c r="AF754" s="1424"/>
      <c r="AG754" s="1425"/>
      <c r="AH754" s="1441" t="str">
        <f t="shared" si="39"/>
        <v/>
      </c>
      <c r="AI754" s="1442"/>
      <c r="AJ754" s="1443"/>
      <c r="AK754" s="1371" t="s">
        <v>591</v>
      </c>
      <c r="AL754" s="1372"/>
      <c r="AM754" s="1372"/>
      <c r="AN754" s="1372"/>
      <c r="AO754" s="1373"/>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2">
        <f t="shared" si="40"/>
        <v>0</v>
      </c>
      <c r="CH754" s="1543"/>
      <c r="CI754" s="1544">
        <f t="shared" si="41"/>
        <v>0</v>
      </c>
      <c r="CJ754" s="1545"/>
      <c r="CK754" s="1542">
        <f t="shared" si="18"/>
        <v>0</v>
      </c>
      <c r="CL754" s="1543"/>
      <c r="CM754" s="1544">
        <f t="shared" si="19"/>
        <v>0</v>
      </c>
      <c r="CN754" s="1545"/>
      <c r="CO754" s="3"/>
      <c r="CP754" s="1546">
        <f t="shared" si="20"/>
        <v>0</v>
      </c>
      <c r="CQ754" s="1547"/>
      <c r="CR754" s="1547"/>
      <c r="CS754" s="1547"/>
      <c r="CT754" s="1548"/>
      <c r="CU754" s="1540">
        <f t="shared" si="21"/>
        <v>0</v>
      </c>
      <c r="CV754" s="1540"/>
      <c r="CW754" s="1540"/>
      <c r="CX754" s="1540"/>
      <c r="CY754" s="1540"/>
      <c r="CZ754" s="1540">
        <f t="shared" si="22"/>
        <v>0</v>
      </c>
      <c r="DA754" s="1540"/>
      <c r="DB754" s="1540"/>
      <c r="DC754" s="1540"/>
      <c r="DD754" s="1540"/>
      <c r="DE754" s="1540">
        <f t="shared" si="23"/>
        <v>0</v>
      </c>
      <c r="DF754" s="1540"/>
      <c r="DG754" s="1540"/>
      <c r="DH754" s="1540"/>
      <c r="DI754" s="1540"/>
      <c r="DJ754" s="1540">
        <f t="shared" si="24"/>
        <v>0</v>
      </c>
      <c r="DK754" s="1540"/>
      <c r="DL754" s="1540"/>
      <c r="DM754" s="1540"/>
      <c r="DN754" s="1540"/>
      <c r="DO754" s="1540">
        <f t="shared" si="25"/>
        <v>0</v>
      </c>
      <c r="DP754" s="1540"/>
      <c r="DQ754" s="1540"/>
      <c r="DR754" s="1540"/>
      <c r="DS754" s="1540"/>
      <c r="DT754" s="6"/>
      <c r="DU754" s="1538">
        <f t="shared" si="26"/>
        <v>0</v>
      </c>
      <c r="DV754" s="1538"/>
      <c r="DW754" s="1538"/>
      <c r="DX754" s="1538"/>
      <c r="DY754" s="1538"/>
      <c r="DZ754" s="1538">
        <f t="shared" si="27"/>
        <v>0</v>
      </c>
      <c r="EA754" s="1538"/>
      <c r="EB754" s="1538"/>
      <c r="EC754" s="1538"/>
      <c r="ED754" s="1538"/>
      <c r="EE754" s="1538">
        <f t="shared" si="28"/>
        <v>0</v>
      </c>
      <c r="EF754" s="1538"/>
      <c r="EG754" s="1538"/>
      <c r="EH754" s="1538"/>
      <c r="EI754" s="1538"/>
      <c r="EJ754" s="1538">
        <f t="shared" si="29"/>
        <v>0</v>
      </c>
      <c r="EK754" s="1538"/>
      <c r="EL754" s="1538"/>
      <c r="EM754" s="1538"/>
      <c r="EN754" s="1538"/>
      <c r="EO754" s="1538">
        <f t="shared" si="30"/>
        <v>0</v>
      </c>
      <c r="EP754" s="1538"/>
      <c r="EQ754" s="1538"/>
      <c r="ER754" s="1538"/>
      <c r="ES754" s="1538"/>
      <c r="ET754" s="1538">
        <f t="shared" si="31"/>
        <v>0</v>
      </c>
      <c r="EU754" s="1538"/>
      <c r="EV754" s="1538"/>
      <c r="EW754" s="1538"/>
      <c r="EX754" s="1538"/>
      <c r="EZ754" s="1542" t="str">
        <f t="shared" si="32"/>
        <v/>
      </c>
      <c r="FA754" s="1549"/>
      <c r="FB754" s="1549"/>
      <c r="FC754" s="1549"/>
      <c r="FD754" s="1543"/>
      <c r="FE754" s="1542" t="str">
        <f t="shared" si="33"/>
        <v/>
      </c>
      <c r="FF754" s="1549"/>
      <c r="FG754" s="1549"/>
      <c r="FH754" s="1549"/>
      <c r="FI754" s="1543"/>
      <c r="FJ754" s="1542" t="str">
        <f t="shared" si="34"/>
        <v/>
      </c>
      <c r="FK754" s="1549"/>
      <c r="FL754" s="1549"/>
      <c r="FM754" s="1549"/>
      <c r="FN754" s="1543"/>
      <c r="FO754" s="1542" t="str">
        <f t="shared" si="35"/>
        <v/>
      </c>
      <c r="FP754" s="1549"/>
      <c r="FQ754" s="1549"/>
      <c r="FR754" s="1549"/>
      <c r="FS754" s="1543"/>
      <c r="FT754" s="1542" t="str">
        <f t="shared" si="36"/>
        <v/>
      </c>
      <c r="FU754" s="1549"/>
      <c r="FV754" s="1549"/>
      <c r="FW754" s="1549"/>
      <c r="FX754" s="1543"/>
      <c r="FY754" s="1542" t="str">
        <f t="shared" si="37"/>
        <v/>
      </c>
      <c r="FZ754" s="1549"/>
      <c r="GA754" s="1549"/>
      <c r="GB754" s="1549"/>
      <c r="GC754" s="1543"/>
    </row>
    <row r="755" spans="1:185" ht="12.95" customHeight="1">
      <c r="B755" s="1371"/>
      <c r="C755" s="1372"/>
      <c r="D755" s="1372"/>
      <c r="E755" s="1372"/>
      <c r="F755" s="1373"/>
      <c r="G755" s="1365"/>
      <c r="H755" s="1366"/>
      <c r="I755" s="1366"/>
      <c r="J755" s="1367"/>
      <c r="K755" s="1368"/>
      <c r="L755" s="1369"/>
      <c r="M755" s="1369"/>
      <c r="N755" s="1370"/>
      <c r="O755" s="1418"/>
      <c r="P755" s="1419"/>
      <c r="Q755" s="1419"/>
      <c r="R755" s="1419"/>
      <c r="S755" s="1420"/>
      <c r="T755" s="1418"/>
      <c r="U755" s="1419"/>
      <c r="V755" s="1419"/>
      <c r="W755" s="1420"/>
      <c r="X755" s="1421">
        <f t="shared" si="44"/>
        <v>0</v>
      </c>
      <c r="Y755" s="1417"/>
      <c r="Z755" s="1417"/>
      <c r="AA755" s="1417"/>
      <c r="AB755" s="1422"/>
      <c r="AC755" s="1423"/>
      <c r="AD755" s="1424"/>
      <c r="AE755" s="1424"/>
      <c r="AF755" s="1424"/>
      <c r="AG755" s="1425"/>
      <c r="AH755" s="1441" t="str">
        <f t="shared" si="39"/>
        <v/>
      </c>
      <c r="AI755" s="1442"/>
      <c r="AJ755" s="1443"/>
      <c r="AK755" s="1371" t="s">
        <v>591</v>
      </c>
      <c r="AL755" s="1372"/>
      <c r="AM755" s="1372"/>
      <c r="AN755" s="1372"/>
      <c r="AO755" s="1373"/>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2">
        <f t="shared" si="40"/>
        <v>0</v>
      </c>
      <c r="CH755" s="1543"/>
      <c r="CI755" s="1544">
        <f t="shared" si="41"/>
        <v>0</v>
      </c>
      <c r="CJ755" s="1545"/>
      <c r="CK755" s="1542">
        <f t="shared" si="18"/>
        <v>0</v>
      </c>
      <c r="CL755" s="1543"/>
      <c r="CM755" s="1544">
        <f t="shared" si="19"/>
        <v>0</v>
      </c>
      <c r="CN755" s="1545"/>
      <c r="CO755" s="3"/>
      <c r="CP755" s="1546">
        <f t="shared" si="20"/>
        <v>0</v>
      </c>
      <c r="CQ755" s="1547"/>
      <c r="CR755" s="1547"/>
      <c r="CS755" s="1547"/>
      <c r="CT755" s="1548"/>
      <c r="CU755" s="1540">
        <f t="shared" si="21"/>
        <v>0</v>
      </c>
      <c r="CV755" s="1540"/>
      <c r="CW755" s="1540"/>
      <c r="CX755" s="1540"/>
      <c r="CY755" s="1540"/>
      <c r="CZ755" s="1540">
        <f t="shared" si="22"/>
        <v>0</v>
      </c>
      <c r="DA755" s="1540"/>
      <c r="DB755" s="1540"/>
      <c r="DC755" s="1540"/>
      <c r="DD755" s="1540"/>
      <c r="DE755" s="1540">
        <f t="shared" si="23"/>
        <v>0</v>
      </c>
      <c r="DF755" s="1540"/>
      <c r="DG755" s="1540"/>
      <c r="DH755" s="1540"/>
      <c r="DI755" s="1540"/>
      <c r="DJ755" s="1540">
        <f t="shared" si="24"/>
        <v>0</v>
      </c>
      <c r="DK755" s="1540"/>
      <c r="DL755" s="1540"/>
      <c r="DM755" s="1540"/>
      <c r="DN755" s="1540"/>
      <c r="DO755" s="1540">
        <f t="shared" si="25"/>
        <v>0</v>
      </c>
      <c r="DP755" s="1540"/>
      <c r="DQ755" s="1540"/>
      <c r="DR755" s="1540"/>
      <c r="DS755" s="1540"/>
      <c r="DT755" s="6"/>
      <c r="DU755" s="1538">
        <f t="shared" si="26"/>
        <v>0</v>
      </c>
      <c r="DV755" s="1538"/>
      <c r="DW755" s="1538"/>
      <c r="DX755" s="1538"/>
      <c r="DY755" s="1538"/>
      <c r="DZ755" s="1538">
        <f t="shared" si="27"/>
        <v>0</v>
      </c>
      <c r="EA755" s="1538"/>
      <c r="EB755" s="1538"/>
      <c r="EC755" s="1538"/>
      <c r="ED755" s="1538"/>
      <c r="EE755" s="1538">
        <f t="shared" si="28"/>
        <v>0</v>
      </c>
      <c r="EF755" s="1538"/>
      <c r="EG755" s="1538"/>
      <c r="EH755" s="1538"/>
      <c r="EI755" s="1538"/>
      <c r="EJ755" s="1538">
        <f t="shared" si="29"/>
        <v>0</v>
      </c>
      <c r="EK755" s="1538"/>
      <c r="EL755" s="1538"/>
      <c r="EM755" s="1538"/>
      <c r="EN755" s="1538"/>
      <c r="EO755" s="1538">
        <f t="shared" si="30"/>
        <v>0</v>
      </c>
      <c r="EP755" s="1538"/>
      <c r="EQ755" s="1538"/>
      <c r="ER755" s="1538"/>
      <c r="ES755" s="1538"/>
      <c r="ET755" s="1538">
        <f t="shared" si="31"/>
        <v>0</v>
      </c>
      <c r="EU755" s="1538"/>
      <c r="EV755" s="1538"/>
      <c r="EW755" s="1538"/>
      <c r="EX755" s="1538"/>
      <c r="EZ755" s="1542" t="str">
        <f t="shared" si="32"/>
        <v/>
      </c>
      <c r="FA755" s="1549"/>
      <c r="FB755" s="1549"/>
      <c r="FC755" s="1549"/>
      <c r="FD755" s="1543"/>
      <c r="FE755" s="1542" t="str">
        <f t="shared" si="33"/>
        <v/>
      </c>
      <c r="FF755" s="1549"/>
      <c r="FG755" s="1549"/>
      <c r="FH755" s="1549"/>
      <c r="FI755" s="1543"/>
      <c r="FJ755" s="1542" t="str">
        <f t="shared" si="34"/>
        <v/>
      </c>
      <c r="FK755" s="1549"/>
      <c r="FL755" s="1549"/>
      <c r="FM755" s="1549"/>
      <c r="FN755" s="1543"/>
      <c r="FO755" s="1542" t="str">
        <f t="shared" si="35"/>
        <v/>
      </c>
      <c r="FP755" s="1549"/>
      <c r="FQ755" s="1549"/>
      <c r="FR755" s="1549"/>
      <c r="FS755" s="1543"/>
      <c r="FT755" s="1542" t="str">
        <f t="shared" si="36"/>
        <v/>
      </c>
      <c r="FU755" s="1549"/>
      <c r="FV755" s="1549"/>
      <c r="FW755" s="1549"/>
      <c r="FX755" s="1543"/>
      <c r="FY755" s="1542" t="str">
        <f t="shared" si="37"/>
        <v/>
      </c>
      <c r="FZ755" s="1549"/>
      <c r="GA755" s="1549"/>
      <c r="GB755" s="1549"/>
      <c r="GC755" s="1543"/>
    </row>
    <row r="756" spans="1:185" s="3" customFormat="1" ht="12.95" customHeight="1">
      <c r="A756"/>
      <c r="B756" s="1371"/>
      <c r="C756" s="1372"/>
      <c r="D756" s="1372"/>
      <c r="E756" s="1372"/>
      <c r="F756" s="1373"/>
      <c r="G756" s="1365"/>
      <c r="H756" s="1366"/>
      <c r="I756" s="1366"/>
      <c r="J756" s="1367"/>
      <c r="K756" s="1368"/>
      <c r="L756" s="1369"/>
      <c r="M756" s="1369"/>
      <c r="N756" s="1370"/>
      <c r="O756" s="1418"/>
      <c r="P756" s="1419"/>
      <c r="Q756" s="1419"/>
      <c r="R756" s="1419"/>
      <c r="S756" s="1420"/>
      <c r="T756" s="1418"/>
      <c r="U756" s="1419"/>
      <c r="V756" s="1419"/>
      <c r="W756" s="1420"/>
      <c r="X756" s="1421">
        <f t="shared" si="44"/>
        <v>0</v>
      </c>
      <c r="Y756" s="1417"/>
      <c r="Z756" s="1417"/>
      <c r="AA756" s="1417"/>
      <c r="AB756" s="1422"/>
      <c r="AC756" s="1423"/>
      <c r="AD756" s="1424"/>
      <c r="AE756" s="1424"/>
      <c r="AF756" s="1424"/>
      <c r="AG756" s="1425"/>
      <c r="AH756" s="1441" t="str">
        <f t="shared" si="39"/>
        <v/>
      </c>
      <c r="AI756" s="1442"/>
      <c r="AJ756" s="1443"/>
      <c r="AK756" s="1371" t="s">
        <v>591</v>
      </c>
      <c r="AL756" s="1372"/>
      <c r="AM756" s="1372"/>
      <c r="AN756" s="1372"/>
      <c r="AO756" s="1373"/>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2">
        <f t="shared" si="40"/>
        <v>0</v>
      </c>
      <c r="CH756" s="1543"/>
      <c r="CI756" s="1544">
        <f t="shared" si="41"/>
        <v>0</v>
      </c>
      <c r="CJ756" s="1545"/>
      <c r="CK756" s="1542">
        <f t="shared" si="18"/>
        <v>0</v>
      </c>
      <c r="CL756" s="1543"/>
      <c r="CM756" s="1544">
        <f t="shared" si="19"/>
        <v>0</v>
      </c>
      <c r="CN756" s="1545"/>
      <c r="CP756" s="1546">
        <f t="shared" si="20"/>
        <v>0</v>
      </c>
      <c r="CQ756" s="1547"/>
      <c r="CR756" s="1547"/>
      <c r="CS756" s="1547"/>
      <c r="CT756" s="1548"/>
      <c r="CU756" s="1540">
        <f t="shared" si="21"/>
        <v>0</v>
      </c>
      <c r="CV756" s="1540"/>
      <c r="CW756" s="1540"/>
      <c r="CX756" s="1540"/>
      <c r="CY756" s="1540"/>
      <c r="CZ756" s="1540">
        <f t="shared" si="22"/>
        <v>0</v>
      </c>
      <c r="DA756" s="1540"/>
      <c r="DB756" s="1540"/>
      <c r="DC756" s="1540"/>
      <c r="DD756" s="1540"/>
      <c r="DE756" s="1540">
        <f t="shared" si="23"/>
        <v>0</v>
      </c>
      <c r="DF756" s="1540"/>
      <c r="DG756" s="1540"/>
      <c r="DH756" s="1540"/>
      <c r="DI756" s="1540"/>
      <c r="DJ756" s="1540">
        <f t="shared" si="24"/>
        <v>0</v>
      </c>
      <c r="DK756" s="1540"/>
      <c r="DL756" s="1540"/>
      <c r="DM756" s="1540"/>
      <c r="DN756" s="1540"/>
      <c r="DO756" s="1540">
        <f t="shared" si="25"/>
        <v>0</v>
      </c>
      <c r="DP756" s="1540"/>
      <c r="DQ756" s="1540"/>
      <c r="DR756" s="1540"/>
      <c r="DS756" s="1540"/>
      <c r="DT756" s="6"/>
      <c r="DU756" s="1538">
        <f t="shared" si="26"/>
        <v>0</v>
      </c>
      <c r="DV756" s="1538"/>
      <c r="DW756" s="1538"/>
      <c r="DX756" s="1538"/>
      <c r="DY756" s="1538"/>
      <c r="DZ756" s="1538">
        <f t="shared" si="27"/>
        <v>0</v>
      </c>
      <c r="EA756" s="1538"/>
      <c r="EB756" s="1538"/>
      <c r="EC756" s="1538"/>
      <c r="ED756" s="1538"/>
      <c r="EE756" s="1538">
        <f t="shared" si="28"/>
        <v>0</v>
      </c>
      <c r="EF756" s="1538"/>
      <c r="EG756" s="1538"/>
      <c r="EH756" s="1538"/>
      <c r="EI756" s="1538"/>
      <c r="EJ756" s="1538">
        <f t="shared" si="29"/>
        <v>0</v>
      </c>
      <c r="EK756" s="1538"/>
      <c r="EL756" s="1538"/>
      <c r="EM756" s="1538"/>
      <c r="EN756" s="1538"/>
      <c r="EO756" s="1538">
        <f t="shared" si="30"/>
        <v>0</v>
      </c>
      <c r="EP756" s="1538"/>
      <c r="EQ756" s="1538"/>
      <c r="ER756" s="1538"/>
      <c r="ES756" s="1538"/>
      <c r="ET756" s="1538">
        <f t="shared" si="31"/>
        <v>0</v>
      </c>
      <c r="EU756" s="1538"/>
      <c r="EV756" s="1538"/>
      <c r="EW756" s="1538"/>
      <c r="EX756" s="1538"/>
      <c r="EY756"/>
      <c r="EZ756" s="1542" t="str">
        <f t="shared" si="32"/>
        <v/>
      </c>
      <c r="FA756" s="1549"/>
      <c r="FB756" s="1549"/>
      <c r="FC756" s="1549"/>
      <c r="FD756" s="1543"/>
      <c r="FE756" s="1542" t="str">
        <f t="shared" si="33"/>
        <v/>
      </c>
      <c r="FF756" s="1549"/>
      <c r="FG756" s="1549"/>
      <c r="FH756" s="1549"/>
      <c r="FI756" s="1543"/>
      <c r="FJ756" s="1542" t="str">
        <f t="shared" si="34"/>
        <v/>
      </c>
      <c r="FK756" s="1549"/>
      <c r="FL756" s="1549"/>
      <c r="FM756" s="1549"/>
      <c r="FN756" s="1543"/>
      <c r="FO756" s="1542" t="str">
        <f t="shared" si="35"/>
        <v/>
      </c>
      <c r="FP756" s="1549"/>
      <c r="FQ756" s="1549"/>
      <c r="FR756" s="1549"/>
      <c r="FS756" s="1543"/>
      <c r="FT756" s="1542" t="str">
        <f t="shared" si="36"/>
        <v/>
      </c>
      <c r="FU756" s="1549"/>
      <c r="FV756" s="1549"/>
      <c r="FW756" s="1549"/>
      <c r="FX756" s="1543"/>
      <c r="FY756" s="1542" t="str">
        <f t="shared" si="37"/>
        <v/>
      </c>
      <c r="FZ756" s="1549"/>
      <c r="GA756" s="1549"/>
      <c r="GB756" s="1549"/>
      <c r="GC756" s="1543"/>
    </row>
    <row r="757" spans="1:185" s="3" customFormat="1" ht="12.95" customHeight="1">
      <c r="A757"/>
      <c r="B757" s="1371"/>
      <c r="C757" s="1372"/>
      <c r="D757" s="1372"/>
      <c r="E757" s="1372"/>
      <c r="F757" s="1373"/>
      <c r="G757" s="1365"/>
      <c r="H757" s="1366"/>
      <c r="I757" s="1366"/>
      <c r="J757" s="1367"/>
      <c r="K757" s="1368"/>
      <c r="L757" s="1369"/>
      <c r="M757" s="1369"/>
      <c r="N757" s="1370"/>
      <c r="O757" s="1418"/>
      <c r="P757" s="1419"/>
      <c r="Q757" s="1419"/>
      <c r="R757" s="1419"/>
      <c r="S757" s="1420"/>
      <c r="T757" s="1418"/>
      <c r="U757" s="1419"/>
      <c r="V757" s="1419"/>
      <c r="W757" s="1420"/>
      <c r="X757" s="1421">
        <f t="shared" si="44"/>
        <v>0</v>
      </c>
      <c r="Y757" s="1417"/>
      <c r="Z757" s="1417"/>
      <c r="AA757" s="1417"/>
      <c r="AB757" s="1422"/>
      <c r="AC757" s="1423"/>
      <c r="AD757" s="1424"/>
      <c r="AE757" s="1424"/>
      <c r="AF757" s="1424"/>
      <c r="AG757" s="1425"/>
      <c r="AH757" s="1441" t="str">
        <f t="shared" si="39"/>
        <v/>
      </c>
      <c r="AI757" s="1442"/>
      <c r="AJ757" s="1443"/>
      <c r="AK757" s="1371" t="s">
        <v>591</v>
      </c>
      <c r="AL757" s="1372"/>
      <c r="AM757" s="1372"/>
      <c r="AN757" s="1372"/>
      <c r="AO757" s="1373"/>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2">
        <f t="shared" si="40"/>
        <v>0</v>
      </c>
      <c r="CH757" s="1543"/>
      <c r="CI757" s="1544">
        <f t="shared" si="41"/>
        <v>0</v>
      </c>
      <c r="CJ757" s="1545"/>
      <c r="CK757" s="1542">
        <f t="shared" si="18"/>
        <v>0</v>
      </c>
      <c r="CL757" s="1543"/>
      <c r="CM757" s="1544">
        <f t="shared" si="19"/>
        <v>0</v>
      </c>
      <c r="CN757" s="1545"/>
      <c r="CP757" s="1546">
        <f t="shared" si="20"/>
        <v>0</v>
      </c>
      <c r="CQ757" s="1547"/>
      <c r="CR757" s="1547"/>
      <c r="CS757" s="1547"/>
      <c r="CT757" s="1548"/>
      <c r="CU757" s="1540">
        <f t="shared" si="21"/>
        <v>0</v>
      </c>
      <c r="CV757" s="1540"/>
      <c r="CW757" s="1540"/>
      <c r="CX757" s="1540"/>
      <c r="CY757" s="1540"/>
      <c r="CZ757" s="1540">
        <f t="shared" si="22"/>
        <v>0</v>
      </c>
      <c r="DA757" s="1540"/>
      <c r="DB757" s="1540"/>
      <c r="DC757" s="1540"/>
      <c r="DD757" s="1540"/>
      <c r="DE757" s="1540">
        <f t="shared" si="23"/>
        <v>0</v>
      </c>
      <c r="DF757" s="1540"/>
      <c r="DG757" s="1540"/>
      <c r="DH757" s="1540"/>
      <c r="DI757" s="1540"/>
      <c r="DJ757" s="1540">
        <f t="shared" si="24"/>
        <v>0</v>
      </c>
      <c r="DK757" s="1540"/>
      <c r="DL757" s="1540"/>
      <c r="DM757" s="1540"/>
      <c r="DN757" s="1540"/>
      <c r="DO757" s="1540">
        <f t="shared" si="25"/>
        <v>0</v>
      </c>
      <c r="DP757" s="1540"/>
      <c r="DQ757" s="1540"/>
      <c r="DR757" s="1540"/>
      <c r="DS757" s="1540"/>
      <c r="DT757" s="6"/>
      <c r="DU757" s="1538">
        <f t="shared" si="26"/>
        <v>0</v>
      </c>
      <c r="DV757" s="1538"/>
      <c r="DW757" s="1538"/>
      <c r="DX757" s="1538"/>
      <c r="DY757" s="1538"/>
      <c r="DZ757" s="1538">
        <f t="shared" si="27"/>
        <v>0</v>
      </c>
      <c r="EA757" s="1538"/>
      <c r="EB757" s="1538"/>
      <c r="EC757" s="1538"/>
      <c r="ED757" s="1538"/>
      <c r="EE757" s="1538">
        <f t="shared" si="28"/>
        <v>0</v>
      </c>
      <c r="EF757" s="1538"/>
      <c r="EG757" s="1538"/>
      <c r="EH757" s="1538"/>
      <c r="EI757" s="1538"/>
      <c r="EJ757" s="1538">
        <f t="shared" si="29"/>
        <v>0</v>
      </c>
      <c r="EK757" s="1538"/>
      <c r="EL757" s="1538"/>
      <c r="EM757" s="1538"/>
      <c r="EN757" s="1538"/>
      <c r="EO757" s="1538">
        <f t="shared" si="30"/>
        <v>0</v>
      </c>
      <c r="EP757" s="1538"/>
      <c r="EQ757" s="1538"/>
      <c r="ER757" s="1538"/>
      <c r="ES757" s="1538"/>
      <c r="ET757" s="1538">
        <f t="shared" si="31"/>
        <v>0</v>
      </c>
      <c r="EU757" s="1538"/>
      <c r="EV757" s="1538"/>
      <c r="EW757" s="1538"/>
      <c r="EX757" s="1538"/>
      <c r="EY757"/>
      <c r="EZ757" s="1542" t="str">
        <f t="shared" si="32"/>
        <v/>
      </c>
      <c r="FA757" s="1549"/>
      <c r="FB757" s="1549"/>
      <c r="FC757" s="1549"/>
      <c r="FD757" s="1543"/>
      <c r="FE757" s="1542" t="str">
        <f t="shared" si="33"/>
        <v/>
      </c>
      <c r="FF757" s="1549"/>
      <c r="FG757" s="1549"/>
      <c r="FH757" s="1549"/>
      <c r="FI757" s="1543"/>
      <c r="FJ757" s="1542" t="str">
        <f t="shared" si="34"/>
        <v/>
      </c>
      <c r="FK757" s="1549"/>
      <c r="FL757" s="1549"/>
      <c r="FM757" s="1549"/>
      <c r="FN757" s="1543"/>
      <c r="FO757" s="1542" t="str">
        <f t="shared" si="35"/>
        <v/>
      </c>
      <c r="FP757" s="1549"/>
      <c r="FQ757" s="1549"/>
      <c r="FR757" s="1549"/>
      <c r="FS757" s="1543"/>
      <c r="FT757" s="1542" t="str">
        <f t="shared" si="36"/>
        <v/>
      </c>
      <c r="FU757" s="1549"/>
      <c r="FV757" s="1549"/>
      <c r="FW757" s="1549"/>
      <c r="FX757" s="1543"/>
      <c r="FY757" s="1542" t="str">
        <f t="shared" si="37"/>
        <v/>
      </c>
      <c r="FZ757" s="1549"/>
      <c r="GA757" s="1549"/>
      <c r="GB757" s="1549"/>
      <c r="GC757" s="1543"/>
    </row>
    <row r="758" spans="1:185" s="3" customFormat="1" ht="12.95" customHeight="1">
      <c r="A758"/>
      <c r="B758" s="1371"/>
      <c r="C758" s="1372"/>
      <c r="D758" s="1372"/>
      <c r="E758" s="1372"/>
      <c r="F758" s="1373"/>
      <c r="G758" s="1365"/>
      <c r="H758" s="1366"/>
      <c r="I758" s="1366"/>
      <c r="J758" s="1367"/>
      <c r="K758" s="1368"/>
      <c r="L758" s="1369"/>
      <c r="M758" s="1369"/>
      <c r="N758" s="1370"/>
      <c r="O758" s="1418"/>
      <c r="P758" s="1419"/>
      <c r="Q758" s="1419"/>
      <c r="R758" s="1419"/>
      <c r="S758" s="1420"/>
      <c r="T758" s="1418"/>
      <c r="U758" s="1419"/>
      <c r="V758" s="1419"/>
      <c r="W758" s="1420"/>
      <c r="X758" s="1421">
        <f t="shared" si="44"/>
        <v>0</v>
      </c>
      <c r="Y758" s="1417"/>
      <c r="Z758" s="1417"/>
      <c r="AA758" s="1417"/>
      <c r="AB758" s="1422"/>
      <c r="AC758" s="1423"/>
      <c r="AD758" s="1424"/>
      <c r="AE758" s="1424"/>
      <c r="AF758" s="1424"/>
      <c r="AG758" s="1425"/>
      <c r="AH758" s="1441" t="str">
        <f t="shared" si="39"/>
        <v/>
      </c>
      <c r="AI758" s="1442"/>
      <c r="AJ758" s="1443"/>
      <c r="AK758" s="1371" t="s">
        <v>591</v>
      </c>
      <c r="AL758" s="1372"/>
      <c r="AM758" s="1372"/>
      <c r="AN758" s="1372"/>
      <c r="AO758" s="1373"/>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2">
        <f t="shared" si="40"/>
        <v>0</v>
      </c>
      <c r="CH758" s="1543"/>
      <c r="CI758" s="1544">
        <f t="shared" si="41"/>
        <v>0</v>
      </c>
      <c r="CJ758" s="1545"/>
      <c r="CK758" s="1542">
        <f t="shared" si="18"/>
        <v>0</v>
      </c>
      <c r="CL758" s="1543"/>
      <c r="CM758" s="1544">
        <f t="shared" si="19"/>
        <v>0</v>
      </c>
      <c r="CN758" s="1545"/>
      <c r="CP758" s="1546">
        <f t="shared" si="20"/>
        <v>0</v>
      </c>
      <c r="CQ758" s="1547"/>
      <c r="CR758" s="1547"/>
      <c r="CS758" s="1547"/>
      <c r="CT758" s="1548"/>
      <c r="CU758" s="1540">
        <f t="shared" si="21"/>
        <v>0</v>
      </c>
      <c r="CV758" s="1540"/>
      <c r="CW758" s="1540"/>
      <c r="CX758" s="1540"/>
      <c r="CY758" s="1540"/>
      <c r="CZ758" s="1540">
        <f t="shared" si="22"/>
        <v>0</v>
      </c>
      <c r="DA758" s="1540"/>
      <c r="DB758" s="1540"/>
      <c r="DC758" s="1540"/>
      <c r="DD758" s="1540"/>
      <c r="DE758" s="1540">
        <f t="shared" si="23"/>
        <v>0</v>
      </c>
      <c r="DF758" s="1540"/>
      <c r="DG758" s="1540"/>
      <c r="DH758" s="1540"/>
      <c r="DI758" s="1540"/>
      <c r="DJ758" s="1540">
        <f t="shared" si="24"/>
        <v>0</v>
      </c>
      <c r="DK758" s="1540"/>
      <c r="DL758" s="1540"/>
      <c r="DM758" s="1540"/>
      <c r="DN758" s="1540"/>
      <c r="DO758" s="1540">
        <f t="shared" si="25"/>
        <v>0</v>
      </c>
      <c r="DP758" s="1540"/>
      <c r="DQ758" s="1540"/>
      <c r="DR758" s="1540"/>
      <c r="DS758" s="1540"/>
      <c r="DT758" s="6"/>
      <c r="DU758" s="1538">
        <f t="shared" si="26"/>
        <v>0</v>
      </c>
      <c r="DV758" s="1538"/>
      <c r="DW758" s="1538"/>
      <c r="DX758" s="1538"/>
      <c r="DY758" s="1538"/>
      <c r="DZ758" s="1538">
        <f t="shared" si="27"/>
        <v>0</v>
      </c>
      <c r="EA758" s="1538"/>
      <c r="EB758" s="1538"/>
      <c r="EC758" s="1538"/>
      <c r="ED758" s="1538"/>
      <c r="EE758" s="1538">
        <f t="shared" si="28"/>
        <v>0</v>
      </c>
      <c r="EF758" s="1538"/>
      <c r="EG758" s="1538"/>
      <c r="EH758" s="1538"/>
      <c r="EI758" s="1538"/>
      <c r="EJ758" s="1538">
        <f t="shared" si="29"/>
        <v>0</v>
      </c>
      <c r="EK758" s="1538"/>
      <c r="EL758" s="1538"/>
      <c r="EM758" s="1538"/>
      <c r="EN758" s="1538"/>
      <c r="EO758" s="1538">
        <f t="shared" si="30"/>
        <v>0</v>
      </c>
      <c r="EP758" s="1538"/>
      <c r="EQ758" s="1538"/>
      <c r="ER758" s="1538"/>
      <c r="ES758" s="1538"/>
      <c r="ET758" s="1538">
        <f t="shared" si="31"/>
        <v>0</v>
      </c>
      <c r="EU758" s="1538"/>
      <c r="EV758" s="1538"/>
      <c r="EW758" s="1538"/>
      <c r="EX758" s="1538"/>
      <c r="EY758"/>
      <c r="EZ758" s="1542" t="str">
        <f t="shared" si="32"/>
        <v/>
      </c>
      <c r="FA758" s="1549"/>
      <c r="FB758" s="1549"/>
      <c r="FC758" s="1549"/>
      <c r="FD758" s="1543"/>
      <c r="FE758" s="1542" t="str">
        <f t="shared" si="33"/>
        <v/>
      </c>
      <c r="FF758" s="1549"/>
      <c r="FG758" s="1549"/>
      <c r="FH758" s="1549"/>
      <c r="FI758" s="1543"/>
      <c r="FJ758" s="1542" t="str">
        <f t="shared" si="34"/>
        <v/>
      </c>
      <c r="FK758" s="1549"/>
      <c r="FL758" s="1549"/>
      <c r="FM758" s="1549"/>
      <c r="FN758" s="1543"/>
      <c r="FO758" s="1542" t="str">
        <f t="shared" si="35"/>
        <v/>
      </c>
      <c r="FP758" s="1549"/>
      <c r="FQ758" s="1549"/>
      <c r="FR758" s="1549"/>
      <c r="FS758" s="1543"/>
      <c r="FT758" s="1542" t="str">
        <f t="shared" si="36"/>
        <v/>
      </c>
      <c r="FU758" s="1549"/>
      <c r="FV758" s="1549"/>
      <c r="FW758" s="1549"/>
      <c r="FX758" s="1543"/>
      <c r="FY758" s="1542" t="str">
        <f t="shared" si="37"/>
        <v/>
      </c>
      <c r="FZ758" s="1549"/>
      <c r="GA758" s="1549"/>
      <c r="GB758" s="1549"/>
      <c r="GC758" s="1543"/>
    </row>
    <row r="759" spans="1:185" s="3" customFormat="1" ht="12.95" customHeight="1">
      <c r="A759"/>
      <c r="B759" s="1371"/>
      <c r="C759" s="1372"/>
      <c r="D759" s="1372"/>
      <c r="E759" s="1372"/>
      <c r="F759" s="1373"/>
      <c r="G759" s="1365"/>
      <c r="H759" s="1366"/>
      <c r="I759" s="1366"/>
      <c r="J759" s="1367"/>
      <c r="K759" s="1368"/>
      <c r="L759" s="1369"/>
      <c r="M759" s="1369"/>
      <c r="N759" s="1370"/>
      <c r="O759" s="1418"/>
      <c r="P759" s="1419"/>
      <c r="Q759" s="1419"/>
      <c r="R759" s="1419"/>
      <c r="S759" s="1420"/>
      <c r="T759" s="1418"/>
      <c r="U759" s="1419"/>
      <c r="V759" s="1419"/>
      <c r="W759" s="1420"/>
      <c r="X759" s="1421">
        <f t="shared" si="44"/>
        <v>0</v>
      </c>
      <c r="Y759" s="1417"/>
      <c r="Z759" s="1417"/>
      <c r="AA759" s="1417"/>
      <c r="AB759" s="1422"/>
      <c r="AC759" s="1423"/>
      <c r="AD759" s="1424"/>
      <c r="AE759" s="1424"/>
      <c r="AF759" s="1424"/>
      <c r="AG759" s="1425"/>
      <c r="AH759" s="1441" t="str">
        <f t="shared" si="39"/>
        <v/>
      </c>
      <c r="AI759" s="1442"/>
      <c r="AJ759" s="1443"/>
      <c r="AK759" s="1371" t="s">
        <v>591</v>
      </c>
      <c r="AL759" s="1372"/>
      <c r="AM759" s="1372"/>
      <c r="AN759" s="1372"/>
      <c r="AO759" s="1373"/>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2">
        <f t="shared" si="40"/>
        <v>0</v>
      </c>
      <c r="CH759" s="1543"/>
      <c r="CI759" s="1544">
        <f t="shared" si="41"/>
        <v>0</v>
      </c>
      <c r="CJ759" s="1545"/>
      <c r="CK759" s="1542">
        <f t="shared" si="18"/>
        <v>0</v>
      </c>
      <c r="CL759" s="1543"/>
      <c r="CM759" s="1544">
        <f t="shared" si="19"/>
        <v>0</v>
      </c>
      <c r="CN759" s="1545"/>
      <c r="CP759" s="1546">
        <f t="shared" si="20"/>
        <v>0</v>
      </c>
      <c r="CQ759" s="1547"/>
      <c r="CR759" s="1547"/>
      <c r="CS759" s="1547"/>
      <c r="CT759" s="1548"/>
      <c r="CU759" s="1540">
        <f t="shared" si="21"/>
        <v>0</v>
      </c>
      <c r="CV759" s="1540"/>
      <c r="CW759" s="1540"/>
      <c r="CX759" s="1540"/>
      <c r="CY759" s="1540"/>
      <c r="CZ759" s="1540">
        <f t="shared" si="22"/>
        <v>0</v>
      </c>
      <c r="DA759" s="1540"/>
      <c r="DB759" s="1540"/>
      <c r="DC759" s="1540"/>
      <c r="DD759" s="1540"/>
      <c r="DE759" s="1540">
        <f t="shared" si="23"/>
        <v>0</v>
      </c>
      <c r="DF759" s="1540"/>
      <c r="DG759" s="1540"/>
      <c r="DH759" s="1540"/>
      <c r="DI759" s="1540"/>
      <c r="DJ759" s="1540">
        <f t="shared" si="24"/>
        <v>0</v>
      </c>
      <c r="DK759" s="1540"/>
      <c r="DL759" s="1540"/>
      <c r="DM759" s="1540"/>
      <c r="DN759" s="1540"/>
      <c r="DO759" s="1540">
        <f t="shared" si="25"/>
        <v>0</v>
      </c>
      <c r="DP759" s="1540"/>
      <c r="DQ759" s="1540"/>
      <c r="DR759" s="1540"/>
      <c r="DS759" s="1540"/>
      <c r="DT759" s="6"/>
      <c r="DU759" s="1538">
        <f t="shared" si="26"/>
        <v>0</v>
      </c>
      <c r="DV759" s="1538"/>
      <c r="DW759" s="1538"/>
      <c r="DX759" s="1538"/>
      <c r="DY759" s="1538"/>
      <c r="DZ759" s="1538">
        <f t="shared" si="27"/>
        <v>0</v>
      </c>
      <c r="EA759" s="1538"/>
      <c r="EB759" s="1538"/>
      <c r="EC759" s="1538"/>
      <c r="ED759" s="1538"/>
      <c r="EE759" s="1538">
        <f t="shared" si="28"/>
        <v>0</v>
      </c>
      <c r="EF759" s="1538"/>
      <c r="EG759" s="1538"/>
      <c r="EH759" s="1538"/>
      <c r="EI759" s="1538"/>
      <c r="EJ759" s="1538">
        <f t="shared" si="29"/>
        <v>0</v>
      </c>
      <c r="EK759" s="1538"/>
      <c r="EL759" s="1538"/>
      <c r="EM759" s="1538"/>
      <c r="EN759" s="1538"/>
      <c r="EO759" s="1538">
        <f t="shared" si="30"/>
        <v>0</v>
      </c>
      <c r="EP759" s="1538"/>
      <c r="EQ759" s="1538"/>
      <c r="ER759" s="1538"/>
      <c r="ES759" s="1538"/>
      <c r="ET759" s="1538">
        <f t="shared" si="31"/>
        <v>0</v>
      </c>
      <c r="EU759" s="1538"/>
      <c r="EV759" s="1538"/>
      <c r="EW759" s="1538"/>
      <c r="EX759" s="1538"/>
      <c r="EY759"/>
      <c r="EZ759" s="1542" t="str">
        <f t="shared" si="32"/>
        <v/>
      </c>
      <c r="FA759" s="1549"/>
      <c r="FB759" s="1549"/>
      <c r="FC759" s="1549"/>
      <c r="FD759" s="1543"/>
      <c r="FE759" s="1542" t="str">
        <f t="shared" si="33"/>
        <v/>
      </c>
      <c r="FF759" s="1549"/>
      <c r="FG759" s="1549"/>
      <c r="FH759" s="1549"/>
      <c r="FI759" s="1543"/>
      <c r="FJ759" s="1542" t="str">
        <f t="shared" si="34"/>
        <v/>
      </c>
      <c r="FK759" s="1549"/>
      <c r="FL759" s="1549"/>
      <c r="FM759" s="1549"/>
      <c r="FN759" s="1543"/>
      <c r="FO759" s="1542" t="str">
        <f t="shared" si="35"/>
        <v/>
      </c>
      <c r="FP759" s="1549"/>
      <c r="FQ759" s="1549"/>
      <c r="FR759" s="1549"/>
      <c r="FS759" s="1543"/>
      <c r="FT759" s="1542" t="str">
        <f t="shared" si="36"/>
        <v/>
      </c>
      <c r="FU759" s="1549"/>
      <c r="FV759" s="1549"/>
      <c r="FW759" s="1549"/>
      <c r="FX759" s="1543"/>
      <c r="FY759" s="1542" t="str">
        <f t="shared" si="37"/>
        <v/>
      </c>
      <c r="FZ759" s="1549"/>
      <c r="GA759" s="1549"/>
      <c r="GB759" s="1549"/>
      <c r="GC759" s="1543"/>
    </row>
    <row r="760" spans="1:185" s="3" customFormat="1" ht="12.95" customHeight="1">
      <c r="A760"/>
      <c r="B760" s="1371"/>
      <c r="C760" s="1372"/>
      <c r="D760" s="1372"/>
      <c r="E760" s="1372"/>
      <c r="F760" s="1373"/>
      <c r="G760" s="1365"/>
      <c r="H760" s="1366"/>
      <c r="I760" s="1366"/>
      <c r="J760" s="1367"/>
      <c r="K760" s="1368"/>
      <c r="L760" s="1369"/>
      <c r="M760" s="1369"/>
      <c r="N760" s="1370"/>
      <c r="O760" s="1418"/>
      <c r="P760" s="1419"/>
      <c r="Q760" s="1419"/>
      <c r="R760" s="1419"/>
      <c r="S760" s="1420"/>
      <c r="T760" s="1418"/>
      <c r="U760" s="1419"/>
      <c r="V760" s="1419"/>
      <c r="W760" s="1420"/>
      <c r="X760" s="1421">
        <f>O760+T760</f>
        <v>0</v>
      </c>
      <c r="Y760" s="1417"/>
      <c r="Z760" s="1417"/>
      <c r="AA760" s="1417"/>
      <c r="AB760" s="1422"/>
      <c r="AC760" s="1423"/>
      <c r="AD760" s="1424"/>
      <c r="AE760" s="1424"/>
      <c r="AF760" s="1424"/>
      <c r="AG760" s="1425"/>
      <c r="AH760" s="1441" t="str">
        <f t="shared" si="39"/>
        <v/>
      </c>
      <c r="AI760" s="1442"/>
      <c r="AJ760" s="1443"/>
      <c r="AK760" s="1371" t="s">
        <v>591</v>
      </c>
      <c r="AL760" s="1372"/>
      <c r="AM760" s="1372"/>
      <c r="AN760" s="1372"/>
      <c r="AO760" s="1373"/>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2">
        <f t="shared" si="40"/>
        <v>0</v>
      </c>
      <c r="CH760" s="1543"/>
      <c r="CI760" s="1544">
        <f t="shared" si="41"/>
        <v>0</v>
      </c>
      <c r="CJ760" s="1545"/>
      <c r="CK760" s="1542">
        <f t="shared" si="18"/>
        <v>0</v>
      </c>
      <c r="CL760" s="1543"/>
      <c r="CM760" s="1544">
        <f t="shared" si="19"/>
        <v>0</v>
      </c>
      <c r="CN760" s="1545"/>
      <c r="CP760" s="1546">
        <f t="shared" si="20"/>
        <v>0</v>
      </c>
      <c r="CQ760" s="1547"/>
      <c r="CR760" s="1547"/>
      <c r="CS760" s="1547"/>
      <c r="CT760" s="1548"/>
      <c r="CU760" s="1540">
        <f t="shared" si="21"/>
        <v>0</v>
      </c>
      <c r="CV760" s="1540"/>
      <c r="CW760" s="1540"/>
      <c r="CX760" s="1540"/>
      <c r="CY760" s="1540"/>
      <c r="CZ760" s="1540">
        <f t="shared" si="22"/>
        <v>0</v>
      </c>
      <c r="DA760" s="1540"/>
      <c r="DB760" s="1540"/>
      <c r="DC760" s="1540"/>
      <c r="DD760" s="1540"/>
      <c r="DE760" s="1540">
        <f t="shared" si="23"/>
        <v>0</v>
      </c>
      <c r="DF760" s="1540"/>
      <c r="DG760" s="1540"/>
      <c r="DH760" s="1540"/>
      <c r="DI760" s="1540"/>
      <c r="DJ760" s="1540">
        <f t="shared" si="24"/>
        <v>0</v>
      </c>
      <c r="DK760" s="1540"/>
      <c r="DL760" s="1540"/>
      <c r="DM760" s="1540"/>
      <c r="DN760" s="1540"/>
      <c r="DO760" s="1540">
        <f t="shared" si="25"/>
        <v>0</v>
      </c>
      <c r="DP760" s="1540"/>
      <c r="DQ760" s="1540"/>
      <c r="DR760" s="1540"/>
      <c r="DS760" s="1540"/>
      <c r="DT760" s="6"/>
      <c r="DU760" s="1538">
        <f t="shared" si="26"/>
        <v>0</v>
      </c>
      <c r="DV760" s="1538"/>
      <c r="DW760" s="1538"/>
      <c r="DX760" s="1538"/>
      <c r="DY760" s="1538"/>
      <c r="DZ760" s="1538">
        <f t="shared" si="27"/>
        <v>0</v>
      </c>
      <c r="EA760" s="1538"/>
      <c r="EB760" s="1538"/>
      <c r="EC760" s="1538"/>
      <c r="ED760" s="1538"/>
      <c r="EE760" s="1538">
        <f t="shared" si="28"/>
        <v>0</v>
      </c>
      <c r="EF760" s="1538"/>
      <c r="EG760" s="1538"/>
      <c r="EH760" s="1538"/>
      <c r="EI760" s="1538"/>
      <c r="EJ760" s="1538">
        <f t="shared" si="29"/>
        <v>0</v>
      </c>
      <c r="EK760" s="1538"/>
      <c r="EL760" s="1538"/>
      <c r="EM760" s="1538"/>
      <c r="EN760" s="1538"/>
      <c r="EO760" s="1538">
        <f t="shared" si="30"/>
        <v>0</v>
      </c>
      <c r="EP760" s="1538"/>
      <c r="EQ760" s="1538"/>
      <c r="ER760" s="1538"/>
      <c r="ES760" s="1538"/>
      <c r="ET760" s="1538">
        <f t="shared" si="31"/>
        <v>0</v>
      </c>
      <c r="EU760" s="1538"/>
      <c r="EV760" s="1538"/>
      <c r="EW760" s="1538"/>
      <c r="EX760" s="1538"/>
      <c r="EY760"/>
      <c r="EZ760" s="1542" t="str">
        <f t="shared" si="32"/>
        <v/>
      </c>
      <c r="FA760" s="1549"/>
      <c r="FB760" s="1549"/>
      <c r="FC760" s="1549"/>
      <c r="FD760" s="1543"/>
      <c r="FE760" s="1542" t="str">
        <f t="shared" si="33"/>
        <v/>
      </c>
      <c r="FF760" s="1549"/>
      <c r="FG760" s="1549"/>
      <c r="FH760" s="1549"/>
      <c r="FI760" s="1543"/>
      <c r="FJ760" s="1542" t="str">
        <f t="shared" si="34"/>
        <v/>
      </c>
      <c r="FK760" s="1549"/>
      <c r="FL760" s="1549"/>
      <c r="FM760" s="1549"/>
      <c r="FN760" s="1543"/>
      <c r="FO760" s="1542" t="str">
        <f t="shared" si="35"/>
        <v/>
      </c>
      <c r="FP760" s="1549"/>
      <c r="FQ760" s="1549"/>
      <c r="FR760" s="1549"/>
      <c r="FS760" s="1543"/>
      <c r="FT760" s="1542" t="str">
        <f t="shared" si="36"/>
        <v/>
      </c>
      <c r="FU760" s="1549"/>
      <c r="FV760" s="1549"/>
      <c r="FW760" s="1549"/>
      <c r="FX760" s="1543"/>
      <c r="FY760" s="1542" t="str">
        <f t="shared" si="37"/>
        <v/>
      </c>
      <c r="FZ760" s="1549"/>
      <c r="GA760" s="1549"/>
      <c r="GB760" s="1549"/>
      <c r="GC760" s="1543"/>
    </row>
    <row r="761" spans="1:185" s="3" customFormat="1" ht="12.95" customHeight="1">
      <c r="A761"/>
      <c r="B761" s="1677" t="s">
        <v>125</v>
      </c>
      <c r="C761" s="1678"/>
      <c r="D761" s="1678"/>
      <c r="E761" s="1678"/>
      <c r="F761" s="1679"/>
      <c r="G761" s="1667">
        <f>SUM(G726:G760)</f>
        <v>344</v>
      </c>
      <c r="H761" s="1668"/>
      <c r="I761" s="1668"/>
      <c r="J761" s="1669"/>
      <c r="K761" s="898" t="s">
        <v>124</v>
      </c>
      <c r="L761" s="5"/>
      <c r="M761" s="5"/>
      <c r="N761" s="46"/>
      <c r="O761" s="1421">
        <f>SUMPRODUCT(G726:G760,O726:O760)</f>
        <v>452949.07</v>
      </c>
      <c r="P761" s="1417"/>
      <c r="Q761" s="1417"/>
      <c r="R761" s="1417"/>
      <c r="S761" s="1422"/>
      <c r="T761"/>
      <c r="U761"/>
      <c r="V761"/>
      <c r="W761"/>
      <c r="X761" s="900" t="s">
        <v>900</v>
      </c>
      <c r="Y761" s="899"/>
      <c r="Z761" s="899"/>
      <c r="AA761" s="899"/>
      <c r="AB761" s="901"/>
      <c r="AC761" s="1636">
        <f>BH761</f>
        <v>0.49970930232558136</v>
      </c>
      <c r="AD761" s="1637"/>
      <c r="AE761" s="1637"/>
      <c r="AF761" s="1637"/>
      <c r="AG761" s="1638"/>
      <c r="AH761" s="1636">
        <f>IFERROR(BU761,"")</f>
        <v>0.49327922736703073</v>
      </c>
      <c r="AI761" s="1637"/>
      <c r="AJ761" s="1638"/>
      <c r="AK761"/>
      <c r="AL761"/>
      <c r="AM761"/>
      <c r="AN761"/>
      <c r="AO761"/>
      <c r="AP761" s="205"/>
      <c r="AQ761" s="205"/>
      <c r="AR761" s="205"/>
      <c r="AS761" s="205"/>
      <c r="AT761"/>
      <c r="AU761"/>
      <c r="AV761"/>
      <c r="AW761"/>
      <c r="AX761"/>
      <c r="AY761"/>
      <c r="AZ761" s="34"/>
      <c r="BA761" s="34"/>
      <c r="BB761" s="34"/>
      <c r="BC761" s="34"/>
      <c r="BE761" s="290" t="s">
        <v>899</v>
      </c>
      <c r="BF761" s="299">
        <f>SUM(BF726:BF760)</f>
        <v>344</v>
      </c>
      <c r="BG761" s="300">
        <f>SUM(BG726:BG760)</f>
        <v>1</v>
      </c>
      <c r="BH761" s="300">
        <f>SUM(BH726:BH760)</f>
        <v>0.49970930232558136</v>
      </c>
      <c r="BI761"/>
      <c r="BJ761"/>
      <c r="BK761"/>
      <c r="BL761"/>
      <c r="BO761"/>
      <c r="BP761"/>
      <c r="BQ761"/>
      <c r="BR761"/>
      <c r="BS761" s="855">
        <f>SUM(BS726:BS760)</f>
        <v>344</v>
      </c>
      <c r="BT761" s="300">
        <f>SUM(BT726:BT760)</f>
        <v>1</v>
      </c>
      <c r="BU761" s="300">
        <f>SUM(BU726:BU760)</f>
        <v>0.49327922736703073</v>
      </c>
      <c r="CI761" s="1542">
        <f>SUM(CI726:CJ760)</f>
        <v>84</v>
      </c>
      <c r="CJ761" s="1543"/>
      <c r="CM761" s="1542">
        <f>SUM(CM726:CN760)</f>
        <v>87</v>
      </c>
      <c r="CN761" s="1543"/>
      <c r="CP761" s="1542">
        <f>SUM(CP726:CT760)</f>
        <v>0</v>
      </c>
      <c r="CQ761" s="1549"/>
      <c r="CR761" s="1549"/>
      <c r="CS761" s="1549"/>
      <c r="CT761" s="1543"/>
      <c r="CU761" s="1550">
        <f>SUM(CU726:CY760)</f>
        <v>130</v>
      </c>
      <c r="CV761" s="1550"/>
      <c r="CW761" s="1550"/>
      <c r="CX761" s="1550"/>
      <c r="CY761" s="1550"/>
      <c r="CZ761" s="1550">
        <f>SUM(CZ726:DD760)</f>
        <v>117</v>
      </c>
      <c r="DA761" s="1550"/>
      <c r="DB761" s="1550"/>
      <c r="DC761" s="1550"/>
      <c r="DD761" s="1550"/>
      <c r="DE761" s="1550">
        <f>SUM(DE726:DI760)</f>
        <v>97</v>
      </c>
      <c r="DF761" s="1550"/>
      <c r="DG761" s="1550"/>
      <c r="DH761" s="1550"/>
      <c r="DI761" s="1550"/>
      <c r="DJ761" s="1550">
        <f>SUM(DJ726:DN760)</f>
        <v>0</v>
      </c>
      <c r="DK761" s="1550"/>
      <c r="DL761" s="1550"/>
      <c r="DM761" s="1550"/>
      <c r="DN761" s="1550"/>
      <c r="DO761" s="1550">
        <f>SUM(DO726:DS760)</f>
        <v>0</v>
      </c>
      <c r="DP761" s="1550"/>
      <c r="DQ761" s="1550"/>
      <c r="DR761" s="1550"/>
      <c r="DS761" s="1550"/>
      <c r="DT761" s="354"/>
      <c r="DU761" s="1550">
        <f>SUM(DU726:DY760)</f>
        <v>0</v>
      </c>
      <c r="DV761" s="1550"/>
      <c r="DW761" s="1550"/>
      <c r="DX761" s="1550"/>
      <c r="DY761" s="1550"/>
      <c r="DZ761" s="1550">
        <f>SUM(DZ726:ED760)</f>
        <v>32</v>
      </c>
      <c r="EA761" s="1550"/>
      <c r="EB761" s="1550"/>
      <c r="EC761" s="1550"/>
      <c r="ED761" s="1550"/>
      <c r="EE761" s="1550">
        <f>SUM(EE726:EI760)</f>
        <v>45</v>
      </c>
      <c r="EF761" s="1550"/>
      <c r="EG761" s="1550"/>
      <c r="EH761" s="1550"/>
      <c r="EI761" s="1550"/>
      <c r="EJ761" s="1550">
        <f>SUM(EJ726:EN760)</f>
        <v>10</v>
      </c>
      <c r="EK761" s="1550"/>
      <c r="EL761" s="1550"/>
      <c r="EM761" s="1550"/>
      <c r="EN761" s="1550"/>
      <c r="EO761" s="1550">
        <f>SUM(EO726:ES760)</f>
        <v>0</v>
      </c>
      <c r="EP761" s="1550"/>
      <c r="EQ761" s="1550"/>
      <c r="ER761" s="1550"/>
      <c r="ES761" s="1550"/>
      <c r="ET761" s="1550">
        <f>SUM(ET726:EX760)</f>
        <v>0</v>
      </c>
      <c r="EU761" s="1550"/>
      <c r="EV761" s="1550"/>
      <c r="EW761" s="1550"/>
      <c r="EX761" s="1550"/>
      <c r="EY761"/>
      <c r="EZ761" s="1550">
        <f>SUM(EZ726:FD760)</f>
        <v>0</v>
      </c>
      <c r="FA761" s="1550"/>
      <c r="FB761" s="1550"/>
      <c r="FC761" s="1550"/>
      <c r="FD761" s="1550"/>
      <c r="FE761" s="1550">
        <f>SUM(FE726:FI760)</f>
        <v>3105.25</v>
      </c>
      <c r="FF761" s="1550"/>
      <c r="FG761" s="1550"/>
      <c r="FH761" s="1550"/>
      <c r="FI761" s="1550"/>
      <c r="FJ761" s="1550">
        <f>SUM(FJ726:FN760)</f>
        <v>3779.62</v>
      </c>
      <c r="FK761" s="1550"/>
      <c r="FL761" s="1550"/>
      <c r="FM761" s="1550"/>
      <c r="FN761" s="1550"/>
      <c r="FO761" s="1550">
        <f>SUM(FO726:FS760)</f>
        <v>4392.75</v>
      </c>
      <c r="FP761" s="1550"/>
      <c r="FQ761" s="1550"/>
      <c r="FR761" s="1550"/>
      <c r="FS761" s="1550"/>
      <c r="FT761" s="1550">
        <f>SUM(FT726:FX760)</f>
        <v>0</v>
      </c>
      <c r="FU761" s="1550"/>
      <c r="FV761" s="1550"/>
      <c r="FW761" s="1550"/>
      <c r="FX761" s="1550"/>
      <c r="FY761" s="1550">
        <f>SUM(FY726:GC760)</f>
        <v>0</v>
      </c>
      <c r="FZ761" s="1550"/>
      <c r="GA761" s="1550"/>
      <c r="GB761" s="1550"/>
      <c r="GC761" s="1550"/>
    </row>
    <row r="762" spans="1:185" s="3" customFormat="1" ht="12.95" customHeight="1">
      <c r="A762"/>
      <c r="B762" s="1742" t="s">
        <v>1867</v>
      </c>
      <c r="C762" s="1742"/>
      <c r="D762" s="1742"/>
      <c r="E762" s="1742"/>
      <c r="F762" s="1742"/>
      <c r="G762" s="1742"/>
      <c r="H762" s="1742"/>
      <c r="I762" s="1742"/>
      <c r="J762" s="1742"/>
      <c r="K762" s="1742"/>
      <c r="L762" s="1742"/>
      <c r="M762" s="1742"/>
      <c r="N762" s="1742"/>
      <c r="O762" s="1742"/>
      <c r="P762" s="1742"/>
      <c r="Q762" s="1742"/>
      <c r="R762" s="1742"/>
      <c r="S762" s="1742"/>
      <c r="T762" s="1742"/>
      <c r="U762" s="1742"/>
      <c r="V762" s="1742"/>
      <c r="W762" s="1742"/>
      <c r="X762" s="1742"/>
      <c r="Y762" s="1742"/>
      <c r="Z762" s="1742"/>
      <c r="AA762" s="1742"/>
      <c r="AB762" s="1742"/>
      <c r="AC762" s="1742"/>
      <c r="AD762" s="1742"/>
      <c r="AE762" s="1742"/>
      <c r="AF762" s="1742"/>
      <c r="AG762" s="1742"/>
      <c r="AH762" s="1742"/>
      <c r="AI762"/>
      <c r="AJ762"/>
      <c r="AK762"/>
      <c r="AT762"/>
      <c r="AU762"/>
      <c r="AV762"/>
      <c r="AW762"/>
      <c r="AX762"/>
      <c r="AY762"/>
      <c r="CD762"/>
      <c r="DN762" s="56" t="s">
        <v>1835</v>
      </c>
      <c r="DO762" s="1542">
        <f>CP761+CU761+CZ761+DE761+DJ761+DO761</f>
        <v>344</v>
      </c>
      <c r="DP762" s="1549"/>
      <c r="DQ762" s="1549"/>
      <c r="DR762" s="1549"/>
      <c r="DS762" s="1543"/>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2"/>
      <c r="C763" s="1742"/>
      <c r="D763" s="1742"/>
      <c r="E763" s="1742"/>
      <c r="F763" s="1742"/>
      <c r="G763" s="1742"/>
      <c r="H763" s="1742"/>
      <c r="I763" s="1742"/>
      <c r="J763" s="1742"/>
      <c r="K763" s="1742"/>
      <c r="L763" s="1742"/>
      <c r="M763" s="1742"/>
      <c r="N763" s="1742"/>
      <c r="O763" s="1742"/>
      <c r="P763" s="1742"/>
      <c r="Q763" s="1742"/>
      <c r="R763" s="1742"/>
      <c r="S763" s="1742"/>
      <c r="T763" s="1742"/>
      <c r="U763" s="1742"/>
      <c r="V763" s="1742"/>
      <c r="W763" s="1742"/>
      <c r="X763" s="1742"/>
      <c r="Y763" s="1742"/>
      <c r="Z763" s="1742"/>
      <c r="AA763" s="1742"/>
      <c r="AB763" s="1742"/>
      <c r="AC763" s="1742"/>
      <c r="AD763" s="1742"/>
      <c r="AE763" s="1742"/>
      <c r="AF763" s="1742"/>
      <c r="AG763" s="1742"/>
      <c r="AH763" s="174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130</v>
      </c>
      <c r="CZ763" s="3"/>
      <c r="DA763" s="3"/>
      <c r="DB763" s="3"/>
      <c r="DC763" s="3"/>
      <c r="DD763" s="857">
        <f>CZ761*2</f>
        <v>234</v>
      </c>
      <c r="DE763" s="3"/>
      <c r="DF763" s="3"/>
      <c r="DG763" s="3"/>
      <c r="DH763" s="3"/>
      <c r="DI763" s="857">
        <f>DE761*3</f>
        <v>291</v>
      </c>
      <c r="DJ763" s="3"/>
      <c r="DK763" s="3"/>
      <c r="DL763" s="3"/>
      <c r="DM763" s="3"/>
      <c r="DN763" s="857">
        <f>DJ761*4</f>
        <v>0</v>
      </c>
      <c r="DO763" s="3"/>
      <c r="DP763" s="3"/>
      <c r="DQ763" s="3"/>
      <c r="DR763" s="3"/>
      <c r="DS763" s="857">
        <f>DO761*5</f>
        <v>0</v>
      </c>
      <c r="DU763" s="857">
        <f>CT763+CY763+DD763+DI763+DN763+DS763</f>
        <v>655</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550">
        <f>DU763</f>
        <v>655</v>
      </c>
      <c r="P764" s="1550"/>
      <c r="Q764" s="1550"/>
      <c r="R764" s="1550"/>
      <c r="S764" s="965"/>
      <c r="T764" s="965"/>
      <c r="U764" s="118" t="s">
        <v>1866</v>
      </c>
      <c r="V764" s="1027"/>
      <c r="W764" s="1027"/>
      <c r="X764" s="1027"/>
      <c r="Y764" s="1028"/>
      <c r="Z764" s="1028"/>
      <c r="AA764" s="1028"/>
      <c r="AB764" s="1028"/>
      <c r="AC764" s="1027"/>
      <c r="AD764" s="1027"/>
      <c r="AE764" s="1027"/>
      <c r="AF764" s="1027"/>
      <c r="AG764" s="1474">
        <v>0</v>
      </c>
      <c r="AH764" s="1474"/>
      <c r="AI764" s="1474"/>
      <c r="AJ764" s="147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64" t="str">
        <f>IF(G761&lt;&gt;AG449,"! Total Low-Income Units in the Unit Mix Table above does not match the number of Total Low-Income Units on row #"&amp;TEXT(ROW(D449),"#"),"")</f>
        <v/>
      </c>
      <c r="D765" s="1364"/>
      <c r="E765" s="1364"/>
      <c r="F765" s="1364"/>
      <c r="G765" s="1364"/>
      <c r="H765" s="1364"/>
      <c r="I765" s="1364"/>
      <c r="J765" s="1364"/>
      <c r="K765" s="1364"/>
      <c r="L765" s="1364"/>
      <c r="M765" s="1364"/>
      <c r="N765" s="1364"/>
      <c r="O765" s="1364"/>
      <c r="P765" s="1364"/>
      <c r="Q765" s="1364"/>
      <c r="R765" s="1364"/>
      <c r="S765" s="1364"/>
      <c r="T765" s="1364"/>
      <c r="U765" s="1364"/>
      <c r="V765" s="1364"/>
      <c r="W765" s="1364"/>
      <c r="X765" s="1364"/>
      <c r="Y765" s="1364"/>
      <c r="Z765" s="1364"/>
      <c r="AA765" s="1364"/>
      <c r="AB765" s="1364"/>
      <c r="AC765" s="1364"/>
      <c r="AD765" s="1364"/>
      <c r="AE765" s="1364"/>
      <c r="AF765" s="1364"/>
      <c r="AG765" s="1364"/>
      <c r="AH765" s="1364"/>
      <c r="AI765" s="1364"/>
      <c r="AJ765" s="1364"/>
      <c r="AK765" s="1364"/>
      <c r="AL765" s="1364"/>
      <c r="AM765" s="136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64"/>
      <c r="D766" s="1364"/>
      <c r="E766" s="1364"/>
      <c r="F766" s="1364"/>
      <c r="G766" s="1364"/>
      <c r="H766" s="1364"/>
      <c r="I766" s="1364"/>
      <c r="J766" s="1364"/>
      <c r="K766" s="1364"/>
      <c r="L766" s="1364"/>
      <c r="M766" s="1364"/>
      <c r="N766" s="1364"/>
      <c r="O766" s="1364"/>
      <c r="P766" s="1364"/>
      <c r="Q766" s="1364"/>
      <c r="R766" s="1364"/>
      <c r="S766" s="1364"/>
      <c r="T766" s="1364"/>
      <c r="U766" s="1364"/>
      <c r="V766" s="1364"/>
      <c r="W766" s="1364"/>
      <c r="X766" s="1364"/>
      <c r="Y766" s="1364"/>
      <c r="Z766" s="1364"/>
      <c r="AA766" s="1364"/>
      <c r="AB766" s="1364"/>
      <c r="AC766" s="1364"/>
      <c r="AD766" s="1364"/>
      <c r="AE766" s="1364"/>
      <c r="AF766" s="1364"/>
      <c r="AG766" s="1364"/>
      <c r="AH766" s="1364"/>
      <c r="AI766" s="1364"/>
      <c r="AJ766" s="1364"/>
      <c r="AK766" s="1364"/>
      <c r="AL766" s="1364"/>
      <c r="AM766" s="136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53" t="s">
        <v>591</v>
      </c>
      <c r="AE767" s="1653"/>
      <c r="AF767" s="1653"/>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5" t="s">
        <v>2046</v>
      </c>
      <c r="D771" s="1275"/>
      <c r="E771" s="1275"/>
      <c r="F771" s="1275"/>
      <c r="G771" s="1275"/>
      <c r="H771" s="1275"/>
      <c r="I771" s="1275"/>
      <c r="J771" s="1275"/>
      <c r="K771" s="1275"/>
      <c r="L771" s="1275"/>
      <c r="M771" s="1275"/>
      <c r="N771" s="1275"/>
      <c r="O771" s="1275"/>
      <c r="P771" s="1275"/>
      <c r="Q771" s="1275"/>
      <c r="R771" s="1275"/>
      <c r="S771" s="1275"/>
      <c r="T771" s="1275"/>
      <c r="U771" s="1275"/>
      <c r="V771" s="1275"/>
      <c r="W771" s="1275"/>
      <c r="X771" s="1275"/>
      <c r="Y771" s="1275"/>
      <c r="Z771" s="1275"/>
      <c r="AA771" s="1275"/>
      <c r="AB771" s="1275"/>
      <c r="AC771" s="1275"/>
      <c r="AD771" s="1275"/>
      <c r="AE771" s="1275"/>
      <c r="AF771" s="1275"/>
      <c r="AG771" s="1275"/>
      <c r="AH771" s="1275"/>
      <c r="AI771" s="1275"/>
      <c r="AJ771" s="1275"/>
      <c r="AK771" s="1275"/>
      <c r="AL771" s="1275"/>
      <c r="AM771" s="1275"/>
      <c r="AN771" s="1275"/>
      <c r="AO771" s="1275"/>
      <c r="AP771" s="1275"/>
      <c r="AQ771" s="1275"/>
      <c r="AR771" s="127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5"/>
      <c r="D772" s="1275"/>
      <c r="E772" s="1275"/>
      <c r="F772" s="1275"/>
      <c r="G772" s="1275"/>
      <c r="H772" s="1275"/>
      <c r="I772" s="1275"/>
      <c r="J772" s="1275"/>
      <c r="K772" s="1275"/>
      <c r="L772" s="1275"/>
      <c r="M772" s="1275"/>
      <c r="N772" s="1275"/>
      <c r="O772" s="1275"/>
      <c r="P772" s="1275"/>
      <c r="Q772" s="1275"/>
      <c r="R772" s="1275"/>
      <c r="S772" s="1275"/>
      <c r="T772" s="1275"/>
      <c r="U772" s="1275"/>
      <c r="V772" s="1275"/>
      <c r="W772" s="1275"/>
      <c r="X772" s="1275"/>
      <c r="Y772" s="1275"/>
      <c r="Z772" s="1275"/>
      <c r="AA772" s="1275"/>
      <c r="AB772" s="1275"/>
      <c r="AC772" s="1275"/>
      <c r="AD772" s="1275"/>
      <c r="AE772" s="1275"/>
      <c r="AF772" s="1275"/>
      <c r="AG772" s="1275"/>
      <c r="AH772" s="1275"/>
      <c r="AI772" s="1275"/>
      <c r="AJ772" s="1275"/>
      <c r="AK772" s="1275"/>
      <c r="AL772" s="1275"/>
      <c r="AM772" s="1275"/>
      <c r="AN772" s="1275"/>
      <c r="AO772" s="1275"/>
      <c r="AP772" s="1275"/>
      <c r="AQ772" s="1275"/>
      <c r="AR772" s="127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5"/>
      <c r="D773" s="1275"/>
      <c r="E773" s="1275"/>
      <c r="F773" s="1275"/>
      <c r="G773" s="1275"/>
      <c r="H773" s="1275"/>
      <c r="I773" s="1275"/>
      <c r="J773" s="1275"/>
      <c r="K773" s="1275"/>
      <c r="L773" s="1275"/>
      <c r="M773" s="1275"/>
      <c r="N773" s="1275"/>
      <c r="O773" s="1275"/>
      <c r="P773" s="1275"/>
      <c r="Q773" s="1275"/>
      <c r="R773" s="1275"/>
      <c r="S773" s="1275"/>
      <c r="T773" s="1275"/>
      <c r="U773" s="1275"/>
      <c r="V773" s="1275"/>
      <c r="W773" s="1275"/>
      <c r="X773" s="1275"/>
      <c r="Y773" s="1275"/>
      <c r="Z773" s="1275"/>
      <c r="AA773" s="1275"/>
      <c r="AB773" s="1275"/>
      <c r="AC773" s="1275"/>
      <c r="AD773" s="1275"/>
      <c r="AE773" s="1275"/>
      <c r="AF773" s="1275"/>
      <c r="AG773" s="1275"/>
      <c r="AH773" s="1275"/>
      <c r="AI773" s="1275"/>
      <c r="AJ773" s="1275"/>
      <c r="AK773" s="1275"/>
      <c r="AL773" s="1275"/>
      <c r="AM773" s="1275"/>
      <c r="AN773" s="1275"/>
      <c r="AO773" s="1275"/>
      <c r="AP773" s="1275"/>
      <c r="AQ773" s="1275"/>
      <c r="AR773" s="127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5" t="s">
        <v>2047</v>
      </c>
      <c r="D774" s="1275"/>
      <c r="E774" s="1275"/>
      <c r="F774" s="1275"/>
      <c r="G774" s="1275"/>
      <c r="H774" s="1275"/>
      <c r="I774" s="1275"/>
      <c r="J774" s="1275"/>
      <c r="K774" s="1275"/>
      <c r="L774" s="1275"/>
      <c r="M774" s="1275"/>
      <c r="N774" s="1275"/>
      <c r="O774" s="1275"/>
      <c r="P774" s="1275"/>
      <c r="Q774" s="1275"/>
      <c r="R774" s="1275"/>
      <c r="S774" s="1275"/>
      <c r="T774" s="1275"/>
      <c r="U774" s="1275"/>
      <c r="V774" s="1275"/>
      <c r="W774" s="1275"/>
      <c r="X774" s="1275"/>
      <c r="Y774" s="1275"/>
      <c r="Z774" s="1275"/>
      <c r="AA774" s="1275"/>
      <c r="AB774" s="1275"/>
      <c r="AC774" s="1275"/>
      <c r="AD774" s="1275"/>
      <c r="AE774" s="1275"/>
      <c r="AF774" s="1275"/>
      <c r="AG774" s="1275"/>
      <c r="AH774" s="1275"/>
      <c r="AI774" s="1275"/>
      <c r="AJ774" s="1275"/>
      <c r="AK774" s="1275"/>
      <c r="AL774" s="1275"/>
      <c r="AM774" s="1275"/>
      <c r="AN774" s="1275"/>
      <c r="AO774" s="1275"/>
      <c r="AP774" s="1275"/>
      <c r="AQ774" s="1275"/>
      <c r="AR774" s="127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5"/>
      <c r="D775" s="1275"/>
      <c r="E775" s="1275"/>
      <c r="F775" s="1275"/>
      <c r="G775" s="1275"/>
      <c r="H775" s="1275"/>
      <c r="I775" s="1275"/>
      <c r="J775" s="1275"/>
      <c r="K775" s="1275"/>
      <c r="L775" s="1275"/>
      <c r="M775" s="1275"/>
      <c r="N775" s="1275"/>
      <c r="O775" s="1275"/>
      <c r="P775" s="1275"/>
      <c r="Q775" s="1275"/>
      <c r="R775" s="1275"/>
      <c r="S775" s="1275"/>
      <c r="T775" s="1275"/>
      <c r="U775" s="1275"/>
      <c r="V775" s="1275"/>
      <c r="W775" s="1275"/>
      <c r="X775" s="1275"/>
      <c r="Y775" s="1275"/>
      <c r="Z775" s="1275"/>
      <c r="AA775" s="1275"/>
      <c r="AB775" s="1275"/>
      <c r="AC775" s="1275"/>
      <c r="AD775" s="1275"/>
      <c r="AE775" s="1275"/>
      <c r="AF775" s="1275"/>
      <c r="AG775" s="1275"/>
      <c r="AH775" s="1275"/>
      <c r="AI775" s="1275"/>
      <c r="AJ775" s="1275"/>
      <c r="AK775" s="1275"/>
      <c r="AL775" s="1275"/>
      <c r="AM775" s="1275"/>
      <c r="AN775" s="1275"/>
      <c r="AO775" s="1275"/>
      <c r="AP775" s="1275"/>
      <c r="AQ775" s="1275"/>
      <c r="AR775" s="127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5"/>
      <c r="D776" s="1275"/>
      <c r="E776" s="1275"/>
      <c r="F776" s="1275"/>
      <c r="G776" s="1275"/>
      <c r="H776" s="1275"/>
      <c r="I776" s="1275"/>
      <c r="J776" s="1275"/>
      <c r="K776" s="1275"/>
      <c r="L776" s="1275"/>
      <c r="M776" s="1275"/>
      <c r="N776" s="1275"/>
      <c r="O776" s="1275"/>
      <c r="P776" s="1275"/>
      <c r="Q776" s="1275"/>
      <c r="R776" s="1275"/>
      <c r="S776" s="1275"/>
      <c r="T776" s="1275"/>
      <c r="U776" s="1275"/>
      <c r="V776" s="1275"/>
      <c r="W776" s="1275"/>
      <c r="X776" s="1275"/>
      <c r="Y776" s="1275"/>
      <c r="Z776" s="1275"/>
      <c r="AA776" s="1275"/>
      <c r="AB776" s="1275"/>
      <c r="AC776" s="1275"/>
      <c r="AD776" s="1275"/>
      <c r="AE776" s="1275"/>
      <c r="AF776" s="1275"/>
      <c r="AG776" s="1275"/>
      <c r="AH776" s="1275"/>
      <c r="AI776" s="1275"/>
      <c r="AJ776" s="1275"/>
      <c r="AK776" s="1275"/>
      <c r="AL776" s="1275"/>
      <c r="AM776" s="1275"/>
      <c r="AN776" s="1275"/>
      <c r="AO776" s="1275"/>
      <c r="AP776" s="1275"/>
      <c r="AQ776" s="1275"/>
      <c r="AR776" s="127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32" t="s">
        <v>389</v>
      </c>
      <c r="K777" s="1433"/>
      <c r="L777" s="1433"/>
      <c r="M777" s="1433"/>
      <c r="N777" s="1434"/>
      <c r="O777" s="1478" t="s">
        <v>285</v>
      </c>
      <c r="P777" s="1478"/>
      <c r="Q777" s="1478"/>
      <c r="R777" s="1478"/>
      <c r="S777" s="1478"/>
      <c r="T777" s="1708" t="s">
        <v>1668</v>
      </c>
      <c r="U777" s="1709"/>
      <c r="V777" s="1709"/>
      <c r="W777" s="1710"/>
      <c r="X777" s="1432" t="s">
        <v>447</v>
      </c>
      <c r="Y777" s="1433"/>
      <c r="Z777" s="1433"/>
      <c r="AA777" s="1433"/>
      <c r="AB777" s="1434"/>
      <c r="AC777" s="1432" t="s">
        <v>286</v>
      </c>
      <c r="AD777" s="1433"/>
      <c r="AE777" s="1433"/>
      <c r="AF777" s="1433"/>
      <c r="AG777" s="143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35"/>
      <c r="K778" s="1436"/>
      <c r="L778" s="1436"/>
      <c r="M778" s="1436"/>
      <c r="N778" s="1437"/>
      <c r="O778" s="1478"/>
      <c r="P778" s="1478"/>
      <c r="Q778" s="1478"/>
      <c r="R778" s="1478"/>
      <c r="S778" s="1478"/>
      <c r="T778" s="1711"/>
      <c r="U778" s="1712"/>
      <c r="V778" s="1712"/>
      <c r="W778" s="1713"/>
      <c r="X778" s="1435"/>
      <c r="Y778" s="1436"/>
      <c r="Z778" s="1436"/>
      <c r="AA778" s="1436"/>
      <c r="AB778" s="1437"/>
      <c r="AC778" s="1435"/>
      <c r="AD778" s="1436"/>
      <c r="AE778" s="1436"/>
      <c r="AF778" s="1436"/>
      <c r="AG778" s="143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35"/>
      <c r="K779" s="1436"/>
      <c r="L779" s="1436"/>
      <c r="M779" s="1436"/>
      <c r="N779" s="1437"/>
      <c r="O779" s="1478"/>
      <c r="P779" s="1478"/>
      <c r="Q779" s="1478"/>
      <c r="R779" s="1478"/>
      <c r="S779" s="1478"/>
      <c r="T779" s="1711"/>
      <c r="U779" s="1712"/>
      <c r="V779" s="1712"/>
      <c r="W779" s="1713"/>
      <c r="X779" s="1435"/>
      <c r="Y779" s="1436"/>
      <c r="Z779" s="1436"/>
      <c r="AA779" s="1436"/>
      <c r="AB779" s="1437"/>
      <c r="AC779" s="1435"/>
      <c r="AD779" s="1436"/>
      <c r="AE779" s="1436"/>
      <c r="AF779" s="1436"/>
      <c r="AG779" s="143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8"/>
      <c r="K780" s="1439"/>
      <c r="L780" s="1439"/>
      <c r="M780" s="1439"/>
      <c r="N780" s="1440"/>
      <c r="O780" s="1478"/>
      <c r="P780" s="1478"/>
      <c r="Q780" s="1478"/>
      <c r="R780" s="1478"/>
      <c r="S780" s="1478"/>
      <c r="T780" s="1718"/>
      <c r="U780" s="1719"/>
      <c r="V780" s="1719"/>
      <c r="W780" s="1720"/>
      <c r="X780" s="1438"/>
      <c r="Y780" s="1439"/>
      <c r="Z780" s="1439"/>
      <c r="AA780" s="1439"/>
      <c r="AB780" s="1440"/>
      <c r="AC780" s="1438"/>
      <c r="AD780" s="1439"/>
      <c r="AE780" s="1439"/>
      <c r="AF780" s="1439"/>
      <c r="AG780" s="144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1" t="s">
        <v>163</v>
      </c>
      <c r="K781" s="1372"/>
      <c r="L781" s="1372"/>
      <c r="M781" s="1372"/>
      <c r="N781" s="1373"/>
      <c r="O781" s="1477">
        <v>3</v>
      </c>
      <c r="P781" s="1477"/>
      <c r="Q781" s="1477"/>
      <c r="R781" s="1477"/>
      <c r="S781" s="1477"/>
      <c r="T781" s="1368">
        <v>708</v>
      </c>
      <c r="U781" s="1369"/>
      <c r="V781" s="1369"/>
      <c r="W781" s="1370"/>
      <c r="X781" s="1418">
        <v>0</v>
      </c>
      <c r="Y781" s="1419"/>
      <c r="Z781" s="1419"/>
      <c r="AA781" s="1419"/>
      <c r="AB781" s="1420"/>
      <c r="AC781" s="1421">
        <f>X781*O781</f>
        <v>0</v>
      </c>
      <c r="AD781" s="1417"/>
      <c r="AE781" s="1417"/>
      <c r="AF781" s="1417"/>
      <c r="AG781" s="142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6">
        <f>IF(J781="SRO/Studio",O781,0)</f>
        <v>0</v>
      </c>
      <c r="CQ781" s="1547"/>
      <c r="CR781" s="1547"/>
      <c r="CS781" s="1547"/>
      <c r="CT781" s="1548"/>
      <c r="CU781" s="1540">
        <f>IF(J781="1 Bedroom",O781,0)</f>
        <v>0</v>
      </c>
      <c r="CV781" s="1540"/>
      <c r="CW781" s="1540"/>
      <c r="CX781" s="1540"/>
      <c r="CY781" s="1540"/>
      <c r="CZ781" s="1540">
        <f>IF(J781="2 Bedrooms",O781,0)</f>
        <v>3</v>
      </c>
      <c r="DA781" s="1540"/>
      <c r="DB781" s="1540"/>
      <c r="DC781" s="1540"/>
      <c r="DD781" s="1540"/>
      <c r="DE781" s="1540">
        <f>IF(J781="3 Bedrooms",O781,0)</f>
        <v>0</v>
      </c>
      <c r="DF781" s="1540"/>
      <c r="DG781" s="1540"/>
      <c r="DH781" s="1540"/>
      <c r="DI781" s="1540"/>
      <c r="DJ781" s="1540">
        <f>IF(J781="4 Bedrooms",O781,0)</f>
        <v>0</v>
      </c>
      <c r="DK781" s="1540"/>
      <c r="DL781" s="1540"/>
      <c r="DM781" s="1540"/>
      <c r="DN781" s="1540"/>
      <c r="DO781" s="1540">
        <f>IF(J781="5 Bedrooms",O781,0)</f>
        <v>0</v>
      </c>
      <c r="DP781" s="1540"/>
      <c r="DQ781" s="1540"/>
      <c r="DR781" s="1540"/>
      <c r="DS781" s="1540"/>
      <c r="DT781" s="6"/>
      <c r="DU781" s="3"/>
      <c r="DV781" s="3"/>
    </row>
    <row r="782" spans="1:159" ht="12.95" customHeight="1">
      <c r="J782" s="1371" t="s">
        <v>164</v>
      </c>
      <c r="K782" s="1372"/>
      <c r="L782" s="1372"/>
      <c r="M782" s="1372"/>
      <c r="N782" s="1373"/>
      <c r="O782" s="1477">
        <v>1</v>
      </c>
      <c r="P782" s="1477"/>
      <c r="Q782" s="1477"/>
      <c r="R782" s="1477"/>
      <c r="S782" s="1477"/>
      <c r="T782" s="1368">
        <v>974</v>
      </c>
      <c r="U782" s="1369"/>
      <c r="V782" s="1369"/>
      <c r="W782" s="1370"/>
      <c r="X782" s="1418">
        <v>0</v>
      </c>
      <c r="Y782" s="1419"/>
      <c r="Z782" s="1419"/>
      <c r="AA782" s="1419"/>
      <c r="AB782" s="1420"/>
      <c r="AC782" s="1421">
        <f>X782*O782</f>
        <v>0</v>
      </c>
      <c r="AD782" s="1417"/>
      <c r="AE782" s="1417"/>
      <c r="AF782" s="1417"/>
      <c r="AG782" s="142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6">
        <f>IF(J782="SRO/Studio",O782,0)</f>
        <v>0</v>
      </c>
      <c r="CQ782" s="1547"/>
      <c r="CR782" s="1547"/>
      <c r="CS782" s="1547"/>
      <c r="CT782" s="1548"/>
      <c r="CU782" s="1540">
        <f>IF(J782="1 Bedroom",O782,0)</f>
        <v>0</v>
      </c>
      <c r="CV782" s="1540"/>
      <c r="CW782" s="1540"/>
      <c r="CX782" s="1540"/>
      <c r="CY782" s="1540"/>
      <c r="CZ782" s="1540">
        <f>IF(J782="2 Bedrooms",O782,0)</f>
        <v>0</v>
      </c>
      <c r="DA782" s="1540"/>
      <c r="DB782" s="1540"/>
      <c r="DC782" s="1540"/>
      <c r="DD782" s="1540"/>
      <c r="DE782" s="1540">
        <f>IF(J782="3 Bedrooms",O782,0)</f>
        <v>1</v>
      </c>
      <c r="DF782" s="1540"/>
      <c r="DG782" s="1540"/>
      <c r="DH782" s="1540"/>
      <c r="DI782" s="1540"/>
      <c r="DJ782" s="1540">
        <f>IF(J782="4 Bedrooms",O782,0)</f>
        <v>0</v>
      </c>
      <c r="DK782" s="1540"/>
      <c r="DL782" s="1540"/>
      <c r="DM782" s="1540"/>
      <c r="DN782" s="1540"/>
      <c r="DO782" s="1540">
        <f>IF(J782="5 Bedrooms",O782,0)</f>
        <v>0</v>
      </c>
      <c r="DP782" s="1540"/>
      <c r="DQ782" s="1540"/>
      <c r="DR782" s="1540"/>
      <c r="DS782" s="1540"/>
      <c r="DT782" s="6"/>
      <c r="DU782" s="3"/>
      <c r="DV782" s="3"/>
    </row>
    <row r="783" spans="1:159" ht="12.95" customHeight="1">
      <c r="J783" s="1371"/>
      <c r="K783" s="1372"/>
      <c r="L783" s="1372"/>
      <c r="M783" s="1372"/>
      <c r="N783" s="1373"/>
      <c r="O783" s="1477"/>
      <c r="P783" s="1477"/>
      <c r="Q783" s="1477"/>
      <c r="R783" s="1477"/>
      <c r="S783" s="1477"/>
      <c r="T783" s="1368"/>
      <c r="U783" s="1369"/>
      <c r="V783" s="1369"/>
      <c r="W783" s="1370"/>
      <c r="X783" s="1418"/>
      <c r="Y783" s="1419"/>
      <c r="Z783" s="1419"/>
      <c r="AA783" s="1419"/>
      <c r="AB783" s="1420"/>
      <c r="AC783" s="1421">
        <f>X783*O783</f>
        <v>0</v>
      </c>
      <c r="AD783" s="1417"/>
      <c r="AE783" s="1417"/>
      <c r="AF783" s="1417"/>
      <c r="AG783" s="142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6">
        <f>IF(J783="SRO/Studio",O783,0)</f>
        <v>0</v>
      </c>
      <c r="CQ783" s="1547"/>
      <c r="CR783" s="1547"/>
      <c r="CS783" s="1547"/>
      <c r="CT783" s="1548"/>
      <c r="CU783" s="1540">
        <f>IF(J783="1 Bedroom",O783,0)</f>
        <v>0</v>
      </c>
      <c r="CV783" s="1540"/>
      <c r="CW783" s="1540"/>
      <c r="CX783" s="1540"/>
      <c r="CY783" s="1540"/>
      <c r="CZ783" s="1540">
        <f>IF(J783="2 Bedrooms",O783,0)</f>
        <v>0</v>
      </c>
      <c r="DA783" s="1540"/>
      <c r="DB783" s="1540"/>
      <c r="DC783" s="1540"/>
      <c r="DD783" s="1540"/>
      <c r="DE783" s="1540">
        <f>IF(J783="3 Bedrooms",O783,0)</f>
        <v>0</v>
      </c>
      <c r="DF783" s="1540"/>
      <c r="DG783" s="1540"/>
      <c r="DH783" s="1540"/>
      <c r="DI783" s="1540"/>
      <c r="DJ783" s="1540">
        <f>IF(J783="4 Bedrooms",O783,0)</f>
        <v>0</v>
      </c>
      <c r="DK783" s="1540"/>
      <c r="DL783" s="1540"/>
      <c r="DM783" s="1540"/>
      <c r="DN783" s="1540"/>
      <c r="DO783" s="1540">
        <f>IF(J783="5 Bedrooms",O783,0)</f>
        <v>0</v>
      </c>
      <c r="DP783" s="1540"/>
      <c r="DQ783" s="1540"/>
      <c r="DR783" s="1540"/>
      <c r="DS783" s="1540"/>
      <c r="DT783" s="1007"/>
    </row>
    <row r="784" spans="1:159" ht="12.95" customHeight="1">
      <c r="J784" s="1371"/>
      <c r="K784" s="1372"/>
      <c r="L784" s="1372"/>
      <c r="M784" s="1372"/>
      <c r="N784" s="1373"/>
      <c r="O784" s="1477"/>
      <c r="P784" s="1477"/>
      <c r="Q784" s="1477"/>
      <c r="R784" s="1477"/>
      <c r="S784" s="1477"/>
      <c r="T784" s="1368"/>
      <c r="U784" s="1369"/>
      <c r="V784" s="1369"/>
      <c r="W784" s="1370"/>
      <c r="X784" s="1418"/>
      <c r="Y784" s="1419"/>
      <c r="Z784" s="1419"/>
      <c r="AA784" s="1419"/>
      <c r="AB784" s="1420"/>
      <c r="AC784" s="1421">
        <f>X784*O784</f>
        <v>0</v>
      </c>
      <c r="AD784" s="1417"/>
      <c r="AE784" s="1417"/>
      <c r="AF784" s="1417"/>
      <c r="AG784" s="142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6">
        <f>IF(J784="SRO/Studio",O784,0)</f>
        <v>0</v>
      </c>
      <c r="CQ784" s="1547"/>
      <c r="CR784" s="1547"/>
      <c r="CS784" s="1547"/>
      <c r="CT784" s="1548"/>
      <c r="CU784" s="1540">
        <f>IF(J784="1 Bedroom",O784,0)</f>
        <v>0</v>
      </c>
      <c r="CV784" s="1540"/>
      <c r="CW784" s="1540"/>
      <c r="CX784" s="1540"/>
      <c r="CY784" s="1540"/>
      <c r="CZ784" s="1540">
        <f>IF(J784="2 Bedrooms",O784,0)</f>
        <v>0</v>
      </c>
      <c r="DA784" s="1540"/>
      <c r="DB784" s="1540"/>
      <c r="DC784" s="1540"/>
      <c r="DD784" s="1540"/>
      <c r="DE784" s="1540">
        <f>IF(J784="3 Bedrooms",O784,0)</f>
        <v>0</v>
      </c>
      <c r="DF784" s="1540"/>
      <c r="DG784" s="1540"/>
      <c r="DH784" s="1540"/>
      <c r="DI784" s="1540"/>
      <c r="DJ784" s="1540">
        <f>IF(J784="4 Bedrooms",O784,0)</f>
        <v>0</v>
      </c>
      <c r="DK784" s="1540"/>
      <c r="DL784" s="1540"/>
      <c r="DM784" s="1540"/>
      <c r="DN784" s="1540"/>
      <c r="DO784" s="1540">
        <f>IF(J784="5 Bedrooms",O784,0)</f>
        <v>0</v>
      </c>
      <c r="DP784" s="1540"/>
      <c r="DQ784" s="1540"/>
      <c r="DR784" s="1540"/>
      <c r="DS784" s="1540"/>
    </row>
    <row r="785" spans="1:154" ht="12.95" customHeight="1">
      <c r="J785" s="1677" t="s">
        <v>125</v>
      </c>
      <c r="K785" s="1678"/>
      <c r="L785" s="1678"/>
      <c r="M785" s="1678"/>
      <c r="N785" s="1679"/>
      <c r="O785" s="1544">
        <f>SUM(O781:S784)</f>
        <v>4</v>
      </c>
      <c r="P785" s="1716"/>
      <c r="Q785" s="1716"/>
      <c r="R785" s="1716"/>
      <c r="S785" s="1545"/>
      <c r="X785" s="1677" t="s">
        <v>124</v>
      </c>
      <c r="Y785" s="1678"/>
      <c r="Z785" s="1678"/>
      <c r="AA785" s="1678"/>
      <c r="AB785" s="1679"/>
      <c r="AC785" s="1421">
        <f>SUM(AC781:AG784)</f>
        <v>0</v>
      </c>
      <c r="AD785" s="1417"/>
      <c r="AE785" s="1417"/>
      <c r="AF785" s="1417"/>
      <c r="AG785" s="142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4">
        <f>SUM(CP781:CT784)</f>
        <v>0</v>
      </c>
      <c r="CQ785" s="1716"/>
      <c r="CR785" s="1716"/>
      <c r="CS785" s="1716"/>
      <c r="CT785" s="1545"/>
      <c r="CU785" s="1551">
        <f>SUM(CU781:CY784)</f>
        <v>0</v>
      </c>
      <c r="CV785" s="1552"/>
      <c r="CW785" s="1552"/>
      <c r="CX785" s="1552"/>
      <c r="CY785" s="1553"/>
      <c r="CZ785" s="1551">
        <f>SUM(CZ781:DD784)</f>
        <v>3</v>
      </c>
      <c r="DA785" s="1552"/>
      <c r="DB785" s="1552"/>
      <c r="DC785" s="1552"/>
      <c r="DD785" s="1553"/>
      <c r="DE785" s="1551">
        <f>SUM(DE781:DI784)</f>
        <v>1</v>
      </c>
      <c r="DF785" s="1552"/>
      <c r="DG785" s="1552"/>
      <c r="DH785" s="1552"/>
      <c r="DI785" s="1553"/>
      <c r="DJ785" s="1551">
        <f>SUM(DJ781:DN784)</f>
        <v>0</v>
      </c>
      <c r="DK785" s="1552"/>
      <c r="DL785" s="1552"/>
      <c r="DM785" s="1552"/>
      <c r="DN785" s="1553"/>
      <c r="DO785" s="1551">
        <f>SUM(DO781:DS784)</f>
        <v>0</v>
      </c>
      <c r="DP785" s="1552"/>
      <c r="DQ785" s="1552"/>
      <c r="DR785" s="1552"/>
      <c r="DS785" s="1553"/>
      <c r="DU785" s="857">
        <f>CP785+CU785+CZ785+DE785+DJ785+DO785</f>
        <v>4</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6</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9</v>
      </c>
      <c r="DV786" s="57" t="s">
        <v>1836</v>
      </c>
    </row>
    <row r="787" spans="1:154" ht="12.95" customHeight="1">
      <c r="B787" s="56"/>
      <c r="C787" s="56"/>
      <c r="D787" s="56"/>
      <c r="E787" s="56"/>
      <c r="F787" s="56"/>
      <c r="G787" s="6"/>
      <c r="H787" s="6"/>
      <c r="I787" s="6"/>
      <c r="J787" s="1532" t="s">
        <v>669</v>
      </c>
      <c r="K787" s="1532"/>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32" t="s">
        <v>389</v>
      </c>
      <c r="K791" s="1433"/>
      <c r="L791" s="1433"/>
      <c r="M791" s="1433"/>
      <c r="N791" s="1434"/>
      <c r="O791" s="1478" t="s">
        <v>285</v>
      </c>
      <c r="P791" s="1478"/>
      <c r="Q791" s="1478"/>
      <c r="R791" s="1478"/>
      <c r="S791" s="1478"/>
      <c r="T791" s="1708" t="s">
        <v>1668</v>
      </c>
      <c r="U791" s="1709"/>
      <c r="V791" s="1709"/>
      <c r="W791" s="1710"/>
      <c r="X791" s="1432" t="s">
        <v>447</v>
      </c>
      <c r="Y791" s="1433"/>
      <c r="Z791" s="1433"/>
      <c r="AA791" s="1433"/>
      <c r="AB791" s="1434"/>
      <c r="AC791" s="1432" t="s">
        <v>286</v>
      </c>
      <c r="AD791" s="1433"/>
      <c r="AE791" s="1433"/>
      <c r="AF791" s="1433"/>
      <c r="AG791" s="143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35"/>
      <c r="K792" s="1436"/>
      <c r="L792" s="1436"/>
      <c r="M792" s="1436"/>
      <c r="N792" s="1437"/>
      <c r="O792" s="1478"/>
      <c r="P792" s="1478"/>
      <c r="Q792" s="1478"/>
      <c r="R792" s="1478"/>
      <c r="S792" s="1478"/>
      <c r="T792" s="1711"/>
      <c r="U792" s="1712"/>
      <c r="V792" s="1712"/>
      <c r="W792" s="1713"/>
      <c r="X792" s="1435"/>
      <c r="Y792" s="1436"/>
      <c r="Z792" s="1436"/>
      <c r="AA792" s="1436"/>
      <c r="AB792" s="1437"/>
      <c r="AC792" s="1435"/>
      <c r="AD792" s="1436"/>
      <c r="AE792" s="1436"/>
      <c r="AF792" s="1436"/>
      <c r="AG792" s="143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35"/>
      <c r="K793" s="1436"/>
      <c r="L793" s="1436"/>
      <c r="M793" s="1436"/>
      <c r="N793" s="1437"/>
      <c r="O793" s="1478"/>
      <c r="P793" s="1478"/>
      <c r="Q793" s="1478"/>
      <c r="R793" s="1478"/>
      <c r="S793" s="1478"/>
      <c r="T793" s="1711"/>
      <c r="U793" s="1712"/>
      <c r="V793" s="1712"/>
      <c r="W793" s="1713"/>
      <c r="X793" s="1435"/>
      <c r="Y793" s="1436"/>
      <c r="Z793" s="1436"/>
      <c r="AA793" s="1436"/>
      <c r="AB793" s="1437"/>
      <c r="AC793" s="1435"/>
      <c r="AD793" s="1436"/>
      <c r="AE793" s="1436"/>
      <c r="AF793" s="1436"/>
      <c r="AG793" s="143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8"/>
      <c r="K794" s="1439"/>
      <c r="L794" s="1439"/>
      <c r="M794" s="1439"/>
      <c r="N794" s="1440"/>
      <c r="O794" s="1478"/>
      <c r="P794" s="1478"/>
      <c r="Q794" s="1478"/>
      <c r="R794" s="1478"/>
      <c r="S794" s="1478"/>
      <c r="T794" s="1718"/>
      <c r="U794" s="1719"/>
      <c r="V794" s="1719"/>
      <c r="W794" s="1720"/>
      <c r="X794" s="1438"/>
      <c r="Y794" s="1439"/>
      <c r="Z794" s="1439"/>
      <c r="AA794" s="1439"/>
      <c r="AB794" s="1440"/>
      <c r="AC794" s="1438"/>
      <c r="AD794" s="1439"/>
      <c r="AE794" s="1439"/>
      <c r="AF794" s="1439"/>
      <c r="AG794" s="144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71"/>
      <c r="K795" s="1372"/>
      <c r="L795" s="1372"/>
      <c r="M795" s="1372"/>
      <c r="N795" s="1373"/>
      <c r="O795" s="1477"/>
      <c r="P795" s="1477"/>
      <c r="Q795" s="1477"/>
      <c r="R795" s="1477"/>
      <c r="S795" s="1477"/>
      <c r="T795" s="1368"/>
      <c r="U795" s="1369"/>
      <c r="V795" s="1369"/>
      <c r="W795" s="1370"/>
      <c r="X795" s="1418"/>
      <c r="Y795" s="1419"/>
      <c r="Z795" s="1419"/>
      <c r="AA795" s="1419"/>
      <c r="AB795" s="1420"/>
      <c r="AC795" s="1421">
        <f t="shared" ref="AC795:AC804" si="45">X795*O795</f>
        <v>0</v>
      </c>
      <c r="AD795" s="1417"/>
      <c r="AE795" s="1417"/>
      <c r="AF795" s="1417"/>
      <c r="AG795" s="142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6">
        <f t="shared" ref="CP795:CP804" si="46">IF(J795="SRO/Studio",O795,0)</f>
        <v>0</v>
      </c>
      <c r="CQ795" s="1547"/>
      <c r="CR795" s="1547"/>
      <c r="CS795" s="1547"/>
      <c r="CT795" s="1548"/>
      <c r="CU795" s="1546">
        <f t="shared" ref="CU795:CU804" si="47">IF(J795="1 Bedroom",O795,0)</f>
        <v>0</v>
      </c>
      <c r="CV795" s="1547"/>
      <c r="CW795" s="1547"/>
      <c r="CX795" s="1547"/>
      <c r="CY795" s="1548"/>
      <c r="CZ795" s="1546">
        <f t="shared" ref="CZ795:CZ804" si="48">IF(J795="2 Bedrooms",O795,0)</f>
        <v>0</v>
      </c>
      <c r="DA795" s="1547"/>
      <c r="DB795" s="1547"/>
      <c r="DC795" s="1547"/>
      <c r="DD795" s="1548"/>
      <c r="DE795" s="1546">
        <f t="shared" ref="DE795:DE804" si="49">IF(J795="3 Bedrooms",O795,0)</f>
        <v>0</v>
      </c>
      <c r="DF795" s="1547"/>
      <c r="DG795" s="1547"/>
      <c r="DH795" s="1547"/>
      <c r="DI795" s="1548"/>
      <c r="DJ795" s="1546">
        <f t="shared" ref="DJ795:DJ804" si="50">IF(J795="4 Bedrooms",O795,0)</f>
        <v>0</v>
      </c>
      <c r="DK795" s="1547"/>
      <c r="DL795" s="1547"/>
      <c r="DM795" s="1547"/>
      <c r="DN795" s="1548"/>
      <c r="DO795" s="1546">
        <f t="shared" ref="DO795:DO804" si="51">IF(J795="5 Bedrooms",O795,0)</f>
        <v>0</v>
      </c>
      <c r="DP795" s="1547"/>
      <c r="DQ795" s="1547"/>
      <c r="DR795" s="1547"/>
      <c r="DS795" s="1548"/>
      <c r="DT795" s="6"/>
      <c r="DU795" s="1546">
        <f t="shared" ref="DU795:DU804" si="52">IF(AND(CP795&gt;=1,AH795&gt;=0.1,AH795&lt;=1),O795,0)</f>
        <v>0</v>
      </c>
      <c r="DV795" s="1547"/>
      <c r="DW795" s="1547"/>
      <c r="DX795" s="1547"/>
      <c r="DY795" s="1548"/>
      <c r="DZ795" s="1546">
        <f t="shared" ref="DZ795:DZ804" si="53">IF(AND(CU795&gt;=1,AH795&gt;=0.1,AH795&lt;=1),O795,0)</f>
        <v>0</v>
      </c>
      <c r="EA795" s="1547"/>
      <c r="EB795" s="1547"/>
      <c r="EC795" s="1547"/>
      <c r="ED795" s="1548"/>
      <c r="EE795" s="1546">
        <f t="shared" ref="EE795:EE804" si="54">IF(AND(CZ795&gt;=1,AH795&gt;=0.1,AH795&lt;=1),O795,0)</f>
        <v>0</v>
      </c>
      <c r="EF795" s="1547"/>
      <c r="EG795" s="1547"/>
      <c r="EH795" s="1547"/>
      <c r="EI795" s="1548"/>
      <c r="EJ795" s="1546">
        <f t="shared" ref="EJ795:EJ804" si="55">IF(AND(DE795&gt;=1,AH795&gt;=0.1,AH795&lt;=1),O795,0)</f>
        <v>0</v>
      </c>
      <c r="EK795" s="1547"/>
      <c r="EL795" s="1547"/>
      <c r="EM795" s="1547"/>
      <c r="EN795" s="1548"/>
      <c r="EO795" s="1546">
        <f t="shared" ref="EO795:EO804" si="56">IF(AND(DJ795&gt;=1,AH795&gt;=0.1,AH795&lt;=1),O795,0)</f>
        <v>0</v>
      </c>
      <c r="EP795" s="1547"/>
      <c r="EQ795" s="1547"/>
      <c r="ER795" s="1547"/>
      <c r="ES795" s="1548"/>
      <c r="ET795" s="1546">
        <f t="shared" ref="ET795:ET804" si="57">IF(AND(DO795&gt;=1,AH795&gt;=0.1,AH795&lt;=1),O795,0)</f>
        <v>0</v>
      </c>
      <c r="EU795" s="1547"/>
      <c r="EV795" s="1547"/>
      <c r="EW795" s="1547"/>
      <c r="EX795" s="1548"/>
    </row>
    <row r="796" spans="1:154" s="14" customFormat="1" ht="12.95" customHeight="1">
      <c r="A796"/>
      <c r="B796"/>
      <c r="C796"/>
      <c r="D796"/>
      <c r="E796"/>
      <c r="F796"/>
      <c r="G796"/>
      <c r="H796"/>
      <c r="I796"/>
      <c r="J796" s="1371"/>
      <c r="K796" s="1372"/>
      <c r="L796" s="1372"/>
      <c r="M796" s="1372"/>
      <c r="N796" s="1373"/>
      <c r="O796" s="1477"/>
      <c r="P796" s="1477"/>
      <c r="Q796" s="1477"/>
      <c r="R796" s="1477"/>
      <c r="S796" s="1477"/>
      <c r="T796" s="1368"/>
      <c r="U796" s="1369"/>
      <c r="V796" s="1369"/>
      <c r="W796" s="1370"/>
      <c r="X796" s="1418"/>
      <c r="Y796" s="1419"/>
      <c r="Z796" s="1419"/>
      <c r="AA796" s="1419"/>
      <c r="AB796" s="1420"/>
      <c r="AC796" s="1421">
        <f t="shared" si="45"/>
        <v>0</v>
      </c>
      <c r="AD796" s="1417"/>
      <c r="AE796" s="1417"/>
      <c r="AF796" s="1417"/>
      <c r="AG796" s="142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6">
        <f t="shared" si="46"/>
        <v>0</v>
      </c>
      <c r="CQ796" s="1547"/>
      <c r="CR796" s="1547"/>
      <c r="CS796" s="1547"/>
      <c r="CT796" s="1548"/>
      <c r="CU796" s="1546">
        <f t="shared" si="47"/>
        <v>0</v>
      </c>
      <c r="CV796" s="1547"/>
      <c r="CW796" s="1547"/>
      <c r="CX796" s="1547"/>
      <c r="CY796" s="1548"/>
      <c r="CZ796" s="1546">
        <f t="shared" si="48"/>
        <v>0</v>
      </c>
      <c r="DA796" s="1547"/>
      <c r="DB796" s="1547"/>
      <c r="DC796" s="1547"/>
      <c r="DD796" s="1548"/>
      <c r="DE796" s="1546">
        <f t="shared" si="49"/>
        <v>0</v>
      </c>
      <c r="DF796" s="1547"/>
      <c r="DG796" s="1547"/>
      <c r="DH796" s="1547"/>
      <c r="DI796" s="1548"/>
      <c r="DJ796" s="1546">
        <f t="shared" si="50"/>
        <v>0</v>
      </c>
      <c r="DK796" s="1547"/>
      <c r="DL796" s="1547"/>
      <c r="DM796" s="1547"/>
      <c r="DN796" s="1548"/>
      <c r="DO796" s="1546">
        <f t="shared" si="51"/>
        <v>0</v>
      </c>
      <c r="DP796" s="1547"/>
      <c r="DQ796" s="1547"/>
      <c r="DR796" s="1547"/>
      <c r="DS796" s="1548"/>
      <c r="DT796" s="6"/>
      <c r="DU796" s="1546">
        <f t="shared" si="52"/>
        <v>0</v>
      </c>
      <c r="DV796" s="1547"/>
      <c r="DW796" s="1547"/>
      <c r="DX796" s="1547"/>
      <c r="DY796" s="1548"/>
      <c r="DZ796" s="1546">
        <f t="shared" si="53"/>
        <v>0</v>
      </c>
      <c r="EA796" s="1547"/>
      <c r="EB796" s="1547"/>
      <c r="EC796" s="1547"/>
      <c r="ED796" s="1548"/>
      <c r="EE796" s="1546">
        <f t="shared" si="54"/>
        <v>0</v>
      </c>
      <c r="EF796" s="1547"/>
      <c r="EG796" s="1547"/>
      <c r="EH796" s="1547"/>
      <c r="EI796" s="1548"/>
      <c r="EJ796" s="1546">
        <f t="shared" si="55"/>
        <v>0</v>
      </c>
      <c r="EK796" s="1547"/>
      <c r="EL796" s="1547"/>
      <c r="EM796" s="1547"/>
      <c r="EN796" s="1548"/>
      <c r="EO796" s="1546">
        <f t="shared" si="56"/>
        <v>0</v>
      </c>
      <c r="EP796" s="1547"/>
      <c r="EQ796" s="1547"/>
      <c r="ER796" s="1547"/>
      <c r="ES796" s="1548"/>
      <c r="ET796" s="1546">
        <f t="shared" si="57"/>
        <v>0</v>
      </c>
      <c r="EU796" s="1547"/>
      <c r="EV796" s="1547"/>
      <c r="EW796" s="1547"/>
      <c r="EX796" s="1548"/>
    </row>
    <row r="797" spans="1:154" s="14" customFormat="1" ht="12.95" customHeight="1">
      <c r="A797"/>
      <c r="B797"/>
      <c r="C797"/>
      <c r="D797"/>
      <c r="E797"/>
      <c r="F797"/>
      <c r="G797"/>
      <c r="H797"/>
      <c r="I797"/>
      <c r="J797" s="1371"/>
      <c r="K797" s="1372"/>
      <c r="L797" s="1372"/>
      <c r="M797" s="1372"/>
      <c r="N797" s="1373"/>
      <c r="O797" s="1477"/>
      <c r="P797" s="1477"/>
      <c r="Q797" s="1477"/>
      <c r="R797" s="1477"/>
      <c r="S797" s="1477"/>
      <c r="T797" s="1368"/>
      <c r="U797" s="1369"/>
      <c r="V797" s="1369"/>
      <c r="W797" s="1370"/>
      <c r="X797" s="1418"/>
      <c r="Y797" s="1419"/>
      <c r="Z797" s="1419"/>
      <c r="AA797" s="1419"/>
      <c r="AB797" s="1420"/>
      <c r="AC797" s="1421">
        <f t="shared" si="45"/>
        <v>0</v>
      </c>
      <c r="AD797" s="1417"/>
      <c r="AE797" s="1417"/>
      <c r="AF797" s="1417"/>
      <c r="AG797" s="142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6">
        <f t="shared" si="46"/>
        <v>0</v>
      </c>
      <c r="CQ797" s="1547"/>
      <c r="CR797" s="1547"/>
      <c r="CS797" s="1547"/>
      <c r="CT797" s="1548"/>
      <c r="CU797" s="1546">
        <f t="shared" si="47"/>
        <v>0</v>
      </c>
      <c r="CV797" s="1547"/>
      <c r="CW797" s="1547"/>
      <c r="CX797" s="1547"/>
      <c r="CY797" s="1548"/>
      <c r="CZ797" s="1546">
        <f t="shared" si="48"/>
        <v>0</v>
      </c>
      <c r="DA797" s="1547"/>
      <c r="DB797" s="1547"/>
      <c r="DC797" s="1547"/>
      <c r="DD797" s="1548"/>
      <c r="DE797" s="1546">
        <f t="shared" si="49"/>
        <v>0</v>
      </c>
      <c r="DF797" s="1547"/>
      <c r="DG797" s="1547"/>
      <c r="DH797" s="1547"/>
      <c r="DI797" s="1548"/>
      <c r="DJ797" s="1546">
        <f t="shared" si="50"/>
        <v>0</v>
      </c>
      <c r="DK797" s="1547"/>
      <c r="DL797" s="1547"/>
      <c r="DM797" s="1547"/>
      <c r="DN797" s="1548"/>
      <c r="DO797" s="1546">
        <f t="shared" si="51"/>
        <v>0</v>
      </c>
      <c r="DP797" s="1547"/>
      <c r="DQ797" s="1547"/>
      <c r="DR797" s="1547"/>
      <c r="DS797" s="1548"/>
      <c r="DT797" s="6"/>
      <c r="DU797" s="1546">
        <f t="shared" si="52"/>
        <v>0</v>
      </c>
      <c r="DV797" s="1547"/>
      <c r="DW797" s="1547"/>
      <c r="DX797" s="1547"/>
      <c r="DY797" s="1548"/>
      <c r="DZ797" s="1546">
        <f t="shared" si="53"/>
        <v>0</v>
      </c>
      <c r="EA797" s="1547"/>
      <c r="EB797" s="1547"/>
      <c r="EC797" s="1547"/>
      <c r="ED797" s="1548"/>
      <c r="EE797" s="1546">
        <f t="shared" si="54"/>
        <v>0</v>
      </c>
      <c r="EF797" s="1547"/>
      <c r="EG797" s="1547"/>
      <c r="EH797" s="1547"/>
      <c r="EI797" s="1548"/>
      <c r="EJ797" s="1546">
        <f t="shared" si="55"/>
        <v>0</v>
      </c>
      <c r="EK797" s="1547"/>
      <c r="EL797" s="1547"/>
      <c r="EM797" s="1547"/>
      <c r="EN797" s="1548"/>
      <c r="EO797" s="1546">
        <f t="shared" si="56"/>
        <v>0</v>
      </c>
      <c r="EP797" s="1547"/>
      <c r="EQ797" s="1547"/>
      <c r="ER797" s="1547"/>
      <c r="ES797" s="1548"/>
      <c r="ET797" s="1546">
        <f t="shared" si="57"/>
        <v>0</v>
      </c>
      <c r="EU797" s="1547"/>
      <c r="EV797" s="1547"/>
      <c r="EW797" s="1547"/>
      <c r="EX797" s="1548"/>
    </row>
    <row r="798" spans="1:154" s="14" customFormat="1" ht="12.95" customHeight="1">
      <c r="A798"/>
      <c r="B798"/>
      <c r="C798"/>
      <c r="D798"/>
      <c r="E798"/>
      <c r="F798"/>
      <c r="G798"/>
      <c r="H798"/>
      <c r="I798"/>
      <c r="J798" s="1371"/>
      <c r="K798" s="1372"/>
      <c r="L798" s="1372"/>
      <c r="M798" s="1372"/>
      <c r="N798" s="1373"/>
      <c r="O798" s="1477"/>
      <c r="P798" s="1477"/>
      <c r="Q798" s="1477"/>
      <c r="R798" s="1477"/>
      <c r="S798" s="1477"/>
      <c r="T798" s="1368"/>
      <c r="U798" s="1369"/>
      <c r="V798" s="1369"/>
      <c r="W798" s="1370"/>
      <c r="X798" s="1418"/>
      <c r="Y798" s="1419"/>
      <c r="Z798" s="1419"/>
      <c r="AA798" s="1419"/>
      <c r="AB798" s="1420"/>
      <c r="AC798" s="1421">
        <f t="shared" si="45"/>
        <v>0</v>
      </c>
      <c r="AD798" s="1417"/>
      <c r="AE798" s="1417"/>
      <c r="AF798" s="1417"/>
      <c r="AG798" s="142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6">
        <f t="shared" si="46"/>
        <v>0</v>
      </c>
      <c r="CQ798" s="1547"/>
      <c r="CR798" s="1547"/>
      <c r="CS798" s="1547"/>
      <c r="CT798" s="1548"/>
      <c r="CU798" s="1546">
        <f t="shared" si="47"/>
        <v>0</v>
      </c>
      <c r="CV798" s="1547"/>
      <c r="CW798" s="1547"/>
      <c r="CX798" s="1547"/>
      <c r="CY798" s="1548"/>
      <c r="CZ798" s="1546">
        <f t="shared" si="48"/>
        <v>0</v>
      </c>
      <c r="DA798" s="1547"/>
      <c r="DB798" s="1547"/>
      <c r="DC798" s="1547"/>
      <c r="DD798" s="1548"/>
      <c r="DE798" s="1546">
        <f t="shared" si="49"/>
        <v>0</v>
      </c>
      <c r="DF798" s="1547"/>
      <c r="DG798" s="1547"/>
      <c r="DH798" s="1547"/>
      <c r="DI798" s="1548"/>
      <c r="DJ798" s="1546">
        <f t="shared" si="50"/>
        <v>0</v>
      </c>
      <c r="DK798" s="1547"/>
      <c r="DL798" s="1547"/>
      <c r="DM798" s="1547"/>
      <c r="DN798" s="1548"/>
      <c r="DO798" s="1546">
        <f t="shared" si="51"/>
        <v>0</v>
      </c>
      <c r="DP798" s="1547"/>
      <c r="DQ798" s="1547"/>
      <c r="DR798" s="1547"/>
      <c r="DS798" s="1548"/>
      <c r="DT798" s="6"/>
      <c r="DU798" s="1546">
        <f t="shared" si="52"/>
        <v>0</v>
      </c>
      <c r="DV798" s="1547"/>
      <c r="DW798" s="1547"/>
      <c r="DX798" s="1547"/>
      <c r="DY798" s="1548"/>
      <c r="DZ798" s="1546">
        <f t="shared" si="53"/>
        <v>0</v>
      </c>
      <c r="EA798" s="1547"/>
      <c r="EB798" s="1547"/>
      <c r="EC798" s="1547"/>
      <c r="ED798" s="1548"/>
      <c r="EE798" s="1546">
        <f t="shared" si="54"/>
        <v>0</v>
      </c>
      <c r="EF798" s="1547"/>
      <c r="EG798" s="1547"/>
      <c r="EH798" s="1547"/>
      <c r="EI798" s="1548"/>
      <c r="EJ798" s="1546">
        <f t="shared" si="55"/>
        <v>0</v>
      </c>
      <c r="EK798" s="1547"/>
      <c r="EL798" s="1547"/>
      <c r="EM798" s="1547"/>
      <c r="EN798" s="1548"/>
      <c r="EO798" s="1546">
        <f t="shared" si="56"/>
        <v>0</v>
      </c>
      <c r="EP798" s="1547"/>
      <c r="EQ798" s="1547"/>
      <c r="ER798" s="1547"/>
      <c r="ES798" s="1548"/>
      <c r="ET798" s="1546">
        <f t="shared" si="57"/>
        <v>0</v>
      </c>
      <c r="EU798" s="1547"/>
      <c r="EV798" s="1547"/>
      <c r="EW798" s="1547"/>
      <c r="EX798" s="1548"/>
    </row>
    <row r="799" spans="1:154" s="14" customFormat="1" ht="12.95" customHeight="1">
      <c r="A799"/>
      <c r="B799"/>
      <c r="C799"/>
      <c r="D799"/>
      <c r="E799"/>
      <c r="F799"/>
      <c r="G799"/>
      <c r="H799"/>
      <c r="I799"/>
      <c r="J799" s="1371"/>
      <c r="K799" s="1372"/>
      <c r="L799" s="1372"/>
      <c r="M799" s="1372"/>
      <c r="N799" s="1373"/>
      <c r="O799" s="1477"/>
      <c r="P799" s="1477"/>
      <c r="Q799" s="1477"/>
      <c r="R799" s="1477"/>
      <c r="S799" s="1477"/>
      <c r="T799" s="1368"/>
      <c r="U799" s="1369"/>
      <c r="V799" s="1369"/>
      <c r="W799" s="1370"/>
      <c r="X799" s="1418"/>
      <c r="Y799" s="1419"/>
      <c r="Z799" s="1419"/>
      <c r="AA799" s="1419"/>
      <c r="AB799" s="1420"/>
      <c r="AC799" s="1421">
        <f t="shared" si="45"/>
        <v>0</v>
      </c>
      <c r="AD799" s="1417"/>
      <c r="AE799" s="1417"/>
      <c r="AF799" s="1417"/>
      <c r="AG799" s="142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6">
        <f t="shared" si="46"/>
        <v>0</v>
      </c>
      <c r="CQ799" s="1547"/>
      <c r="CR799" s="1547"/>
      <c r="CS799" s="1547"/>
      <c r="CT799" s="1548"/>
      <c r="CU799" s="1546">
        <f t="shared" si="47"/>
        <v>0</v>
      </c>
      <c r="CV799" s="1547"/>
      <c r="CW799" s="1547"/>
      <c r="CX799" s="1547"/>
      <c r="CY799" s="1548"/>
      <c r="CZ799" s="1546">
        <f t="shared" si="48"/>
        <v>0</v>
      </c>
      <c r="DA799" s="1547"/>
      <c r="DB799" s="1547"/>
      <c r="DC799" s="1547"/>
      <c r="DD799" s="1548"/>
      <c r="DE799" s="1546">
        <f t="shared" si="49"/>
        <v>0</v>
      </c>
      <c r="DF799" s="1547"/>
      <c r="DG799" s="1547"/>
      <c r="DH799" s="1547"/>
      <c r="DI799" s="1548"/>
      <c r="DJ799" s="1546">
        <f t="shared" si="50"/>
        <v>0</v>
      </c>
      <c r="DK799" s="1547"/>
      <c r="DL799" s="1547"/>
      <c r="DM799" s="1547"/>
      <c r="DN799" s="1548"/>
      <c r="DO799" s="1546">
        <f t="shared" si="51"/>
        <v>0</v>
      </c>
      <c r="DP799" s="1547"/>
      <c r="DQ799" s="1547"/>
      <c r="DR799" s="1547"/>
      <c r="DS799" s="1548"/>
      <c r="DT799" s="6"/>
      <c r="DU799" s="1546">
        <f t="shared" si="52"/>
        <v>0</v>
      </c>
      <c r="DV799" s="1547"/>
      <c r="DW799" s="1547"/>
      <c r="DX799" s="1547"/>
      <c r="DY799" s="1548"/>
      <c r="DZ799" s="1546">
        <f t="shared" si="53"/>
        <v>0</v>
      </c>
      <c r="EA799" s="1547"/>
      <c r="EB799" s="1547"/>
      <c r="EC799" s="1547"/>
      <c r="ED799" s="1548"/>
      <c r="EE799" s="1546">
        <f t="shared" si="54"/>
        <v>0</v>
      </c>
      <c r="EF799" s="1547"/>
      <c r="EG799" s="1547"/>
      <c r="EH799" s="1547"/>
      <c r="EI799" s="1548"/>
      <c r="EJ799" s="1546">
        <f t="shared" si="55"/>
        <v>0</v>
      </c>
      <c r="EK799" s="1547"/>
      <c r="EL799" s="1547"/>
      <c r="EM799" s="1547"/>
      <c r="EN799" s="1548"/>
      <c r="EO799" s="1546">
        <f t="shared" si="56"/>
        <v>0</v>
      </c>
      <c r="EP799" s="1547"/>
      <c r="EQ799" s="1547"/>
      <c r="ER799" s="1547"/>
      <c r="ES799" s="1548"/>
      <c r="ET799" s="1546">
        <f t="shared" si="57"/>
        <v>0</v>
      </c>
      <c r="EU799" s="1547"/>
      <c r="EV799" s="1547"/>
      <c r="EW799" s="1547"/>
      <c r="EX799" s="1548"/>
    </row>
    <row r="800" spans="1:154" s="14" customFormat="1" ht="12.95" customHeight="1">
      <c r="A800"/>
      <c r="B800"/>
      <c r="C800"/>
      <c r="D800"/>
      <c r="E800"/>
      <c r="F800"/>
      <c r="G800"/>
      <c r="H800"/>
      <c r="I800"/>
      <c r="J800" s="1371"/>
      <c r="K800" s="1372"/>
      <c r="L800" s="1372"/>
      <c r="M800" s="1372"/>
      <c r="N800" s="1373"/>
      <c r="O800" s="1477"/>
      <c r="P800" s="1477"/>
      <c r="Q800" s="1477"/>
      <c r="R800" s="1477"/>
      <c r="S800" s="1477"/>
      <c r="T800" s="1368"/>
      <c r="U800" s="1369"/>
      <c r="V800" s="1369"/>
      <c r="W800" s="1370"/>
      <c r="X800" s="1418"/>
      <c r="Y800" s="1419"/>
      <c r="Z800" s="1419"/>
      <c r="AA800" s="1419"/>
      <c r="AB800" s="1420"/>
      <c r="AC800" s="1421">
        <f t="shared" si="45"/>
        <v>0</v>
      </c>
      <c r="AD800" s="1417"/>
      <c r="AE800" s="1417"/>
      <c r="AF800" s="1417"/>
      <c r="AG800" s="142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6">
        <f t="shared" si="46"/>
        <v>0</v>
      </c>
      <c r="CQ800" s="1547"/>
      <c r="CR800" s="1547"/>
      <c r="CS800" s="1547"/>
      <c r="CT800" s="1548"/>
      <c r="CU800" s="1546">
        <f t="shared" si="47"/>
        <v>0</v>
      </c>
      <c r="CV800" s="1547"/>
      <c r="CW800" s="1547"/>
      <c r="CX800" s="1547"/>
      <c r="CY800" s="1548"/>
      <c r="CZ800" s="1546">
        <f t="shared" si="48"/>
        <v>0</v>
      </c>
      <c r="DA800" s="1547"/>
      <c r="DB800" s="1547"/>
      <c r="DC800" s="1547"/>
      <c r="DD800" s="1548"/>
      <c r="DE800" s="1546">
        <f t="shared" si="49"/>
        <v>0</v>
      </c>
      <c r="DF800" s="1547"/>
      <c r="DG800" s="1547"/>
      <c r="DH800" s="1547"/>
      <c r="DI800" s="1548"/>
      <c r="DJ800" s="1546">
        <f t="shared" si="50"/>
        <v>0</v>
      </c>
      <c r="DK800" s="1547"/>
      <c r="DL800" s="1547"/>
      <c r="DM800" s="1547"/>
      <c r="DN800" s="1548"/>
      <c r="DO800" s="1546">
        <f t="shared" si="51"/>
        <v>0</v>
      </c>
      <c r="DP800" s="1547"/>
      <c r="DQ800" s="1547"/>
      <c r="DR800" s="1547"/>
      <c r="DS800" s="1548"/>
      <c r="DT800" s="6"/>
      <c r="DU800" s="1546">
        <f t="shared" si="52"/>
        <v>0</v>
      </c>
      <c r="DV800" s="1547"/>
      <c r="DW800" s="1547"/>
      <c r="DX800" s="1547"/>
      <c r="DY800" s="1548"/>
      <c r="DZ800" s="1546">
        <f t="shared" si="53"/>
        <v>0</v>
      </c>
      <c r="EA800" s="1547"/>
      <c r="EB800" s="1547"/>
      <c r="EC800" s="1547"/>
      <c r="ED800" s="1548"/>
      <c r="EE800" s="1546">
        <f t="shared" si="54"/>
        <v>0</v>
      </c>
      <c r="EF800" s="1547"/>
      <c r="EG800" s="1547"/>
      <c r="EH800" s="1547"/>
      <c r="EI800" s="1548"/>
      <c r="EJ800" s="1546">
        <f t="shared" si="55"/>
        <v>0</v>
      </c>
      <c r="EK800" s="1547"/>
      <c r="EL800" s="1547"/>
      <c r="EM800" s="1547"/>
      <c r="EN800" s="1548"/>
      <c r="EO800" s="1546">
        <f t="shared" si="56"/>
        <v>0</v>
      </c>
      <c r="EP800" s="1547"/>
      <c r="EQ800" s="1547"/>
      <c r="ER800" s="1547"/>
      <c r="ES800" s="1548"/>
      <c r="ET800" s="1546">
        <f t="shared" si="57"/>
        <v>0</v>
      </c>
      <c r="EU800" s="1547"/>
      <c r="EV800" s="1547"/>
      <c r="EW800" s="1547"/>
      <c r="EX800" s="1548"/>
    </row>
    <row r="801" spans="1:154" s="14" customFormat="1" ht="12.95" customHeight="1">
      <c r="A801"/>
      <c r="B801"/>
      <c r="C801"/>
      <c r="D801"/>
      <c r="E801"/>
      <c r="F801"/>
      <c r="G801"/>
      <c r="H801"/>
      <c r="I801"/>
      <c r="J801" s="1371"/>
      <c r="K801" s="1372"/>
      <c r="L801" s="1372"/>
      <c r="M801" s="1372"/>
      <c r="N801" s="1373"/>
      <c r="O801" s="1477"/>
      <c r="P801" s="1477"/>
      <c r="Q801" s="1477"/>
      <c r="R801" s="1477"/>
      <c r="S801" s="1477"/>
      <c r="T801" s="1368"/>
      <c r="U801" s="1369"/>
      <c r="V801" s="1369"/>
      <c r="W801" s="1370"/>
      <c r="X801" s="1418"/>
      <c r="Y801" s="1419"/>
      <c r="Z801" s="1419"/>
      <c r="AA801" s="1419"/>
      <c r="AB801" s="1420"/>
      <c r="AC801" s="1421">
        <f t="shared" si="45"/>
        <v>0</v>
      </c>
      <c r="AD801" s="1417"/>
      <c r="AE801" s="1417"/>
      <c r="AF801" s="1417"/>
      <c r="AG801" s="142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6">
        <f t="shared" si="46"/>
        <v>0</v>
      </c>
      <c r="CQ801" s="1547"/>
      <c r="CR801" s="1547"/>
      <c r="CS801" s="1547"/>
      <c r="CT801" s="1548"/>
      <c r="CU801" s="1546">
        <f t="shared" si="47"/>
        <v>0</v>
      </c>
      <c r="CV801" s="1547"/>
      <c r="CW801" s="1547"/>
      <c r="CX801" s="1547"/>
      <c r="CY801" s="1548"/>
      <c r="CZ801" s="1546">
        <f t="shared" si="48"/>
        <v>0</v>
      </c>
      <c r="DA801" s="1547"/>
      <c r="DB801" s="1547"/>
      <c r="DC801" s="1547"/>
      <c r="DD801" s="1548"/>
      <c r="DE801" s="1546">
        <f t="shared" si="49"/>
        <v>0</v>
      </c>
      <c r="DF801" s="1547"/>
      <c r="DG801" s="1547"/>
      <c r="DH801" s="1547"/>
      <c r="DI801" s="1548"/>
      <c r="DJ801" s="1546">
        <f t="shared" si="50"/>
        <v>0</v>
      </c>
      <c r="DK801" s="1547"/>
      <c r="DL801" s="1547"/>
      <c r="DM801" s="1547"/>
      <c r="DN801" s="1548"/>
      <c r="DO801" s="1546">
        <f t="shared" si="51"/>
        <v>0</v>
      </c>
      <c r="DP801" s="1547"/>
      <c r="DQ801" s="1547"/>
      <c r="DR801" s="1547"/>
      <c r="DS801" s="1548"/>
      <c r="DT801" s="6"/>
      <c r="DU801" s="1546">
        <f t="shared" si="52"/>
        <v>0</v>
      </c>
      <c r="DV801" s="1547"/>
      <c r="DW801" s="1547"/>
      <c r="DX801" s="1547"/>
      <c r="DY801" s="1548"/>
      <c r="DZ801" s="1546">
        <f t="shared" si="53"/>
        <v>0</v>
      </c>
      <c r="EA801" s="1547"/>
      <c r="EB801" s="1547"/>
      <c r="EC801" s="1547"/>
      <c r="ED801" s="1548"/>
      <c r="EE801" s="1546">
        <f t="shared" si="54"/>
        <v>0</v>
      </c>
      <c r="EF801" s="1547"/>
      <c r="EG801" s="1547"/>
      <c r="EH801" s="1547"/>
      <c r="EI801" s="1548"/>
      <c r="EJ801" s="1546">
        <f t="shared" si="55"/>
        <v>0</v>
      </c>
      <c r="EK801" s="1547"/>
      <c r="EL801" s="1547"/>
      <c r="EM801" s="1547"/>
      <c r="EN801" s="1548"/>
      <c r="EO801" s="1546">
        <f t="shared" si="56"/>
        <v>0</v>
      </c>
      <c r="EP801" s="1547"/>
      <c r="EQ801" s="1547"/>
      <c r="ER801" s="1547"/>
      <c r="ES801" s="1548"/>
      <c r="ET801" s="1546">
        <f t="shared" si="57"/>
        <v>0</v>
      </c>
      <c r="EU801" s="1547"/>
      <c r="EV801" s="1547"/>
      <c r="EW801" s="1547"/>
      <c r="EX801" s="1548"/>
    </row>
    <row r="802" spans="1:154" s="14" customFormat="1" ht="12.95" customHeight="1">
      <c r="A802"/>
      <c r="B802"/>
      <c r="C802"/>
      <c r="D802"/>
      <c r="E802"/>
      <c r="F802"/>
      <c r="G802"/>
      <c r="H802"/>
      <c r="I802"/>
      <c r="J802" s="1371"/>
      <c r="K802" s="1372"/>
      <c r="L802" s="1372"/>
      <c r="M802" s="1372"/>
      <c r="N802" s="1373"/>
      <c r="O802" s="1477"/>
      <c r="P802" s="1477"/>
      <c r="Q802" s="1477"/>
      <c r="R802" s="1477"/>
      <c r="S802" s="1477"/>
      <c r="T802" s="1368"/>
      <c r="U802" s="1369"/>
      <c r="V802" s="1369"/>
      <c r="W802" s="1370"/>
      <c r="X802" s="1418"/>
      <c r="Y802" s="1419"/>
      <c r="Z802" s="1419"/>
      <c r="AA802" s="1419"/>
      <c r="AB802" s="1420"/>
      <c r="AC802" s="1421">
        <f t="shared" si="45"/>
        <v>0</v>
      </c>
      <c r="AD802" s="1417"/>
      <c r="AE802" s="1417"/>
      <c r="AF802" s="1417"/>
      <c r="AG802" s="142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6">
        <f t="shared" si="46"/>
        <v>0</v>
      </c>
      <c r="CQ802" s="1547"/>
      <c r="CR802" s="1547"/>
      <c r="CS802" s="1547"/>
      <c r="CT802" s="1548"/>
      <c r="CU802" s="1546">
        <f t="shared" si="47"/>
        <v>0</v>
      </c>
      <c r="CV802" s="1547"/>
      <c r="CW802" s="1547"/>
      <c r="CX802" s="1547"/>
      <c r="CY802" s="1548"/>
      <c r="CZ802" s="1546">
        <f t="shared" si="48"/>
        <v>0</v>
      </c>
      <c r="DA802" s="1547"/>
      <c r="DB802" s="1547"/>
      <c r="DC802" s="1547"/>
      <c r="DD802" s="1548"/>
      <c r="DE802" s="1546">
        <f t="shared" si="49"/>
        <v>0</v>
      </c>
      <c r="DF802" s="1547"/>
      <c r="DG802" s="1547"/>
      <c r="DH802" s="1547"/>
      <c r="DI802" s="1548"/>
      <c r="DJ802" s="1546">
        <f t="shared" si="50"/>
        <v>0</v>
      </c>
      <c r="DK802" s="1547"/>
      <c r="DL802" s="1547"/>
      <c r="DM802" s="1547"/>
      <c r="DN802" s="1548"/>
      <c r="DO802" s="1546">
        <f t="shared" si="51"/>
        <v>0</v>
      </c>
      <c r="DP802" s="1547"/>
      <c r="DQ802" s="1547"/>
      <c r="DR802" s="1547"/>
      <c r="DS802" s="1548"/>
      <c r="DT802" s="6"/>
      <c r="DU802" s="1546">
        <f t="shared" si="52"/>
        <v>0</v>
      </c>
      <c r="DV802" s="1547"/>
      <c r="DW802" s="1547"/>
      <c r="DX802" s="1547"/>
      <c r="DY802" s="1548"/>
      <c r="DZ802" s="1546">
        <f t="shared" si="53"/>
        <v>0</v>
      </c>
      <c r="EA802" s="1547"/>
      <c r="EB802" s="1547"/>
      <c r="EC802" s="1547"/>
      <c r="ED802" s="1548"/>
      <c r="EE802" s="1546">
        <f t="shared" si="54"/>
        <v>0</v>
      </c>
      <c r="EF802" s="1547"/>
      <c r="EG802" s="1547"/>
      <c r="EH802" s="1547"/>
      <c r="EI802" s="1548"/>
      <c r="EJ802" s="1546">
        <f t="shared" si="55"/>
        <v>0</v>
      </c>
      <c r="EK802" s="1547"/>
      <c r="EL802" s="1547"/>
      <c r="EM802" s="1547"/>
      <c r="EN802" s="1548"/>
      <c r="EO802" s="1546">
        <f t="shared" si="56"/>
        <v>0</v>
      </c>
      <c r="EP802" s="1547"/>
      <c r="EQ802" s="1547"/>
      <c r="ER802" s="1547"/>
      <c r="ES802" s="1548"/>
      <c r="ET802" s="1546">
        <f t="shared" si="57"/>
        <v>0</v>
      </c>
      <c r="EU802" s="1547"/>
      <c r="EV802" s="1547"/>
      <c r="EW802" s="1547"/>
      <c r="EX802" s="1548"/>
    </row>
    <row r="803" spans="1:154" s="14" customFormat="1" ht="12.95" customHeight="1">
      <c r="A803"/>
      <c r="B803"/>
      <c r="C803"/>
      <c r="D803"/>
      <c r="E803"/>
      <c r="F803"/>
      <c r="G803"/>
      <c r="H803"/>
      <c r="I803"/>
      <c r="J803" s="1371"/>
      <c r="K803" s="1372"/>
      <c r="L803" s="1372"/>
      <c r="M803" s="1372"/>
      <c r="N803" s="1373"/>
      <c r="O803" s="1477"/>
      <c r="P803" s="1477"/>
      <c r="Q803" s="1477"/>
      <c r="R803" s="1477"/>
      <c r="S803" s="1477"/>
      <c r="T803" s="1368"/>
      <c r="U803" s="1369"/>
      <c r="V803" s="1369"/>
      <c r="W803" s="1370"/>
      <c r="X803" s="1418"/>
      <c r="Y803" s="1419"/>
      <c r="Z803" s="1419"/>
      <c r="AA803" s="1419"/>
      <c r="AB803" s="1420"/>
      <c r="AC803" s="1421">
        <f t="shared" si="45"/>
        <v>0</v>
      </c>
      <c r="AD803" s="1417"/>
      <c r="AE803" s="1417"/>
      <c r="AF803" s="1417"/>
      <c r="AG803" s="142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6">
        <f t="shared" si="46"/>
        <v>0</v>
      </c>
      <c r="CQ803" s="1547"/>
      <c r="CR803" s="1547"/>
      <c r="CS803" s="1547"/>
      <c r="CT803" s="1548"/>
      <c r="CU803" s="1546">
        <f t="shared" si="47"/>
        <v>0</v>
      </c>
      <c r="CV803" s="1547"/>
      <c r="CW803" s="1547"/>
      <c r="CX803" s="1547"/>
      <c r="CY803" s="1548"/>
      <c r="CZ803" s="1546">
        <f t="shared" si="48"/>
        <v>0</v>
      </c>
      <c r="DA803" s="1547"/>
      <c r="DB803" s="1547"/>
      <c r="DC803" s="1547"/>
      <c r="DD803" s="1548"/>
      <c r="DE803" s="1546">
        <f t="shared" si="49"/>
        <v>0</v>
      </c>
      <c r="DF803" s="1547"/>
      <c r="DG803" s="1547"/>
      <c r="DH803" s="1547"/>
      <c r="DI803" s="1548"/>
      <c r="DJ803" s="1546">
        <f t="shared" si="50"/>
        <v>0</v>
      </c>
      <c r="DK803" s="1547"/>
      <c r="DL803" s="1547"/>
      <c r="DM803" s="1547"/>
      <c r="DN803" s="1548"/>
      <c r="DO803" s="1546">
        <f t="shared" si="51"/>
        <v>0</v>
      </c>
      <c r="DP803" s="1547"/>
      <c r="DQ803" s="1547"/>
      <c r="DR803" s="1547"/>
      <c r="DS803" s="1548"/>
      <c r="DT803" s="6"/>
      <c r="DU803" s="1546">
        <f t="shared" si="52"/>
        <v>0</v>
      </c>
      <c r="DV803" s="1547"/>
      <c r="DW803" s="1547"/>
      <c r="DX803" s="1547"/>
      <c r="DY803" s="1548"/>
      <c r="DZ803" s="1546">
        <f t="shared" si="53"/>
        <v>0</v>
      </c>
      <c r="EA803" s="1547"/>
      <c r="EB803" s="1547"/>
      <c r="EC803" s="1547"/>
      <c r="ED803" s="1548"/>
      <c r="EE803" s="1546">
        <f t="shared" si="54"/>
        <v>0</v>
      </c>
      <c r="EF803" s="1547"/>
      <c r="EG803" s="1547"/>
      <c r="EH803" s="1547"/>
      <c r="EI803" s="1548"/>
      <c r="EJ803" s="1546">
        <f t="shared" si="55"/>
        <v>0</v>
      </c>
      <c r="EK803" s="1547"/>
      <c r="EL803" s="1547"/>
      <c r="EM803" s="1547"/>
      <c r="EN803" s="1548"/>
      <c r="EO803" s="1546">
        <f t="shared" si="56"/>
        <v>0</v>
      </c>
      <c r="EP803" s="1547"/>
      <c r="EQ803" s="1547"/>
      <c r="ER803" s="1547"/>
      <c r="ES803" s="1548"/>
      <c r="ET803" s="1546">
        <f t="shared" si="57"/>
        <v>0</v>
      </c>
      <c r="EU803" s="1547"/>
      <c r="EV803" s="1547"/>
      <c r="EW803" s="1547"/>
      <c r="EX803" s="1548"/>
    </row>
    <row r="804" spans="1:154" s="4" customFormat="1" ht="12.95" customHeight="1">
      <c r="A804"/>
      <c r="B804"/>
      <c r="C804"/>
      <c r="D804"/>
      <c r="E804"/>
      <c r="F804"/>
      <c r="G804"/>
      <c r="H804"/>
      <c r="I804"/>
      <c r="J804" s="1371"/>
      <c r="K804" s="1372"/>
      <c r="L804" s="1372"/>
      <c r="M804" s="1372"/>
      <c r="N804" s="1373"/>
      <c r="O804" s="1477"/>
      <c r="P804" s="1477"/>
      <c r="Q804" s="1477"/>
      <c r="R804" s="1477"/>
      <c r="S804" s="1477"/>
      <c r="T804" s="1368"/>
      <c r="U804" s="1369"/>
      <c r="V804" s="1369"/>
      <c r="W804" s="1370"/>
      <c r="X804" s="1418"/>
      <c r="Y804" s="1419"/>
      <c r="Z804" s="1419"/>
      <c r="AA804" s="1419"/>
      <c r="AB804" s="1420"/>
      <c r="AC804" s="1421">
        <f t="shared" si="45"/>
        <v>0</v>
      </c>
      <c r="AD804" s="1417"/>
      <c r="AE804" s="1417"/>
      <c r="AF804" s="1417"/>
      <c r="AG804" s="1422"/>
      <c r="AH804"/>
      <c r="AI804"/>
      <c r="AJ804"/>
      <c r="AK804"/>
      <c r="AL804"/>
      <c r="AM804"/>
      <c r="AN804"/>
      <c r="AO804"/>
      <c r="AP804"/>
      <c r="AQ804"/>
      <c r="AR804"/>
      <c r="AS804"/>
      <c r="AT804"/>
      <c r="AU804"/>
      <c r="AV804"/>
      <c r="AW804"/>
      <c r="AX804"/>
      <c r="AY804"/>
      <c r="AZ804" s="3"/>
      <c r="CP804" s="1546">
        <f t="shared" si="46"/>
        <v>0</v>
      </c>
      <c r="CQ804" s="1547"/>
      <c r="CR804" s="1547"/>
      <c r="CS804" s="1547"/>
      <c r="CT804" s="1548"/>
      <c r="CU804" s="1546">
        <f t="shared" si="47"/>
        <v>0</v>
      </c>
      <c r="CV804" s="1547"/>
      <c r="CW804" s="1547"/>
      <c r="CX804" s="1547"/>
      <c r="CY804" s="1548"/>
      <c r="CZ804" s="1546">
        <f t="shared" si="48"/>
        <v>0</v>
      </c>
      <c r="DA804" s="1547"/>
      <c r="DB804" s="1547"/>
      <c r="DC804" s="1547"/>
      <c r="DD804" s="1548"/>
      <c r="DE804" s="1546">
        <f t="shared" si="49"/>
        <v>0</v>
      </c>
      <c r="DF804" s="1547"/>
      <c r="DG804" s="1547"/>
      <c r="DH804" s="1547"/>
      <c r="DI804" s="1548"/>
      <c r="DJ804" s="1546">
        <f t="shared" si="50"/>
        <v>0</v>
      </c>
      <c r="DK804" s="1547"/>
      <c r="DL804" s="1547"/>
      <c r="DM804" s="1547"/>
      <c r="DN804" s="1548"/>
      <c r="DO804" s="1546">
        <f t="shared" si="51"/>
        <v>0</v>
      </c>
      <c r="DP804" s="1547"/>
      <c r="DQ804" s="1547"/>
      <c r="DR804" s="1547"/>
      <c r="DS804" s="1548"/>
      <c r="DT804" s="6"/>
      <c r="DU804" s="1546">
        <f t="shared" si="52"/>
        <v>0</v>
      </c>
      <c r="DV804" s="1547"/>
      <c r="DW804" s="1547"/>
      <c r="DX804" s="1547"/>
      <c r="DY804" s="1548"/>
      <c r="DZ804" s="1546">
        <f t="shared" si="53"/>
        <v>0</v>
      </c>
      <c r="EA804" s="1547"/>
      <c r="EB804" s="1547"/>
      <c r="EC804" s="1547"/>
      <c r="ED804" s="1548"/>
      <c r="EE804" s="1546">
        <f t="shared" si="54"/>
        <v>0</v>
      </c>
      <c r="EF804" s="1547"/>
      <c r="EG804" s="1547"/>
      <c r="EH804" s="1547"/>
      <c r="EI804" s="1548"/>
      <c r="EJ804" s="1546">
        <f t="shared" si="55"/>
        <v>0</v>
      </c>
      <c r="EK804" s="1547"/>
      <c r="EL804" s="1547"/>
      <c r="EM804" s="1547"/>
      <c r="EN804" s="1548"/>
      <c r="EO804" s="1546">
        <f t="shared" si="56"/>
        <v>0</v>
      </c>
      <c r="EP804" s="1547"/>
      <c r="EQ804" s="1547"/>
      <c r="ER804" s="1547"/>
      <c r="ES804" s="1548"/>
      <c r="ET804" s="1546">
        <f t="shared" si="57"/>
        <v>0</v>
      </c>
      <c r="EU804" s="1547"/>
      <c r="EV804" s="1547"/>
      <c r="EW804" s="1547"/>
      <c r="EX804" s="1548"/>
    </row>
    <row r="805" spans="1:154" s="4" customFormat="1" ht="12.95" customHeight="1">
      <c r="A805"/>
      <c r="B805"/>
      <c r="C805"/>
      <c r="D805"/>
      <c r="E805"/>
      <c r="F805"/>
      <c r="G805"/>
      <c r="H805"/>
      <c r="I805"/>
      <c r="J805" s="1677" t="s">
        <v>125</v>
      </c>
      <c r="K805" s="1678"/>
      <c r="L805" s="1678"/>
      <c r="M805" s="1678"/>
      <c r="N805" s="1679"/>
      <c r="O805" s="1745">
        <f>SUM(O795:S804)</f>
        <v>0</v>
      </c>
      <c r="P805" s="1745"/>
      <c r="Q805" s="1745"/>
      <c r="R805" s="1745"/>
      <c r="S805" s="1745"/>
      <c r="T805"/>
      <c r="U805"/>
      <c r="V805"/>
      <c r="W805"/>
      <c r="X805" s="898" t="s">
        <v>124</v>
      </c>
      <c r="Y805" s="11"/>
      <c r="Z805" s="11"/>
      <c r="AA805" s="11"/>
      <c r="AB805" s="905"/>
      <c r="AC805" s="1421">
        <f>SUM(AC795:AG804)</f>
        <v>0</v>
      </c>
      <c r="AD805" s="1417"/>
      <c r="AE805" s="1417"/>
      <c r="AF805" s="1417"/>
      <c r="AG805" s="1422"/>
      <c r="AH805"/>
      <c r="AI805"/>
      <c r="AJ805"/>
      <c r="AK805"/>
      <c r="AL805"/>
      <c r="AM805"/>
      <c r="AN805"/>
      <c r="AO805"/>
      <c r="AP805"/>
      <c r="AQ805"/>
      <c r="AR805"/>
      <c r="AS805"/>
      <c r="AT805"/>
      <c r="AU805"/>
      <c r="AV805"/>
      <c r="AW805"/>
      <c r="AX805"/>
      <c r="AY805"/>
      <c r="AZ805" s="3"/>
      <c r="BA805"/>
      <c r="CP805" s="1544">
        <f>SUM(CP795:CT804)</f>
        <v>0</v>
      </c>
      <c r="CQ805" s="1716"/>
      <c r="CR805" s="1716"/>
      <c r="CS805" s="1716"/>
      <c r="CT805" s="1545"/>
      <c r="CU805" s="1551">
        <f>SUM(CU795:CY804)</f>
        <v>0</v>
      </c>
      <c r="CV805" s="1552"/>
      <c r="CW805" s="1552"/>
      <c r="CX805" s="1552"/>
      <c r="CY805" s="1553"/>
      <c r="CZ805" s="1551">
        <f>SUM(CZ795:DD804)</f>
        <v>0</v>
      </c>
      <c r="DA805" s="1552"/>
      <c r="DB805" s="1552"/>
      <c r="DC805" s="1552"/>
      <c r="DD805" s="1553"/>
      <c r="DE805" s="1551">
        <f>SUM(DE795:DI804)</f>
        <v>0</v>
      </c>
      <c r="DF805" s="1552"/>
      <c r="DG805" s="1552"/>
      <c r="DH805" s="1552"/>
      <c r="DI805" s="1553"/>
      <c r="DJ805" s="1551">
        <f>SUM(DJ795:DN804)</f>
        <v>0</v>
      </c>
      <c r="DK805" s="1552"/>
      <c r="DL805" s="1552"/>
      <c r="DM805" s="1552"/>
      <c r="DN805" s="1553"/>
      <c r="DO805" s="1551">
        <f>SUM(DO795:DS804)</f>
        <v>0</v>
      </c>
      <c r="DP805" s="1552"/>
      <c r="DQ805" s="1552"/>
      <c r="DR805" s="1552"/>
      <c r="DS805" s="1553"/>
      <c r="DT805" s="1007"/>
      <c r="DU805" s="1544">
        <f>SUM(DU795:DY804)</f>
        <v>0</v>
      </c>
      <c r="DV805" s="1716"/>
      <c r="DW805" s="1716"/>
      <c r="DX805" s="1716"/>
      <c r="DY805" s="1545"/>
      <c r="DZ805" s="1544">
        <f>SUM(DZ795:ED804)</f>
        <v>0</v>
      </c>
      <c r="EA805" s="1716"/>
      <c r="EB805" s="1716"/>
      <c r="EC805" s="1716"/>
      <c r="ED805" s="1545"/>
      <c r="EE805" s="1544">
        <f>SUM(EE795:EI804)</f>
        <v>0</v>
      </c>
      <c r="EF805" s="1716"/>
      <c r="EG805" s="1716"/>
      <c r="EH805" s="1716"/>
      <c r="EI805" s="1545"/>
      <c r="EJ805" s="1544">
        <f>SUM(EJ795:EN804)</f>
        <v>0</v>
      </c>
      <c r="EK805" s="1716"/>
      <c r="EL805" s="1716"/>
      <c r="EM805" s="1716"/>
      <c r="EN805" s="1545"/>
      <c r="EO805" s="1544">
        <f>SUM(EO795:ES804)</f>
        <v>0</v>
      </c>
      <c r="EP805" s="1716"/>
      <c r="EQ805" s="1716"/>
      <c r="ER805" s="1716"/>
      <c r="ES805" s="1545"/>
      <c r="ET805" s="1544">
        <f>SUM(ET795:EX804)</f>
        <v>0</v>
      </c>
      <c r="EU805" s="1716"/>
      <c r="EV805" s="1716"/>
      <c r="EW805" s="1716"/>
      <c r="EX805" s="1545"/>
    </row>
    <row r="806" spans="1:154" s="4" customFormat="1" ht="12.95" customHeight="1">
      <c r="A806"/>
      <c r="B806"/>
      <c r="C806" s="1717" t="str">
        <f>IF(O805&lt;&gt;AG447,"! Total market rate units in the Unit Mix Table above does not match the number of  market rate units on row #"&amp;TEXT(ROW(D447),"#"),"")</f>
        <v/>
      </c>
      <c r="D806" s="1717"/>
      <c r="E806" s="1717"/>
      <c r="F806" s="1717"/>
      <c r="G806" s="1717"/>
      <c r="H806" s="1717"/>
      <c r="I806" s="1717"/>
      <c r="J806" s="1717"/>
      <c r="K806" s="1717"/>
      <c r="L806" s="1717"/>
      <c r="M806" s="1717"/>
      <c r="N806" s="1717"/>
      <c r="O806" s="1717"/>
      <c r="P806" s="1717"/>
      <c r="Q806" s="1717"/>
      <c r="R806" s="1717"/>
      <c r="S806" s="1717"/>
      <c r="T806" s="1717"/>
      <c r="U806" s="1717"/>
      <c r="V806" s="1717"/>
      <c r="W806" s="1717"/>
      <c r="X806" s="1717"/>
      <c r="Y806" s="1717"/>
      <c r="Z806" s="1717"/>
      <c r="AA806" s="1717"/>
      <c r="AB806" s="1717"/>
      <c r="AC806" s="1717"/>
      <c r="AD806" s="1717"/>
      <c r="AE806" s="1717"/>
      <c r="AF806" s="1717"/>
      <c r="AG806" s="1717"/>
      <c r="AH806" s="1717"/>
      <c r="AI806" s="1717"/>
      <c r="AJ806" s="1717"/>
      <c r="AK806" s="1717"/>
      <c r="AL806" s="1717"/>
      <c r="AM806" s="1717"/>
      <c r="AN806" s="171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17"/>
      <c r="D807" s="1717"/>
      <c r="E807" s="1717"/>
      <c r="F807" s="1717"/>
      <c r="G807" s="1717"/>
      <c r="H807" s="1717"/>
      <c r="I807" s="1717"/>
      <c r="J807" s="1717"/>
      <c r="K807" s="1717"/>
      <c r="L807" s="1717"/>
      <c r="M807" s="1717"/>
      <c r="N807" s="1717"/>
      <c r="O807" s="1717"/>
      <c r="P807" s="1717"/>
      <c r="Q807" s="1717"/>
      <c r="R807" s="1717"/>
      <c r="S807" s="1717"/>
      <c r="T807" s="1717"/>
      <c r="U807" s="1717"/>
      <c r="V807" s="1717"/>
      <c r="W807" s="1717"/>
      <c r="X807" s="1717"/>
      <c r="Y807" s="1717"/>
      <c r="Z807" s="1717"/>
      <c r="AA807" s="1717"/>
      <c r="AB807" s="1717"/>
      <c r="AC807" s="1717"/>
      <c r="AD807" s="1717"/>
      <c r="AE807" s="1717"/>
      <c r="AF807" s="1717"/>
      <c r="AG807" s="1717"/>
      <c r="AH807" s="1717"/>
      <c r="AI807" s="1717"/>
      <c r="AJ807" s="1717"/>
      <c r="AK807" s="1717"/>
      <c r="AL807" s="1717"/>
      <c r="AM807" s="1717"/>
      <c r="AN807" s="171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8">
        <f>SUM(DU805:EX805)</f>
        <v>0</v>
      </c>
      <c r="EU807" s="1869"/>
      <c r="EV807" s="1869"/>
      <c r="EW807" s="1869"/>
      <c r="EX807" s="1870"/>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3">
        <f>O761+AC785+AC805</f>
        <v>452949.07</v>
      </c>
      <c r="Z808" s="1683"/>
      <c r="AA808" s="1683"/>
      <c r="AB808" s="1683"/>
      <c r="AC808" s="16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3">
        <f>(O761+AC785+AC805)*12</f>
        <v>5435388.8399999999</v>
      </c>
      <c r="Z809" s="1683"/>
      <c r="AA809" s="1683"/>
      <c r="AB809" s="1683"/>
      <c r="AC809" s="16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1">
        <f>CP761+CP785+CP805</f>
        <v>0</v>
      </c>
      <c r="CQ810" s="1552"/>
      <c r="CR810" s="1552"/>
      <c r="CS810" s="1552"/>
      <c r="CT810" s="1553"/>
      <c r="CU810" s="1551">
        <f>CU761+CU785+CU805</f>
        <v>130</v>
      </c>
      <c r="CV810" s="1552"/>
      <c r="CW810" s="1552"/>
      <c r="CX810" s="1552"/>
      <c r="CY810" s="1553"/>
      <c r="CZ810" s="1551">
        <f>CZ761+CZ785+CZ805</f>
        <v>120</v>
      </c>
      <c r="DA810" s="1552"/>
      <c r="DB810" s="1552"/>
      <c r="DC810" s="1552"/>
      <c r="DD810" s="1553"/>
      <c r="DE810" s="1551">
        <f>DE761+DE785+DE805</f>
        <v>98</v>
      </c>
      <c r="DF810" s="1552"/>
      <c r="DG810" s="1552"/>
      <c r="DH810" s="1552"/>
      <c r="DI810" s="1553"/>
      <c r="DJ810" s="1551">
        <f>DJ761+DJ785+DJ805</f>
        <v>0</v>
      </c>
      <c r="DK810" s="1552"/>
      <c r="DL810" s="1552"/>
      <c r="DM810" s="1552"/>
      <c r="DN810" s="1553"/>
      <c r="DO810" s="1542">
        <f>DO805+DO785+DO761</f>
        <v>0</v>
      </c>
      <c r="DP810" s="1549"/>
      <c r="DQ810" s="1549"/>
      <c r="DR810" s="1549"/>
      <c r="DS810" s="1543"/>
      <c r="DT810" s="3"/>
      <c r="DU810" s="857">
        <f>DU763+DU808</f>
        <v>655</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47">
        <v>0</v>
      </c>
      <c r="AA814" s="1648"/>
      <c r="AB814" s="1648"/>
      <c r="AC814" s="1648"/>
      <c r="AD814" s="1648"/>
      <c r="AE814" s="164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1">
        <v>0</v>
      </c>
      <c r="AA815" s="1648"/>
      <c r="AB815" s="1648"/>
      <c r="AC815" s="1648"/>
      <c r="AD815" s="1648"/>
      <c r="AE815" s="164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3">
        <v>0</v>
      </c>
      <c r="AA816" s="1624"/>
      <c r="AB816" s="1624"/>
      <c r="AC816" s="1624"/>
      <c r="AD816" s="1624"/>
      <c r="AE816" s="162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4">
        <f>'Subsidy Contract Calculation'!J40</f>
        <v>0</v>
      </c>
      <c r="AA817" s="1525"/>
      <c r="AB817" s="1525"/>
      <c r="AC817" s="1525"/>
      <c r="AD817" s="1525"/>
      <c r="AE817" s="152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6"/>
      <c r="AA821" s="1487"/>
      <c r="AB821" s="1487"/>
      <c r="AC821" s="1487"/>
      <c r="AD821" s="1487"/>
      <c r="AE821" s="148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6"/>
      <c r="AA822" s="1487"/>
      <c r="AB822" s="1487"/>
      <c r="AC822" s="1487"/>
      <c r="AD822" s="1487"/>
      <c r="AE822" s="148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6"/>
      <c r="AA823" s="1487"/>
      <c r="AB823" s="1487"/>
      <c r="AC823" s="1487"/>
      <c r="AD823" s="1487"/>
      <c r="AE823" s="148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4" t="s">
        <v>334</v>
      </c>
      <c r="Q824" s="1655"/>
      <c r="R824" s="1655"/>
      <c r="S824" s="1655"/>
      <c r="T824" s="1655"/>
      <c r="U824" s="1655"/>
      <c r="V824" s="1655"/>
      <c r="W824" s="1655"/>
      <c r="X824" s="1655"/>
      <c r="Y824" s="1656"/>
      <c r="Z824" s="1486"/>
      <c r="AA824" s="1487"/>
      <c r="AB824" s="1487"/>
      <c r="AC824" s="1487"/>
      <c r="AD824" s="1487"/>
      <c r="AE824" s="148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4">
        <f>SUM(Z821:AE824)</f>
        <v>0</v>
      </c>
      <c r="AA825" s="1525"/>
      <c r="AB825" s="1525"/>
      <c r="AC825" s="1525"/>
      <c r="AD825" s="1525"/>
      <c r="AE825" s="152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24">
        <f>Z825+Y809+Z817</f>
        <v>5435388.8399999999</v>
      </c>
      <c r="AA826" s="1525"/>
      <c r="AB826" s="1525"/>
      <c r="AC826" s="1525"/>
      <c r="AD826" s="1525"/>
      <c r="AE826" s="152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1" t="s">
        <v>126</v>
      </c>
      <c r="N831" s="1601"/>
      <c r="O831" s="1601"/>
      <c r="P831" s="1675"/>
      <c r="Q831" s="1690" t="s">
        <v>290</v>
      </c>
      <c r="R831" s="1690"/>
      <c r="S831" s="1690"/>
      <c r="T831" s="1690"/>
      <c r="U831" s="1690" t="s">
        <v>291</v>
      </c>
      <c r="V831" s="1690"/>
      <c r="W831" s="1690"/>
      <c r="X831" s="1690"/>
      <c r="Y831" s="1690" t="s">
        <v>292</v>
      </c>
      <c r="Z831" s="1690"/>
      <c r="AA831" s="1690"/>
      <c r="AB831" s="1690"/>
      <c r="AC831" s="1690" t="s">
        <v>361</v>
      </c>
      <c r="AD831" s="1690"/>
      <c r="AE831" s="1690"/>
      <c r="AF831" s="1690"/>
      <c r="AG831" s="1744" t="s">
        <v>335</v>
      </c>
      <c r="AH831" s="1744"/>
      <c r="AI831" s="1744"/>
      <c r="AJ831" s="1744"/>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05"/>
      <c r="N832" s="1605"/>
      <c r="O832" s="1605"/>
      <c r="P832" s="1643"/>
      <c r="Q832" s="1690"/>
      <c r="R832" s="1690"/>
      <c r="S832" s="1690"/>
      <c r="T832" s="1690"/>
      <c r="U832" s="1690"/>
      <c r="V832" s="1690"/>
      <c r="W832" s="1690"/>
      <c r="X832" s="1690"/>
      <c r="Y832" s="1690"/>
      <c r="Z832" s="1690"/>
      <c r="AA832" s="1690"/>
      <c r="AB832" s="1690"/>
      <c r="AC832" s="1690"/>
      <c r="AD832" s="1690"/>
      <c r="AE832" s="1690"/>
      <c r="AF832" s="1690"/>
      <c r="AG832" s="1744"/>
      <c r="AH832" s="1744"/>
      <c r="AI832" s="1744"/>
      <c r="AJ832" s="1744"/>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29" t="s">
        <v>40</v>
      </c>
      <c r="D833" s="1489"/>
      <c r="E833" s="1489"/>
      <c r="F833" s="1489"/>
      <c r="G833" s="1489"/>
      <c r="H833" s="1489"/>
      <c r="I833" s="48"/>
      <c r="J833" s="48"/>
      <c r="K833" s="48"/>
      <c r="L833" s="49"/>
      <c r="M833" s="1657"/>
      <c r="N833" s="1657"/>
      <c r="O833" s="1657"/>
      <c r="P833" s="1657"/>
      <c r="Q833" s="1657">
        <v>0.02</v>
      </c>
      <c r="R833" s="1657"/>
      <c r="S833" s="1657"/>
      <c r="T833" s="1657"/>
      <c r="U833" s="1657">
        <v>0.75</v>
      </c>
      <c r="V833" s="1657"/>
      <c r="W833" s="1657"/>
      <c r="X833" s="1657"/>
      <c r="Y833" s="1657">
        <v>5.34</v>
      </c>
      <c r="Z833" s="1657"/>
      <c r="AA833" s="1657"/>
      <c r="AB833" s="1657"/>
      <c r="AC833" s="1554"/>
      <c r="AD833" s="1555"/>
      <c r="AE833" s="1555"/>
      <c r="AF833" s="1556"/>
      <c r="AG833" s="1554"/>
      <c r="AH833" s="1555"/>
      <c r="AI833" s="1555"/>
      <c r="AJ833" s="155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1" t="s">
        <v>41</v>
      </c>
      <c r="D834" s="1722"/>
      <c r="E834" s="1722"/>
      <c r="F834" s="1722"/>
      <c r="G834" s="1722"/>
      <c r="H834" s="1722"/>
      <c r="I834" s="5"/>
      <c r="J834" s="5"/>
      <c r="K834" s="5"/>
      <c r="L834" s="46"/>
      <c r="M834" s="1657"/>
      <c r="N834" s="1657"/>
      <c r="O834" s="1657"/>
      <c r="P834" s="1657"/>
      <c r="Q834" s="1657">
        <v>16.579999999999998</v>
      </c>
      <c r="R834" s="1657"/>
      <c r="S834" s="1657"/>
      <c r="T834" s="1657"/>
      <c r="U834" s="1657">
        <v>18.38</v>
      </c>
      <c r="V834" s="1657"/>
      <c r="W834" s="1657"/>
      <c r="X834" s="1657"/>
      <c r="Y834" s="1657">
        <v>19.34</v>
      </c>
      <c r="Z834" s="1657"/>
      <c r="AA834" s="1657"/>
      <c r="AB834" s="1657"/>
      <c r="AC834" s="1554"/>
      <c r="AD834" s="1555"/>
      <c r="AE834" s="1555"/>
      <c r="AF834" s="1556"/>
      <c r="AG834" s="1554"/>
      <c r="AH834" s="1555"/>
      <c r="AI834" s="1555"/>
      <c r="AJ834" s="155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1" t="s">
        <v>42</v>
      </c>
      <c r="D835" s="1722"/>
      <c r="E835" s="1722"/>
      <c r="F835" s="1722"/>
      <c r="G835" s="1722"/>
      <c r="H835" s="1722"/>
      <c r="I835" s="60"/>
      <c r="J835" s="60"/>
      <c r="K835" s="60"/>
      <c r="L835" s="61"/>
      <c r="M835" s="1657"/>
      <c r="N835" s="1657"/>
      <c r="O835" s="1657"/>
      <c r="P835" s="1657"/>
      <c r="Q835" s="1657">
        <v>12.05</v>
      </c>
      <c r="R835" s="1657"/>
      <c r="S835" s="1657"/>
      <c r="T835" s="1657"/>
      <c r="U835" s="1657">
        <v>13.59</v>
      </c>
      <c r="V835" s="1657"/>
      <c r="W835" s="1657"/>
      <c r="X835" s="1657"/>
      <c r="Y835" s="1657">
        <v>14.63</v>
      </c>
      <c r="Z835" s="1657"/>
      <c r="AA835" s="1657"/>
      <c r="AB835" s="1657"/>
      <c r="AC835" s="1554"/>
      <c r="AD835" s="1555"/>
      <c r="AE835" s="1555"/>
      <c r="AF835" s="1556"/>
      <c r="AG835" s="1554"/>
      <c r="AH835" s="1555"/>
      <c r="AI835" s="1555"/>
      <c r="AJ835" s="155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1" t="s">
        <v>762</v>
      </c>
      <c r="D836" s="1722"/>
      <c r="E836" s="1722"/>
      <c r="F836" s="1722"/>
      <c r="G836" s="1722"/>
      <c r="H836" s="1722"/>
      <c r="I836" s="60"/>
      <c r="J836" s="60"/>
      <c r="K836" s="60"/>
      <c r="L836" s="61"/>
      <c r="M836" s="1657"/>
      <c r="N836" s="1657"/>
      <c r="O836" s="1657"/>
      <c r="P836" s="1657"/>
      <c r="Q836" s="1657">
        <v>8.23</v>
      </c>
      <c r="R836" s="1657"/>
      <c r="S836" s="1657"/>
      <c r="T836" s="1657"/>
      <c r="U836" s="1657">
        <v>9.51</v>
      </c>
      <c r="V836" s="1657"/>
      <c r="W836" s="1657"/>
      <c r="X836" s="1657"/>
      <c r="Y836" s="1657">
        <v>11.05</v>
      </c>
      <c r="Z836" s="1657"/>
      <c r="AA836" s="1657"/>
      <c r="AB836" s="1657"/>
      <c r="AC836" s="1554"/>
      <c r="AD836" s="1555"/>
      <c r="AE836" s="1555"/>
      <c r="AF836" s="1556"/>
      <c r="AG836" s="1554"/>
      <c r="AH836" s="1555"/>
      <c r="AI836" s="1555"/>
      <c r="AJ836" s="155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1" t="s">
        <v>459</v>
      </c>
      <c r="D837" s="1722"/>
      <c r="E837" s="1722"/>
      <c r="F837" s="1722"/>
      <c r="G837" s="1722"/>
      <c r="H837" s="1722"/>
      <c r="I837" s="60"/>
      <c r="J837" s="60"/>
      <c r="K837" s="60"/>
      <c r="L837" s="61"/>
      <c r="M837" s="1657"/>
      <c r="N837" s="1657"/>
      <c r="O837" s="1657"/>
      <c r="P837" s="1657"/>
      <c r="Q837" s="1657">
        <v>30.81</v>
      </c>
      <c r="R837" s="1657"/>
      <c r="S837" s="1657"/>
      <c r="T837" s="1657"/>
      <c r="U837" s="1657">
        <v>34.86</v>
      </c>
      <c r="V837" s="1657"/>
      <c r="W837" s="1657"/>
      <c r="X837" s="1657"/>
      <c r="Y837" s="1657">
        <v>38.33</v>
      </c>
      <c r="Z837" s="1657"/>
      <c r="AA837" s="1657"/>
      <c r="AB837" s="1657"/>
      <c r="AC837" s="1554"/>
      <c r="AD837" s="1555"/>
      <c r="AE837" s="1555"/>
      <c r="AF837" s="1556"/>
      <c r="AG837" s="1554"/>
      <c r="AH837" s="1555"/>
      <c r="AI837" s="1555"/>
      <c r="AJ837" s="155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32" t="s">
        <v>783</v>
      </c>
      <c r="D838" s="1722"/>
      <c r="E838" s="1722"/>
      <c r="F838" s="1722"/>
      <c r="G838" s="1722"/>
      <c r="H838" s="1722"/>
      <c r="I838" s="60"/>
      <c r="J838" s="60"/>
      <c r="K838" s="60"/>
      <c r="L838" s="61"/>
      <c r="M838" s="1657"/>
      <c r="N838" s="1657"/>
      <c r="O838" s="1657"/>
      <c r="P838" s="1657"/>
      <c r="Q838" s="1657"/>
      <c r="R838" s="1657"/>
      <c r="S838" s="1657"/>
      <c r="T838" s="1657"/>
      <c r="U838" s="1657"/>
      <c r="V838" s="1657"/>
      <c r="W838" s="1657"/>
      <c r="X838" s="1657"/>
      <c r="Y838" s="1657"/>
      <c r="Z838" s="1657"/>
      <c r="AA838" s="1657"/>
      <c r="AB838" s="1657"/>
      <c r="AC838" s="1554"/>
      <c r="AD838" s="1555"/>
      <c r="AE838" s="1555"/>
      <c r="AF838" s="1556"/>
      <c r="AG838" s="1554"/>
      <c r="AH838" s="1555"/>
      <c r="AI838" s="1555"/>
      <c r="AJ838" s="155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4" t="s">
        <v>2712</v>
      </c>
      <c r="G839" s="1655"/>
      <c r="H839" s="1655"/>
      <c r="I839" s="1655"/>
      <c r="J839" s="1655"/>
      <c r="K839" s="1655"/>
      <c r="L839" s="1655"/>
      <c r="M839" s="1657"/>
      <c r="N839" s="1657"/>
      <c r="O839" s="1657"/>
      <c r="P839" s="1657"/>
      <c r="Q839" s="1657">
        <v>6.56</v>
      </c>
      <c r="R839" s="1657"/>
      <c r="S839" s="1657"/>
      <c r="T839" s="1657"/>
      <c r="U839" s="1657">
        <v>5.6</v>
      </c>
      <c r="V839" s="1657"/>
      <c r="W839" s="1657"/>
      <c r="X839" s="1657"/>
      <c r="Y839" s="1657">
        <v>7.06</v>
      </c>
      <c r="Z839" s="1657"/>
      <c r="AA839" s="1657"/>
      <c r="AB839" s="1657"/>
      <c r="AC839" s="1554"/>
      <c r="AD839" s="1555"/>
      <c r="AE839" s="1555"/>
      <c r="AF839" s="1556"/>
      <c r="AG839" s="1554"/>
      <c r="AH839" s="1555"/>
      <c r="AI839" s="1555"/>
      <c r="AJ839" s="155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677" t="s">
        <v>124</v>
      </c>
      <c r="D840" s="1678"/>
      <c r="E840" s="1678"/>
      <c r="F840" s="1678"/>
      <c r="G840" s="1678"/>
      <c r="H840" s="1678"/>
      <c r="I840" s="1678"/>
      <c r="J840" s="1678"/>
      <c r="K840" s="1678"/>
      <c r="L840" s="1679"/>
      <c r="M840" s="1674">
        <f>SUM(M833:P839)</f>
        <v>0</v>
      </c>
      <c r="N840" s="1674"/>
      <c r="O840" s="1674"/>
      <c r="P840" s="1674"/>
      <c r="Q840" s="1674">
        <f>SUM(Q833:T839)</f>
        <v>74.25</v>
      </c>
      <c r="R840" s="1674"/>
      <c r="S840" s="1674"/>
      <c r="T840" s="1674"/>
      <c r="U840" s="1674">
        <f>SUM(U833:X839)</f>
        <v>82.69</v>
      </c>
      <c r="V840" s="1674"/>
      <c r="W840" s="1674"/>
      <c r="X840" s="1674"/>
      <c r="Y840" s="1674">
        <f>SUM(Y833:AB839)</f>
        <v>95.75</v>
      </c>
      <c r="Z840" s="1674"/>
      <c r="AA840" s="1674"/>
      <c r="AB840" s="1674"/>
      <c r="AC840" s="1674">
        <f>SUM(AC833:AF839)</f>
        <v>0</v>
      </c>
      <c r="AD840" s="1674"/>
      <c r="AE840" s="1674"/>
      <c r="AF840" s="1674"/>
      <c r="AG840" s="1674">
        <f>SUM(AG833:AJ839)</f>
        <v>0</v>
      </c>
      <c r="AH840" s="1674"/>
      <c r="AI840" s="1674"/>
      <c r="AJ840" s="1674"/>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3" t="s">
        <v>2713</v>
      </c>
      <c r="D845" s="1724"/>
      <c r="E845" s="1724"/>
      <c r="F845" s="1724"/>
      <c r="G845" s="1724"/>
      <c r="H845" s="1724"/>
      <c r="I845" s="1724"/>
      <c r="J845" s="1724"/>
      <c r="K845" s="1724"/>
      <c r="L845" s="1724"/>
      <c r="M845" s="1724"/>
      <c r="N845" s="1724"/>
      <c r="O845" s="1724"/>
      <c r="P845" s="1724"/>
      <c r="Q845" s="1724"/>
      <c r="R845" s="1724"/>
      <c r="S845" s="1724"/>
      <c r="T845" s="1724"/>
      <c r="U845" s="1724"/>
      <c r="V845" s="1724"/>
      <c r="W845" s="1724"/>
      <c r="X845" s="1724"/>
      <c r="Y845" s="1724"/>
      <c r="Z845" s="1724"/>
      <c r="AA845" s="1724"/>
      <c r="AB845" s="1724"/>
      <c r="AC845" s="1724"/>
      <c r="AD845" s="1724"/>
      <c r="AE845" s="1724"/>
      <c r="AF845" s="1724"/>
      <c r="AG845" s="1724"/>
      <c r="AH845" s="1724"/>
      <c r="AI845" s="1724"/>
      <c r="AJ845" s="1725"/>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89"/>
      <c r="BJ849" s="1689"/>
      <c r="BK849" s="1689"/>
      <c r="BL849" s="1689"/>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482">
        <v>16862</v>
      </c>
      <c r="X850" s="1482"/>
      <c r="Y850" s="1482"/>
      <c r="Z850" s="1482"/>
      <c r="AA850" s="1482"/>
      <c r="AB850" s="1482"/>
      <c r="AC850" s="1482"/>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482">
        <v>66070</v>
      </c>
      <c r="X851" s="1482"/>
      <c r="Y851" s="1482"/>
      <c r="Z851" s="1482"/>
      <c r="AA851" s="1482"/>
      <c r="AB851" s="1482"/>
      <c r="AC851" s="1482"/>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482">
        <v>54906</v>
      </c>
      <c r="X852" s="1482"/>
      <c r="Y852" s="1482"/>
      <c r="Z852" s="1482"/>
      <c r="AA852" s="1482"/>
      <c r="AB852" s="1482"/>
      <c r="AC852" s="1482"/>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482">
        <v>71715</v>
      </c>
      <c r="X853" s="1482"/>
      <c r="Y853" s="1482"/>
      <c r="Z853" s="1482"/>
      <c r="AA853" s="1482"/>
      <c r="AB853" s="1482"/>
      <c r="AC853" s="1482"/>
      <c r="AZ853" s="30"/>
      <c r="BA853" s="30"/>
      <c r="BB853" s="14"/>
      <c r="BC853" s="14"/>
      <c r="BD853" s="14"/>
      <c r="BE853" s="14"/>
      <c r="BF853" s="14"/>
      <c r="BG853" s="14"/>
      <c r="BH853" s="14"/>
      <c r="BI853" s="14"/>
      <c r="BJ853" s="14"/>
      <c r="BK853" s="14"/>
      <c r="BL853" s="14"/>
    </row>
    <row r="854" spans="1:64" ht="12.95" customHeight="1">
      <c r="J854" s="45" t="s">
        <v>170</v>
      </c>
      <c r="K854" s="5"/>
      <c r="L854" s="5"/>
      <c r="M854" s="1654" t="s">
        <v>2731</v>
      </c>
      <c r="N854" s="1655"/>
      <c r="O854" s="1655"/>
      <c r="P854" s="1655"/>
      <c r="Q854" s="1655"/>
      <c r="R854" s="1655"/>
      <c r="S854" s="1655"/>
      <c r="T854" s="1655"/>
      <c r="U854" s="1655"/>
      <c r="V854" s="1656"/>
      <c r="W854" s="1482">
        <v>84730</v>
      </c>
      <c r="X854" s="1482"/>
      <c r="Y854" s="1482"/>
      <c r="Z854" s="1482"/>
      <c r="AA854" s="1482"/>
      <c r="AB854" s="1482"/>
      <c r="AC854" s="1482"/>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24">
        <f>SUM(W850:W854)</f>
        <v>294283</v>
      </c>
      <c r="X855" s="1525"/>
      <c r="Y855" s="1525"/>
      <c r="Z855" s="1525"/>
      <c r="AA855" s="1525"/>
      <c r="AB855" s="1525"/>
      <c r="AC855" s="152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2"/>
      <c r="BH856" s="1672"/>
      <c r="BI856" s="1672"/>
      <c r="BJ856" s="1672"/>
      <c r="BK856" s="1672"/>
      <c r="BL856" s="1672"/>
    </row>
    <row r="857" spans="1:64" ht="12.95" customHeight="1">
      <c r="C857" s="2" t="s">
        <v>344</v>
      </c>
      <c r="J857" s="1677" t="s">
        <v>345</v>
      </c>
      <c r="K857" s="1678"/>
      <c r="L857" s="1678"/>
      <c r="M857" s="1678"/>
      <c r="N857" s="1678"/>
      <c r="O857" s="1678"/>
      <c r="P857" s="1678"/>
      <c r="Q857" s="1678"/>
      <c r="R857" s="1678"/>
      <c r="S857" s="1678"/>
      <c r="T857" s="1678"/>
      <c r="U857" s="1678"/>
      <c r="V857" s="1679"/>
      <c r="W857" s="1486">
        <v>235531</v>
      </c>
      <c r="X857" s="1487"/>
      <c r="Y857" s="1487"/>
      <c r="Z857" s="1487"/>
      <c r="AA857" s="1487"/>
      <c r="AB857" s="1487"/>
      <c r="AC857" s="1488"/>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76">
        <v>0</v>
      </c>
      <c r="X859" s="1676"/>
      <c r="Y859" s="1676"/>
      <c r="Z859" s="1676"/>
      <c r="AA859" s="1676"/>
      <c r="AB859" s="1676"/>
      <c r="AC859" s="1676"/>
      <c r="AZ859" s="1736"/>
      <c r="BA859" s="1736"/>
      <c r="BB859" s="14"/>
      <c r="BC859" s="14"/>
    </row>
    <row r="860" spans="1:64" ht="12.95" customHeight="1">
      <c r="J860" s="45" t="s">
        <v>351</v>
      </c>
      <c r="K860" s="5"/>
      <c r="L860" s="5"/>
      <c r="M860" s="5"/>
      <c r="N860" s="5"/>
      <c r="O860" s="5"/>
      <c r="P860" s="5"/>
      <c r="Q860" s="5"/>
      <c r="R860" s="5"/>
      <c r="S860" s="5"/>
      <c r="T860" s="5"/>
      <c r="U860" s="5"/>
      <c r="V860" s="46"/>
      <c r="W860" s="1676">
        <v>59450</v>
      </c>
      <c r="X860" s="1676"/>
      <c r="Y860" s="1676"/>
      <c r="Z860" s="1676"/>
      <c r="AA860" s="1676"/>
      <c r="AB860" s="1676"/>
      <c r="AC860" s="1676"/>
      <c r="AZ860" s="30"/>
      <c r="BA860" s="30"/>
      <c r="BB860" s="14"/>
      <c r="BC860" s="14"/>
    </row>
    <row r="861" spans="1:64" ht="12.95" customHeight="1">
      <c r="J861" s="45" t="s">
        <v>459</v>
      </c>
      <c r="K861" s="5"/>
      <c r="L861" s="5"/>
      <c r="M861" s="5"/>
      <c r="N861" s="5"/>
      <c r="O861" s="5"/>
      <c r="P861" s="5"/>
      <c r="Q861" s="5"/>
      <c r="R861" s="5"/>
      <c r="S861" s="5"/>
      <c r="T861" s="5"/>
      <c r="U861" s="5"/>
      <c r="V861" s="46"/>
      <c r="W861" s="1676">
        <v>105579</v>
      </c>
      <c r="X861" s="1676"/>
      <c r="Y861" s="1676"/>
      <c r="Z861" s="1676"/>
      <c r="AA861" s="1676"/>
      <c r="AB861" s="1676"/>
      <c r="AC861" s="1676"/>
      <c r="AZ861" s="30"/>
      <c r="BA861" s="30"/>
      <c r="BB861" s="14"/>
      <c r="BC861" s="14"/>
    </row>
    <row r="862" spans="1:64" ht="12.95" customHeight="1">
      <c r="J862" s="62" t="s">
        <v>620</v>
      </c>
      <c r="K862" s="5"/>
      <c r="L862" s="5"/>
      <c r="M862" s="5"/>
      <c r="N862" s="5"/>
      <c r="O862" s="5"/>
      <c r="P862" s="5"/>
      <c r="Q862" s="5"/>
      <c r="R862" s="5"/>
      <c r="S862" s="5"/>
      <c r="T862" s="5"/>
      <c r="U862" s="5"/>
      <c r="V862" s="46"/>
      <c r="W862" s="1676">
        <v>113535</v>
      </c>
      <c r="X862" s="1676"/>
      <c r="Y862" s="1676"/>
      <c r="Z862" s="1676"/>
      <c r="AA862" s="1676"/>
      <c r="AB862" s="1676"/>
      <c r="AC862" s="1676"/>
      <c r="AZ862" s="34"/>
      <c r="BA862" s="34"/>
      <c r="BB862" s="34"/>
      <c r="BC862" s="34"/>
    </row>
    <row r="863" spans="1:64" ht="12.95" customHeight="1">
      <c r="J863" s="63"/>
      <c r="K863" s="48"/>
      <c r="L863" s="48"/>
      <c r="M863" s="48"/>
      <c r="N863" s="48"/>
      <c r="O863" s="48"/>
      <c r="P863" s="48"/>
      <c r="Q863" s="48"/>
      <c r="R863" s="48"/>
      <c r="S863" s="48"/>
      <c r="T863" s="48"/>
      <c r="U863" s="48"/>
      <c r="V863" s="54" t="s">
        <v>272</v>
      </c>
      <c r="W863" s="1726">
        <f>SUM(W859:W862)</f>
        <v>278564</v>
      </c>
      <c r="X863" s="1726"/>
      <c r="Y863" s="1726"/>
      <c r="Z863" s="1726"/>
      <c r="AA863" s="1726"/>
      <c r="AB863" s="1726"/>
      <c r="AC863" s="1726"/>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58">
        <f>197146+21245-1</f>
        <v>218390</v>
      </c>
      <c r="X865" s="1659"/>
      <c r="Y865" s="1659"/>
      <c r="Z865" s="1659"/>
      <c r="AA865" s="1659"/>
      <c r="AB865" s="1659"/>
      <c r="AC865" s="1660"/>
      <c r="AD865" s="528"/>
      <c r="AZ865" s="34"/>
      <c r="BA865" s="34"/>
      <c r="BB865" s="34"/>
      <c r="BC865" s="34"/>
    </row>
    <row r="866" spans="3:55" ht="12.95" customHeight="1">
      <c r="C866" s="2" t="s">
        <v>347</v>
      </c>
      <c r="J866" s="121" t="s">
        <v>1644</v>
      </c>
      <c r="K866" s="5"/>
      <c r="L866" s="5"/>
      <c r="M866" s="5"/>
      <c r="N866" s="5"/>
      <c r="O866" s="5"/>
      <c r="P866" s="5"/>
      <c r="Q866" s="5"/>
      <c r="R866" s="5"/>
      <c r="S866" s="5"/>
      <c r="T866" s="1727">
        <v>8</v>
      </c>
      <c r="U866" s="1692"/>
      <c r="V866" s="1728"/>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58">
        <f>164459+13690</f>
        <v>178149</v>
      </c>
      <c r="X867" s="1659"/>
      <c r="Y867" s="1659"/>
      <c r="Z867" s="1659"/>
      <c r="AA867" s="1659"/>
      <c r="AB867" s="1659"/>
      <c r="AC867" s="1660"/>
      <c r="AD867" s="533"/>
      <c r="AZ867" s="34"/>
      <c r="BA867" s="34"/>
      <c r="BB867" s="34"/>
      <c r="BC867" s="34"/>
    </row>
    <row r="868" spans="3:55" ht="12.95" customHeight="1">
      <c r="C868" s="2"/>
      <c r="J868" s="121" t="s">
        <v>1645</v>
      </c>
      <c r="K868" s="5"/>
      <c r="L868" s="5"/>
      <c r="M868" s="5"/>
      <c r="N868" s="5"/>
      <c r="O868" s="5"/>
      <c r="P868" s="5"/>
      <c r="Q868" s="5"/>
      <c r="R868" s="5"/>
      <c r="S868" s="5"/>
      <c r="T868" s="1727">
        <v>5</v>
      </c>
      <c r="U868" s="1692"/>
      <c r="V868" s="1728"/>
      <c r="W868" s="870"/>
      <c r="X868" s="871"/>
      <c r="Y868" s="871"/>
      <c r="Z868" s="871"/>
      <c r="AA868" s="871"/>
      <c r="AB868" s="871"/>
      <c r="AC868" s="872"/>
      <c r="AD868" s="533"/>
      <c r="AZ868" s="34"/>
      <c r="BA868" s="34"/>
      <c r="BB868" s="34"/>
      <c r="BC868" s="34"/>
    </row>
    <row r="869" spans="3:55" ht="12.95" customHeight="1">
      <c r="J869" s="45" t="s">
        <v>170</v>
      </c>
      <c r="K869" s="5"/>
      <c r="L869" s="5"/>
      <c r="M869" s="1654" t="s">
        <v>2739</v>
      </c>
      <c r="N869" s="1655"/>
      <c r="O869" s="1655"/>
      <c r="P869" s="1655"/>
      <c r="Q869" s="1655"/>
      <c r="R869" s="1655"/>
      <c r="S869" s="1655"/>
      <c r="T869" s="1655"/>
      <c r="U869" s="1655"/>
      <c r="V869" s="1656"/>
      <c r="W869" s="1658">
        <v>89661</v>
      </c>
      <c r="X869" s="1659"/>
      <c r="Y869" s="1659"/>
      <c r="Z869" s="1659"/>
      <c r="AA869" s="1659"/>
      <c r="AB869" s="1659"/>
      <c r="AC869" s="1660"/>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29">
        <f>SUM(W865:W869)</f>
        <v>486200</v>
      </c>
      <c r="X870" s="1730"/>
      <c r="Y870" s="1730"/>
      <c r="Z870" s="1730"/>
      <c r="AA870" s="1730"/>
      <c r="AB870" s="1730"/>
      <c r="AC870" s="1731"/>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8">
        <v>176942</v>
      </c>
      <c r="X872" s="1659"/>
      <c r="Y872" s="1659"/>
      <c r="Z872" s="1659"/>
      <c r="AA872" s="1659"/>
      <c r="AB872" s="1659"/>
      <c r="AC872" s="1660"/>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482">
        <v>15678</v>
      </c>
      <c r="X874" s="1482"/>
      <c r="Y874" s="1482"/>
      <c r="Z874" s="1482"/>
      <c r="AA874" s="1482"/>
      <c r="AB874" s="1482"/>
      <c r="AC874" s="1482"/>
      <c r="AU874" s="14"/>
      <c r="AZ874" s="34"/>
      <c r="BA874" s="34"/>
      <c r="BB874" s="34"/>
      <c r="BC874" s="34"/>
    </row>
    <row r="875" spans="3:55" ht="12.95" customHeight="1">
      <c r="J875" s="45" t="s">
        <v>522</v>
      </c>
      <c r="K875" s="5"/>
      <c r="L875" s="5"/>
      <c r="M875" s="5"/>
      <c r="N875" s="5"/>
      <c r="O875" s="5"/>
      <c r="P875" s="5"/>
      <c r="Q875" s="5"/>
      <c r="R875" s="5"/>
      <c r="S875" s="5"/>
      <c r="T875" s="5"/>
      <c r="U875" s="5"/>
      <c r="V875" s="46"/>
      <c r="W875" s="1482">
        <v>46458</v>
      </c>
      <c r="X875" s="1482"/>
      <c r="Y875" s="1482"/>
      <c r="Z875" s="1482"/>
      <c r="AA875" s="1482"/>
      <c r="AB875" s="1482"/>
      <c r="AC875" s="1482"/>
      <c r="AU875" s="4"/>
      <c r="AZ875" s="34"/>
      <c r="BA875" s="34"/>
      <c r="BB875" s="34"/>
      <c r="BC875" s="34"/>
    </row>
    <row r="876" spans="3:55" ht="12.95" customHeight="1">
      <c r="J876" s="45" t="s">
        <v>521</v>
      </c>
      <c r="K876" s="5"/>
      <c r="L876" s="5"/>
      <c r="M876" s="5"/>
      <c r="N876" s="5"/>
      <c r="O876" s="5"/>
      <c r="P876" s="5"/>
      <c r="Q876" s="5"/>
      <c r="R876" s="5"/>
      <c r="S876" s="5"/>
      <c r="T876" s="5"/>
      <c r="U876" s="5"/>
      <c r="V876" s="46"/>
      <c r="W876" s="1482">
        <v>44143</v>
      </c>
      <c r="X876" s="1482"/>
      <c r="Y876" s="1482"/>
      <c r="Z876" s="1482"/>
      <c r="AA876" s="1482"/>
      <c r="AB876" s="1482"/>
      <c r="AC876" s="1482"/>
      <c r="AU876" s="4"/>
      <c r="AZ876" s="34"/>
      <c r="BA876" s="34"/>
      <c r="BB876" s="34"/>
      <c r="BC876" s="34"/>
    </row>
    <row r="877" spans="3:55" ht="12.95" customHeight="1">
      <c r="J877" s="45" t="s">
        <v>520</v>
      </c>
      <c r="K877" s="5"/>
      <c r="L877" s="5"/>
      <c r="M877" s="5"/>
      <c r="N877" s="5"/>
      <c r="O877" s="5"/>
      <c r="P877" s="5"/>
      <c r="Q877" s="5"/>
      <c r="R877" s="5"/>
      <c r="S877" s="5"/>
      <c r="T877" s="5"/>
      <c r="U877" s="5"/>
      <c r="V877" s="46"/>
      <c r="W877" s="1482">
        <v>20518</v>
      </c>
      <c r="X877" s="1482"/>
      <c r="Y877" s="1482"/>
      <c r="Z877" s="1482"/>
      <c r="AA877" s="1482"/>
      <c r="AB877" s="1482"/>
      <c r="AC877" s="1482"/>
      <c r="AU877" s="4"/>
      <c r="AZ877" s="34"/>
      <c r="BA877" s="34"/>
      <c r="BB877" s="34"/>
      <c r="BC877" s="34"/>
    </row>
    <row r="878" spans="3:55" ht="12.95" customHeight="1">
      <c r="J878" s="45" t="s">
        <v>519</v>
      </c>
      <c r="K878" s="5"/>
      <c r="L878" s="5"/>
      <c r="M878" s="5"/>
      <c r="N878" s="5"/>
      <c r="O878" s="5"/>
      <c r="P878" s="5"/>
      <c r="Q878" s="5"/>
      <c r="R878" s="5"/>
      <c r="S878" s="5"/>
      <c r="T878" s="5"/>
      <c r="U878" s="5"/>
      <c r="V878" s="46"/>
      <c r="W878" s="1482">
        <v>74582</v>
      </c>
      <c r="X878" s="1482"/>
      <c r="Y878" s="1482"/>
      <c r="Z878" s="1482"/>
      <c r="AA878" s="1482"/>
      <c r="AB878" s="1482"/>
      <c r="AC878" s="1482"/>
      <c r="AU878" s="4"/>
      <c r="AZ878" s="34"/>
      <c r="BA878" s="34"/>
      <c r="BB878" s="34"/>
      <c r="BC878" s="34"/>
    </row>
    <row r="879" spans="3:55" ht="12.95" customHeight="1">
      <c r="J879" s="45" t="s">
        <v>518</v>
      </c>
      <c r="K879" s="5"/>
      <c r="L879" s="5"/>
      <c r="M879" s="5"/>
      <c r="N879" s="5"/>
      <c r="O879" s="5"/>
      <c r="P879" s="5"/>
      <c r="Q879" s="5"/>
      <c r="R879" s="5"/>
      <c r="S879" s="5"/>
      <c r="T879" s="5"/>
      <c r="U879" s="5"/>
      <c r="V879" s="46"/>
      <c r="W879" s="1482">
        <v>7524</v>
      </c>
      <c r="X879" s="1482"/>
      <c r="Y879" s="1482"/>
      <c r="Z879" s="1482"/>
      <c r="AA879" s="1482"/>
      <c r="AB879" s="1482"/>
      <c r="AC879" s="1482"/>
      <c r="AU879" s="4"/>
      <c r="AZ879" s="34"/>
      <c r="BA879" s="34"/>
      <c r="BB879" s="34"/>
      <c r="BC879" s="34"/>
    </row>
    <row r="880" spans="3:55" ht="12.95" customHeight="1">
      <c r="J880" s="45" t="s">
        <v>170</v>
      </c>
      <c r="K880" s="5"/>
      <c r="L880" s="5"/>
      <c r="M880" s="1654" t="s">
        <v>2732</v>
      </c>
      <c r="N880" s="1655"/>
      <c r="O880" s="1655"/>
      <c r="P880" s="1655"/>
      <c r="Q880" s="1655"/>
      <c r="R880" s="1655"/>
      <c r="S880" s="1655"/>
      <c r="T880" s="1655"/>
      <c r="U880" s="1655"/>
      <c r="V880" s="1656"/>
      <c r="W880" s="1482">
        <v>52617</v>
      </c>
      <c r="X880" s="1482"/>
      <c r="Y880" s="1482"/>
      <c r="Z880" s="1482"/>
      <c r="AA880" s="1482"/>
      <c r="AB880" s="1482"/>
      <c r="AC880" s="1482"/>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3">
        <f>SUM(W874:W880)</f>
        <v>261520</v>
      </c>
      <c r="X881" s="1683"/>
      <c r="Y881" s="1683"/>
      <c r="Z881" s="1683"/>
      <c r="AA881" s="1683"/>
      <c r="AB881" s="1683"/>
      <c r="AC881" s="168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54" t="s">
        <v>334</v>
      </c>
      <c r="N883" s="1655"/>
      <c r="O883" s="1655"/>
      <c r="P883" s="1655"/>
      <c r="Q883" s="1655"/>
      <c r="R883" s="1655"/>
      <c r="S883" s="1655"/>
      <c r="T883" s="1655"/>
      <c r="U883" s="1655"/>
      <c r="V883" s="1656"/>
      <c r="W883" s="1486"/>
      <c r="X883" s="1487"/>
      <c r="Y883" s="1487"/>
      <c r="Z883" s="1487"/>
      <c r="AA883" s="1487"/>
      <c r="AB883" s="1487"/>
      <c r="AC883" s="1488"/>
      <c r="AD883" s="533"/>
      <c r="AV883" s="14"/>
      <c r="AW883" s="14"/>
      <c r="AX883" s="14"/>
      <c r="AY883" s="14"/>
      <c r="AZ883" s="34"/>
      <c r="BA883" s="34"/>
      <c r="BB883" s="34"/>
      <c r="BC883" s="34"/>
    </row>
    <row r="884" spans="3:55" ht="12.95" customHeight="1">
      <c r="C884" s="2" t="s">
        <v>1244</v>
      </c>
      <c r="J884" s="45" t="s">
        <v>170</v>
      </c>
      <c r="K884" s="5"/>
      <c r="L884" s="5"/>
      <c r="M884" s="1654" t="s">
        <v>334</v>
      </c>
      <c r="N884" s="1655"/>
      <c r="O884" s="1655"/>
      <c r="P884" s="1655"/>
      <c r="Q884" s="1655"/>
      <c r="R884" s="1655"/>
      <c r="S884" s="1655"/>
      <c r="T884" s="1655"/>
      <c r="U884" s="1655"/>
      <c r="V884" s="1656"/>
      <c r="W884" s="1486"/>
      <c r="X884" s="1487"/>
      <c r="Y884" s="1487"/>
      <c r="Z884" s="1487"/>
      <c r="AA884" s="1487"/>
      <c r="AB884" s="1487"/>
      <c r="AC884" s="1488"/>
      <c r="AD884" s="533"/>
      <c r="AV884" s="14"/>
      <c r="AW884" s="14"/>
      <c r="AX884" s="14"/>
      <c r="AY884" s="14"/>
      <c r="AZ884" s="34"/>
      <c r="BA884" s="34"/>
      <c r="BB884" s="34"/>
      <c r="BC884" s="34"/>
    </row>
    <row r="885" spans="3:55" ht="12.95" customHeight="1">
      <c r="J885" s="45" t="s">
        <v>170</v>
      </c>
      <c r="K885" s="5"/>
      <c r="L885" s="5"/>
      <c r="M885" s="1654" t="s">
        <v>334</v>
      </c>
      <c r="N885" s="1655"/>
      <c r="O885" s="1655"/>
      <c r="P885" s="1655"/>
      <c r="Q885" s="1655"/>
      <c r="R885" s="1655"/>
      <c r="S885" s="1655"/>
      <c r="T885" s="1655"/>
      <c r="U885" s="1655"/>
      <c r="V885" s="1656"/>
      <c r="W885" s="1486"/>
      <c r="X885" s="1487"/>
      <c r="Y885" s="1487"/>
      <c r="Z885" s="1487"/>
      <c r="AA885" s="1487"/>
      <c r="AB885" s="1487"/>
      <c r="AC885" s="1488"/>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4" t="s">
        <v>334</v>
      </c>
      <c r="N886" s="1655"/>
      <c r="O886" s="1655"/>
      <c r="P886" s="1655"/>
      <c r="Q886" s="1655"/>
      <c r="R886" s="1655"/>
      <c r="S886" s="1655"/>
      <c r="T886" s="1655"/>
      <c r="U886" s="1655"/>
      <c r="V886" s="1656"/>
      <c r="W886" s="1486"/>
      <c r="X886" s="1487"/>
      <c r="Y886" s="1487"/>
      <c r="Z886" s="1487"/>
      <c r="AA886" s="1487"/>
      <c r="AB886" s="1487"/>
      <c r="AC886" s="1488"/>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4" t="s">
        <v>334</v>
      </c>
      <c r="N887" s="1655"/>
      <c r="O887" s="1655"/>
      <c r="P887" s="1655"/>
      <c r="Q887" s="1655"/>
      <c r="R887" s="1655"/>
      <c r="S887" s="1655"/>
      <c r="T887" s="1655"/>
      <c r="U887" s="1655"/>
      <c r="V887" s="1656"/>
      <c r="W887" s="1486"/>
      <c r="X887" s="1487"/>
      <c r="Y887" s="1487"/>
      <c r="Z887" s="1487"/>
      <c r="AA887" s="1487"/>
      <c r="AB887" s="1487"/>
      <c r="AC887" s="1488"/>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24">
        <f>SUM(W883:W887)</f>
        <v>0</v>
      </c>
      <c r="X888" s="1525"/>
      <c r="Y888" s="1525"/>
      <c r="Z888" s="1525"/>
      <c r="AA888" s="1525"/>
      <c r="AB888" s="1525"/>
      <c r="AC888" s="152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5">
        <f>W855+W863+W870+W872+W881+W888+W857</f>
        <v>1733040</v>
      </c>
      <c r="AD892" s="1525"/>
      <c r="AE892" s="1525"/>
      <c r="AF892" s="1525"/>
      <c r="AG892" s="1525"/>
      <c r="AH892" s="152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37">
        <f>O805+O785+G761</f>
        <v>348</v>
      </c>
      <c r="AD893" s="1737"/>
      <c r="AE893" s="1737"/>
      <c r="AF893" s="1737"/>
      <c r="AG893" s="1737"/>
      <c r="AH893" s="1738"/>
      <c r="AL893" s="4"/>
      <c r="AM893" s="4"/>
      <c r="AN893" s="4"/>
      <c r="AO893" s="4"/>
      <c r="AP893" s="4"/>
      <c r="AQ893" s="4"/>
      <c r="AR893" s="4"/>
      <c r="AS893" s="4"/>
      <c r="AT893" s="4"/>
      <c r="AZ893" s="34"/>
      <c r="BA893" s="34"/>
      <c r="BB893" s="34"/>
      <c r="BC893" s="34"/>
    </row>
    <row r="894" spans="3:55" ht="12.95" customHeight="1">
      <c r="C894" s="41"/>
      <c r="D894" s="42"/>
      <c r="E894" s="1734" t="s">
        <v>32</v>
      </c>
      <c r="F894" s="1734"/>
      <c r="G894" s="1734"/>
      <c r="H894" s="1734"/>
      <c r="I894" s="1734"/>
      <c r="J894" s="1734"/>
      <c r="K894" s="1734"/>
      <c r="L894" s="1734"/>
      <c r="M894" s="1734"/>
      <c r="N894" s="1734"/>
      <c r="O894" s="1734"/>
      <c r="P894" s="1734"/>
      <c r="Q894" s="1734"/>
      <c r="R894" s="1734"/>
      <c r="S894" s="1734"/>
      <c r="T894" s="1734"/>
      <c r="U894" s="1734"/>
      <c r="V894" s="1734"/>
      <c r="W894" s="1734"/>
      <c r="X894" s="1734"/>
      <c r="Y894" s="1734"/>
      <c r="Z894" s="1734"/>
      <c r="AA894" s="1734"/>
      <c r="AB894" s="1735"/>
      <c r="AC894" s="1683">
        <f>IF(ISERROR((ROUNDDOWN(AC892/AC893,0))),0,(ROUNDDOWN(AC892/AC893,0)))</f>
        <v>4980</v>
      </c>
      <c r="AD894" s="1683"/>
      <c r="AE894" s="1683"/>
      <c r="AF894" s="1683"/>
      <c r="AG894" s="1683"/>
      <c r="AH894" s="168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39">
        <f>'Sources and Uses Budget'!C75</f>
        <v>1187970</v>
      </c>
      <c r="AD895" s="1740"/>
      <c r="AE895" s="1740"/>
      <c r="AF895" s="1740"/>
      <c r="AG895" s="1740"/>
      <c r="AH895" s="1740"/>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88"/>
      <c r="AD896" s="1482"/>
      <c r="AE896" s="1482"/>
      <c r="AF896" s="1482"/>
      <c r="AG896" s="1482"/>
      <c r="AH896" s="1482"/>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87">
        <v>50400</v>
      </c>
      <c r="AD897" s="1487"/>
      <c r="AE897" s="1487"/>
      <c r="AF897" s="1487"/>
      <c r="AG897" s="1487"/>
      <c r="AH897" s="1488"/>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87">
        <v>174000</v>
      </c>
      <c r="AD898" s="1487"/>
      <c r="AE898" s="1487"/>
      <c r="AF898" s="1487"/>
      <c r="AG898" s="1487"/>
      <c r="AH898" s="1488"/>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54"/>
      <c r="AD899" s="1555"/>
      <c r="AE899" s="1555"/>
      <c r="AF899" s="1555"/>
      <c r="AG899" s="1555"/>
      <c r="AH899" s="155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87">
        <v>30000</v>
      </c>
      <c r="AD900" s="1487"/>
      <c r="AE900" s="1487"/>
      <c r="AF900" s="1487"/>
      <c r="AG900" s="1487"/>
      <c r="AH900" s="1488"/>
      <c r="AZ900" s="34"/>
      <c r="BA900" s="34"/>
      <c r="BB900" s="34"/>
      <c r="BC900" s="34"/>
    </row>
    <row r="901" spans="1:58" ht="12.95" hidden="1" customHeight="1">
      <c r="C901" s="1677" t="s">
        <v>2188</v>
      </c>
      <c r="D901" s="1678"/>
      <c r="E901" s="1678"/>
      <c r="F901" s="1678"/>
      <c r="G901" s="1678"/>
      <c r="H901" s="1678"/>
      <c r="I901" s="1678"/>
      <c r="J901" s="1678"/>
      <c r="K901" s="1678"/>
      <c r="L901" s="1678"/>
      <c r="M901" s="1678"/>
      <c r="N901" s="1678"/>
      <c r="O901" s="1678"/>
      <c r="P901" s="1678"/>
      <c r="Q901" s="1678"/>
      <c r="R901" s="1678"/>
      <c r="S901" s="1678"/>
      <c r="T901" s="1678"/>
      <c r="U901" s="1678"/>
      <c r="V901" s="1678"/>
      <c r="W901" s="1678"/>
      <c r="X901" s="1678"/>
      <c r="Y901" s="1678"/>
      <c r="Z901" s="1678"/>
      <c r="AA901" s="1678"/>
      <c r="AB901" s="1679"/>
      <c r="AC901" s="1487"/>
      <c r="AD901" s="1487"/>
      <c r="AE901" s="1487"/>
      <c r="AF901" s="1487"/>
      <c r="AG901" s="1487"/>
      <c r="AH901" s="1488"/>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87"/>
      <c r="AD902" s="1487"/>
      <c r="AE902" s="1487"/>
      <c r="AF902" s="1487"/>
      <c r="AG902" s="1487"/>
      <c r="AH902" s="1488"/>
      <c r="AZ902" s="34"/>
      <c r="BA902" s="34"/>
      <c r="BB902" s="34"/>
      <c r="BC902" s="34"/>
    </row>
    <row r="903" spans="1:58" ht="12.95" customHeight="1">
      <c r="C903" s="1661" t="s">
        <v>2727</v>
      </c>
      <c r="D903" s="1662"/>
      <c r="E903" s="1662"/>
      <c r="F903" s="1662"/>
      <c r="G903" s="1662"/>
      <c r="H903" s="1662"/>
      <c r="I903" s="1662"/>
      <c r="J903" s="1662"/>
      <c r="K903" s="1662"/>
      <c r="L903" s="1662"/>
      <c r="M903" s="1662"/>
      <c r="N903" s="1662"/>
      <c r="O903" s="1662"/>
      <c r="P903" s="1662"/>
      <c r="Q903" s="1662"/>
      <c r="R903" s="1662"/>
      <c r="S903" s="1662"/>
      <c r="T903" s="1662"/>
      <c r="U903" s="1662"/>
      <c r="V903" s="1662"/>
      <c r="W903" s="1662"/>
      <c r="X903" s="1662"/>
      <c r="Y903" s="1662"/>
      <c r="Z903" s="1662"/>
      <c r="AA903" s="1662"/>
      <c r="AB903" s="1663"/>
      <c r="AC903" s="1482">
        <v>19799</v>
      </c>
      <c r="AD903" s="1482"/>
      <c r="AE903" s="1482"/>
      <c r="AF903" s="1482"/>
      <c r="AG903" s="1482"/>
      <c r="AH903" s="1482"/>
      <c r="AZ903" s="34"/>
      <c r="BA903" s="34"/>
      <c r="BB903" s="34"/>
      <c r="BC903" s="34"/>
    </row>
    <row r="904" spans="1:58" ht="12.95" customHeight="1">
      <c r="C904" s="1661" t="s">
        <v>956</v>
      </c>
      <c r="D904" s="1662"/>
      <c r="E904" s="1662"/>
      <c r="F904" s="1662"/>
      <c r="G904" s="1662"/>
      <c r="H904" s="1662"/>
      <c r="I904" s="1662"/>
      <c r="J904" s="1662"/>
      <c r="K904" s="1662"/>
      <c r="L904" s="1662"/>
      <c r="M904" s="1662"/>
      <c r="N904" s="1662"/>
      <c r="O904" s="1662"/>
      <c r="P904" s="1662"/>
      <c r="Q904" s="1662"/>
      <c r="R904" s="1662"/>
      <c r="S904" s="1662"/>
      <c r="T904" s="1662"/>
      <c r="U904" s="1662"/>
      <c r="V904" s="1662"/>
      <c r="W904" s="1662"/>
      <c r="X904" s="1662"/>
      <c r="Y904" s="1662"/>
      <c r="Z904" s="1662"/>
      <c r="AA904" s="1662"/>
      <c r="AB904" s="1663"/>
      <c r="AC904" s="1482"/>
      <c r="AD904" s="1482"/>
      <c r="AE904" s="1482"/>
      <c r="AF904" s="1482"/>
      <c r="AG904" s="1482"/>
      <c r="AH904" s="1482"/>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6">
        <v>0</v>
      </c>
      <c r="AA908" s="1487"/>
      <c r="AB908" s="1487"/>
      <c r="AC908" s="1487"/>
      <c r="AD908" s="1487"/>
      <c r="AE908" s="1488"/>
      <c r="AF908" s="533"/>
      <c r="AZ908" s="34"/>
      <c r="BB908" s="30"/>
      <c r="BC908" s="812"/>
      <c r="BD908" s="1673"/>
      <c r="BE908" s="1673"/>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6">
        <v>0</v>
      </c>
      <c r="AA909" s="1487"/>
      <c r="AB909" s="1487"/>
      <c r="AC909" s="1487"/>
      <c r="AD909" s="1487"/>
      <c r="AE909" s="1488"/>
      <c r="AZ909" s="34"/>
      <c r="BB909" s="30"/>
      <c r="BC909" s="812"/>
      <c r="BD909" s="1673"/>
      <c r="BE909" s="1673"/>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6">
        <v>0</v>
      </c>
      <c r="AA910" s="1487"/>
      <c r="AB910" s="1487"/>
      <c r="AC910" s="1487"/>
      <c r="AD910" s="1487"/>
      <c r="AE910" s="1488"/>
      <c r="AZ910" s="34"/>
      <c r="BB910" s="30"/>
      <c r="BC910" s="812"/>
      <c r="BD910" s="1672"/>
      <c r="BE910" s="1672"/>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24">
        <f>Z908-(Z909+Z910)</f>
        <v>0</v>
      </c>
      <c r="AA911" s="1525"/>
      <c r="AB911" s="1525"/>
      <c r="AC911" s="1525"/>
      <c r="AD911" s="1525"/>
      <c r="AE911" s="1526"/>
      <c r="AZ911" s="34"/>
      <c r="BB911" s="30"/>
      <c r="BC911" s="812"/>
      <c r="BD911" s="1672"/>
      <c r="BE911" s="167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2"/>
      <c r="BE912" s="1672"/>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3"/>
      <c r="BE913" s="1672"/>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3"/>
      <c r="BE914" s="1733"/>
      <c r="BF914" s="1733"/>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89"/>
      <c r="BE915" s="1689"/>
      <c r="BF915" s="1689"/>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2"/>
      <c r="BE916" s="167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3"/>
      <c r="BE917" s="1672"/>
      <c r="BF917" s="14"/>
    </row>
    <row r="918" spans="1:58" ht="12.95" customHeight="1">
      <c r="AZ918" s="34"/>
      <c r="BB918" s="30"/>
      <c r="BC918" s="812"/>
    </row>
    <row r="919" spans="1:58" ht="12.95" customHeight="1">
      <c r="A919" s="1527" t="s">
        <v>96</v>
      </c>
      <c r="B919" s="1527"/>
      <c r="C919" s="1527"/>
      <c r="D919" s="1527"/>
      <c r="E919" s="1527"/>
      <c r="F919" s="1527"/>
      <c r="G919" s="1527"/>
      <c r="H919" s="1527"/>
      <c r="I919" s="1527"/>
      <c r="J919" s="1527"/>
      <c r="K919" s="1527"/>
      <c r="L919" s="1527"/>
      <c r="M919" s="1527"/>
      <c r="N919" s="1527"/>
      <c r="O919" s="1527"/>
      <c r="P919" s="1527"/>
      <c r="Q919" s="1527"/>
      <c r="R919" s="1527"/>
      <c r="S919" s="1527"/>
      <c r="T919" s="1527"/>
      <c r="U919" s="1527"/>
      <c r="V919" s="1527"/>
      <c r="W919" s="1527"/>
      <c r="X919" s="1527"/>
      <c r="Y919" s="1527"/>
      <c r="Z919" s="1527"/>
      <c r="AA919" s="1527"/>
      <c r="AB919" s="1527"/>
      <c r="AC919" s="1527"/>
      <c r="AD919" s="1527"/>
      <c r="AE919" s="1527"/>
      <c r="AF919" s="1527"/>
      <c r="AG919" s="1527"/>
      <c r="AH919" s="1527"/>
      <c r="AI919" s="1527"/>
      <c r="AJ919" s="1527"/>
      <c r="AK919" s="1527"/>
      <c r="AL919" s="1527"/>
      <c r="AM919" s="1527"/>
      <c r="AN919" s="1527"/>
      <c r="AO919" s="1527"/>
      <c r="AP919" s="1527"/>
      <c r="AQ919" s="1527"/>
      <c r="AR919" s="1527"/>
      <c r="AS919" s="1527"/>
      <c r="AT919" s="1527"/>
      <c r="AZ919" s="34"/>
      <c r="BA919" s="34"/>
      <c r="BB919" s="30"/>
      <c r="BC919" s="30"/>
      <c r="BD919" s="1673"/>
      <c r="BE919" s="1672"/>
      <c r="BF919" s="907"/>
    </row>
    <row r="920" spans="1:58" ht="12.95" customHeight="1">
      <c r="A920" s="1527"/>
      <c r="B920" s="1527"/>
      <c r="C920" s="1527"/>
      <c r="D920" s="1527"/>
      <c r="E920" s="1527"/>
      <c r="F920" s="1527"/>
      <c r="G920" s="1527"/>
      <c r="H920" s="1527"/>
      <c r="I920" s="1527"/>
      <c r="J920" s="1527"/>
      <c r="K920" s="1527"/>
      <c r="L920" s="1527"/>
      <c r="M920" s="1527"/>
      <c r="N920" s="1527"/>
      <c r="O920" s="1527"/>
      <c r="P920" s="1527"/>
      <c r="Q920" s="1527"/>
      <c r="R920" s="1527"/>
      <c r="S920" s="1527"/>
      <c r="T920" s="1527"/>
      <c r="U920" s="1527"/>
      <c r="V920" s="1527"/>
      <c r="W920" s="1527"/>
      <c r="X920" s="1527"/>
      <c r="Y920" s="1527"/>
      <c r="Z920" s="1527"/>
      <c r="AA920" s="1527"/>
      <c r="AB920" s="1527"/>
      <c r="AC920" s="1527"/>
      <c r="AD920" s="1527"/>
      <c r="AE920" s="1527"/>
      <c r="AF920" s="1527"/>
      <c r="AG920" s="1527"/>
      <c r="AH920" s="1527"/>
      <c r="AI920" s="1527"/>
      <c r="AJ920" s="1527"/>
      <c r="AK920" s="1527"/>
      <c r="AL920" s="1527"/>
      <c r="AM920" s="1527"/>
      <c r="AN920" s="1527"/>
      <c r="AO920" s="1527"/>
      <c r="AP920" s="1527"/>
      <c r="AQ920" s="1527"/>
      <c r="AR920" s="1527"/>
      <c r="AS920" s="1527"/>
      <c r="AT920" s="1527"/>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0" t="s">
        <v>792</v>
      </c>
      <c r="G924" s="1681"/>
      <c r="H924" s="1681"/>
      <c r="I924" s="1681"/>
      <c r="J924" s="1681"/>
      <c r="K924" s="1681"/>
      <c r="L924" s="1681"/>
      <c r="M924" s="1681"/>
      <c r="N924" s="1681"/>
      <c r="O924" s="1681"/>
      <c r="P924" s="1681"/>
      <c r="Q924" s="1681"/>
      <c r="R924" s="1681"/>
      <c r="S924" s="1681"/>
      <c r="T924" s="1682"/>
      <c r="U924" s="1600" t="s">
        <v>31</v>
      </c>
      <c r="V924" s="1601"/>
      <c r="W924" s="1601"/>
      <c r="X924" s="1601"/>
      <c r="Y924" s="1601"/>
      <c r="Z924" s="1601"/>
      <c r="AA924" s="43"/>
      <c r="AB924" s="105"/>
      <c r="AC924" s="105"/>
      <c r="AD924" s="105"/>
      <c r="AE924" s="105"/>
      <c r="AF924" s="106"/>
      <c r="AZ924" s="34"/>
      <c r="BA924" s="34"/>
      <c r="BB924" s="34"/>
      <c r="BC924" s="34"/>
    </row>
    <row r="925" spans="1:58" ht="12.95" customHeight="1">
      <c r="B925" s="2"/>
      <c r="F925" s="1602" t="s">
        <v>818</v>
      </c>
      <c r="G925" s="1603"/>
      <c r="H925" s="1603"/>
      <c r="I925" s="1603"/>
      <c r="J925" s="1603"/>
      <c r="K925" s="1603"/>
      <c r="L925" s="1603"/>
      <c r="M925" s="1603"/>
      <c r="N925" s="1603"/>
      <c r="O925" s="1603"/>
      <c r="P925" s="1603"/>
      <c r="Q925" s="1603"/>
      <c r="R925" s="1603"/>
      <c r="S925" s="1603"/>
      <c r="T925" s="1642"/>
      <c r="U925" s="1602"/>
      <c r="V925" s="1603"/>
      <c r="W925" s="1603"/>
      <c r="X925" s="1603"/>
      <c r="Y925" s="1603"/>
      <c r="Z925" s="1603"/>
      <c r="AA925" s="44"/>
      <c r="AB925" s="4"/>
      <c r="AC925" s="4"/>
      <c r="AD925" s="4"/>
      <c r="AE925" s="4"/>
      <c r="AF925" s="107"/>
      <c r="AZ925" s="34"/>
      <c r="BA925" s="34"/>
      <c r="BB925" s="34"/>
      <c r="BC925" s="34"/>
    </row>
    <row r="926" spans="1:58" ht="12.95" customHeight="1">
      <c r="B926" s="2"/>
      <c r="F926" s="1604"/>
      <c r="G926" s="1605"/>
      <c r="H926" s="1605"/>
      <c r="I926" s="1605"/>
      <c r="J926" s="1605"/>
      <c r="K926" s="1605"/>
      <c r="L926" s="1605"/>
      <c r="M926" s="1605"/>
      <c r="N926" s="1605"/>
      <c r="O926" s="1605"/>
      <c r="P926" s="1605"/>
      <c r="Q926" s="1605"/>
      <c r="R926" s="1605"/>
      <c r="S926" s="1605"/>
      <c r="T926" s="1643"/>
      <c r="U926" s="1604"/>
      <c r="V926" s="1605"/>
      <c r="W926" s="1605"/>
      <c r="X926" s="1605"/>
      <c r="Y926" s="1605"/>
      <c r="Z926" s="1605"/>
      <c r="AA926" s="108"/>
      <c r="AB926" s="1670" t="s">
        <v>391</v>
      </c>
      <c r="AC926" s="1670"/>
      <c r="AD926" s="1670"/>
      <c r="AE926" s="1670"/>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83" t="s">
        <v>545</v>
      </c>
      <c r="V927" s="1384"/>
      <c r="W927" s="1384"/>
      <c r="X927" s="1384"/>
      <c r="Y927" s="1384"/>
      <c r="Z927" s="1385"/>
      <c r="AA927" s="1429">
        <f>AM562</f>
        <v>39598317</v>
      </c>
      <c r="AB927" s="1430"/>
      <c r="AC927" s="1430"/>
      <c r="AD927" s="1430"/>
      <c r="AE927" s="1430"/>
      <c r="AF927" s="1431"/>
      <c r="AG927" s="1191" t="str">
        <f>IF(NOT(AA927=AW927),"!","")</f>
        <v/>
      </c>
      <c r="AH927" s="3"/>
      <c r="AW927" s="1349">
        <f>SUMIF($M$562:$M$573,"Loan, Tax-Exempt",$AM$562:$AM$573)</f>
        <v>39598317</v>
      </c>
      <c r="AX927" s="1349"/>
      <c r="AY927" s="1349"/>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83" t="s">
        <v>545</v>
      </c>
      <c r="V928" s="1384"/>
      <c r="W928" s="1384"/>
      <c r="X928" s="1384"/>
      <c r="Y928" s="1384"/>
      <c r="Z928" s="1385"/>
      <c r="AA928" s="1429">
        <f>AM563</f>
        <v>61443514</v>
      </c>
      <c r="AB928" s="1430"/>
      <c r="AC928" s="1430"/>
      <c r="AD928" s="1430"/>
      <c r="AE928" s="1430"/>
      <c r="AF928" s="1431"/>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83" t="s">
        <v>591</v>
      </c>
      <c r="V929" s="1384"/>
      <c r="W929" s="1384"/>
      <c r="X929" s="1384"/>
      <c r="Y929" s="1384"/>
      <c r="Z929" s="1385"/>
      <c r="AA929" s="1429"/>
      <c r="AB929" s="1430"/>
      <c r="AC929" s="1430"/>
      <c r="AD929" s="1430"/>
      <c r="AE929" s="1430"/>
      <c r="AF929" s="1431"/>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83" t="s">
        <v>591</v>
      </c>
      <c r="V930" s="1384"/>
      <c r="W930" s="1384"/>
      <c r="X930" s="1384"/>
      <c r="Y930" s="1384"/>
      <c r="Z930" s="1385"/>
      <c r="AA930" s="1429"/>
      <c r="AB930" s="1430"/>
      <c r="AC930" s="1430"/>
      <c r="AD930" s="1430"/>
      <c r="AE930" s="1430"/>
      <c r="AF930" s="1431"/>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83" t="s">
        <v>591</v>
      </c>
      <c r="V931" s="1384"/>
      <c r="W931" s="1384"/>
      <c r="X931" s="1384"/>
      <c r="Y931" s="1384"/>
      <c r="Z931" s="1385"/>
      <c r="AA931" s="1429"/>
      <c r="AB931" s="1430"/>
      <c r="AC931" s="1430"/>
      <c r="AD931" s="1430"/>
      <c r="AE931" s="1430"/>
      <c r="AF931" s="1431"/>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83" t="s">
        <v>591</v>
      </c>
      <c r="V932" s="1384"/>
      <c r="W932" s="1384"/>
      <c r="X932" s="1384"/>
      <c r="Y932" s="1384"/>
      <c r="Z932" s="1385"/>
      <c r="AA932" s="1429"/>
      <c r="AB932" s="1430"/>
      <c r="AC932" s="1430"/>
      <c r="AD932" s="1430"/>
      <c r="AE932" s="1430"/>
      <c r="AF932" s="1431"/>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83" t="s">
        <v>591</v>
      </c>
      <c r="V933" s="1384"/>
      <c r="W933" s="1384"/>
      <c r="X933" s="1384"/>
      <c r="Y933" s="1384"/>
      <c r="Z933" s="1385"/>
      <c r="AA933" s="1429"/>
      <c r="AB933" s="1430"/>
      <c r="AC933" s="1430"/>
      <c r="AD933" s="1430"/>
      <c r="AE933" s="1430"/>
      <c r="AF933" s="1431"/>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83" t="s">
        <v>591</v>
      </c>
      <c r="V934" s="1384"/>
      <c r="W934" s="1384"/>
      <c r="X934" s="1384"/>
      <c r="Y934" s="1384"/>
      <c r="Z934" s="1385"/>
      <c r="AA934" s="1429"/>
      <c r="AB934" s="1430"/>
      <c r="AC934" s="1430"/>
      <c r="AD934" s="1430"/>
      <c r="AE934" s="1430"/>
      <c r="AF934" s="1431"/>
      <c r="AZ934" s="34"/>
      <c r="BA934" s="34"/>
      <c r="BB934" s="34"/>
      <c r="BC934" s="34"/>
    </row>
    <row r="935" spans="6:55" ht="12.95" customHeight="1">
      <c r="F935" s="1644" t="s">
        <v>2148</v>
      </c>
      <c r="G935" s="1645"/>
      <c r="H935" s="1645"/>
      <c r="I935" s="1645"/>
      <c r="J935" s="1645"/>
      <c r="K935" s="1645"/>
      <c r="L935" s="1645"/>
      <c r="M935" s="1645"/>
      <c r="N935" s="1645"/>
      <c r="O935" s="1645"/>
      <c r="P935" s="1645"/>
      <c r="Q935" s="1645"/>
      <c r="R935" s="1645"/>
      <c r="S935" s="1645"/>
      <c r="T935" s="1646"/>
      <c r="U935" s="1383" t="s">
        <v>591</v>
      </c>
      <c r="V935" s="1384"/>
      <c r="W935" s="1384"/>
      <c r="X935" s="1384"/>
      <c r="Y935" s="1384"/>
      <c r="Z935" s="1385"/>
      <c r="AA935" s="1429"/>
      <c r="AB935" s="1430"/>
      <c r="AC935" s="1430"/>
      <c r="AD935" s="1430"/>
      <c r="AE935" s="1430"/>
      <c r="AF935" s="1431"/>
      <c r="AZ935" s="34"/>
      <c r="BA935" s="34"/>
      <c r="BB935" s="34"/>
      <c r="BC935" s="34"/>
    </row>
    <row r="936" spans="6:55" ht="12.95" customHeight="1">
      <c r="F936" s="1644" t="s">
        <v>679</v>
      </c>
      <c r="G936" s="1645"/>
      <c r="H936" s="1645"/>
      <c r="I936" s="1645"/>
      <c r="J936" s="1645"/>
      <c r="K936" s="1645"/>
      <c r="L936" s="1645"/>
      <c r="M936" s="1645"/>
      <c r="N936" s="1645"/>
      <c r="O936" s="1645"/>
      <c r="P936" s="1645"/>
      <c r="Q936" s="1645"/>
      <c r="R936" s="1645"/>
      <c r="S936" s="1645"/>
      <c r="T936" s="1646"/>
      <c r="U936" s="1383" t="s">
        <v>591</v>
      </c>
      <c r="V936" s="1384"/>
      <c r="W936" s="1384"/>
      <c r="X936" s="1384"/>
      <c r="Y936" s="1384"/>
      <c r="Z936" s="1385"/>
      <c r="AA936" s="1429"/>
      <c r="AB936" s="1430"/>
      <c r="AC936" s="1430"/>
      <c r="AD936" s="1430"/>
      <c r="AE936" s="1430"/>
      <c r="AF936" s="1431"/>
      <c r="AU936" s="2"/>
      <c r="AZ936" s="34"/>
      <c r="BA936" s="34"/>
      <c r="BB936" s="34"/>
      <c r="BC936" s="34"/>
    </row>
    <row r="937" spans="6:55" ht="12.95" customHeight="1">
      <c r="F937" s="1644" t="s">
        <v>2149</v>
      </c>
      <c r="G937" s="1645"/>
      <c r="H937" s="1645"/>
      <c r="I937" s="1645"/>
      <c r="J937" s="1645"/>
      <c r="K937" s="1645"/>
      <c r="L937" s="1645"/>
      <c r="M937" s="1645"/>
      <c r="N937" s="1645"/>
      <c r="O937" s="1645"/>
      <c r="P937" s="1645"/>
      <c r="Q937" s="1645"/>
      <c r="R937" s="1645"/>
      <c r="S937" s="1645"/>
      <c r="T937" s="1646"/>
      <c r="U937" s="1383" t="s">
        <v>591</v>
      </c>
      <c r="V937" s="1384"/>
      <c r="W937" s="1384"/>
      <c r="X937" s="1384"/>
      <c r="Y937" s="1384"/>
      <c r="Z937" s="1385"/>
      <c r="AA937" s="1429"/>
      <c r="AB937" s="1430"/>
      <c r="AC937" s="1430"/>
      <c r="AD937" s="1430"/>
      <c r="AE937" s="1430"/>
      <c r="AF937" s="1431"/>
      <c r="AU937" s="2"/>
      <c r="AZ937" s="34"/>
      <c r="BA937" s="34"/>
      <c r="BB937" s="34"/>
      <c r="BC937" s="34"/>
    </row>
    <row r="938" spans="6:55" ht="12.95" customHeight="1">
      <c r="F938" s="1644" t="s">
        <v>2150</v>
      </c>
      <c r="G938" s="1645"/>
      <c r="H938" s="1645"/>
      <c r="I938" s="1645"/>
      <c r="J938" s="1645"/>
      <c r="K938" s="1645"/>
      <c r="L938" s="1645"/>
      <c r="M938" s="1645"/>
      <c r="N938" s="1645"/>
      <c r="O938" s="1645"/>
      <c r="P938" s="1645"/>
      <c r="Q938" s="1645"/>
      <c r="R938" s="1645"/>
      <c r="S938" s="1645"/>
      <c r="T938" s="1646"/>
      <c r="U938" s="1383" t="s">
        <v>591</v>
      </c>
      <c r="V938" s="1384"/>
      <c r="W938" s="1384"/>
      <c r="X938" s="1384"/>
      <c r="Y938" s="1384"/>
      <c r="Z938" s="1385"/>
      <c r="AA938" s="1429"/>
      <c r="AB938" s="1430"/>
      <c r="AC938" s="1430"/>
      <c r="AD938" s="1430"/>
      <c r="AE938" s="1430"/>
      <c r="AF938" s="1431"/>
      <c r="AU938" s="2"/>
      <c r="AZ938" s="34"/>
      <c r="BA938" s="34"/>
      <c r="BB938" s="34"/>
      <c r="BC938" s="34"/>
    </row>
    <row r="939" spans="6:55" ht="12.95" customHeight="1">
      <c r="F939" s="1644" t="s">
        <v>2151</v>
      </c>
      <c r="G939" s="1645"/>
      <c r="H939" s="1645"/>
      <c r="I939" s="1645"/>
      <c r="J939" s="1645"/>
      <c r="K939" s="1645"/>
      <c r="L939" s="1645"/>
      <c r="M939" s="1645"/>
      <c r="N939" s="1645"/>
      <c r="O939" s="1645"/>
      <c r="P939" s="1645"/>
      <c r="Q939" s="1645"/>
      <c r="R939" s="1645"/>
      <c r="S939" s="1645"/>
      <c r="T939" s="1646"/>
      <c r="U939" s="1383" t="s">
        <v>591</v>
      </c>
      <c r="V939" s="1384"/>
      <c r="W939" s="1384"/>
      <c r="X939" s="1384"/>
      <c r="Y939" s="1384"/>
      <c r="Z939" s="1385"/>
      <c r="AA939" s="1429"/>
      <c r="AB939" s="1430"/>
      <c r="AC939" s="1430"/>
      <c r="AD939" s="1430"/>
      <c r="AE939" s="1430"/>
      <c r="AF939" s="1431"/>
      <c r="AU939" s="2"/>
      <c r="AZ939" s="34"/>
      <c r="BA939" s="34"/>
      <c r="BB939" s="34"/>
      <c r="BC939" s="34"/>
    </row>
    <row r="940" spans="6:55" ht="12.95" customHeight="1">
      <c r="F940" s="1644" t="s">
        <v>2152</v>
      </c>
      <c r="G940" s="1645"/>
      <c r="H940" s="1645"/>
      <c r="I940" s="1645"/>
      <c r="J940" s="1645"/>
      <c r="K940" s="1645"/>
      <c r="L940" s="1645"/>
      <c r="M940" s="1645"/>
      <c r="N940" s="1645"/>
      <c r="O940" s="1645"/>
      <c r="P940" s="1645"/>
      <c r="Q940" s="1645"/>
      <c r="R940" s="1645"/>
      <c r="S940" s="1645"/>
      <c r="T940" s="1646"/>
      <c r="U940" s="1383" t="s">
        <v>545</v>
      </c>
      <c r="V940" s="1384"/>
      <c r="W940" s="1384"/>
      <c r="X940" s="1384"/>
      <c r="Y940" s="1384"/>
      <c r="Z940" s="1385"/>
      <c r="AA940" s="1429">
        <f>AO636</f>
        <v>34875675</v>
      </c>
      <c r="AB940" s="1430"/>
      <c r="AC940" s="1430"/>
      <c r="AD940" s="1430"/>
      <c r="AE940" s="1430"/>
      <c r="AF940" s="1431"/>
      <c r="AU940" s="2"/>
      <c r="AZ940" s="34"/>
      <c r="BA940" s="34"/>
      <c r="BB940" s="34"/>
      <c r="BC940" s="34"/>
    </row>
    <row r="941" spans="6:55" ht="12.95" customHeight="1">
      <c r="F941" s="1644" t="s">
        <v>2153</v>
      </c>
      <c r="G941" s="1645"/>
      <c r="H941" s="1645"/>
      <c r="I941" s="1645"/>
      <c r="J941" s="1645"/>
      <c r="K941" s="1645"/>
      <c r="L941" s="1645"/>
      <c r="M941" s="1645"/>
      <c r="N941" s="1645"/>
      <c r="O941" s="1645"/>
      <c r="P941" s="1645"/>
      <c r="Q941" s="1645"/>
      <c r="R941" s="1645"/>
      <c r="S941" s="1645"/>
      <c r="T941" s="1646"/>
      <c r="U941" s="1383" t="s">
        <v>591</v>
      </c>
      <c r="V941" s="1384"/>
      <c r="W941" s="1384"/>
      <c r="X941" s="1384"/>
      <c r="Y941" s="1384"/>
      <c r="Z941" s="1385"/>
      <c r="AA941" s="1429"/>
      <c r="AB941" s="1430"/>
      <c r="AC941" s="1430"/>
      <c r="AD941" s="1430"/>
      <c r="AE941" s="1430"/>
      <c r="AF941" s="1431"/>
      <c r="AZ941" s="30"/>
      <c r="BA941" s="30"/>
    </row>
    <row r="942" spans="6:55" ht="12.95" customHeight="1">
      <c r="F942" s="178" t="s">
        <v>676</v>
      </c>
      <c r="G942" s="5"/>
      <c r="H942" s="5"/>
      <c r="I942" s="5"/>
      <c r="J942" s="5"/>
      <c r="K942" s="5"/>
      <c r="L942" s="5"/>
      <c r="M942" s="5"/>
      <c r="N942" s="5"/>
      <c r="O942" s="5"/>
      <c r="P942" s="5"/>
      <c r="Q942" s="5"/>
      <c r="R942" s="5"/>
      <c r="S942" s="5"/>
      <c r="T942" s="46"/>
      <c r="U942" s="1383" t="s">
        <v>591</v>
      </c>
      <c r="V942" s="1384"/>
      <c r="W942" s="1384"/>
      <c r="X942" s="1384"/>
      <c r="Y942" s="1384"/>
      <c r="Z942" s="1385"/>
      <c r="AA942" s="1429"/>
      <c r="AB942" s="1430"/>
      <c r="AC942" s="1430"/>
      <c r="AD942" s="1430"/>
      <c r="AE942" s="1430"/>
      <c r="AF942" s="1431"/>
    </row>
    <row r="943" spans="6:55" ht="12.95" customHeight="1">
      <c r="F943" s="121" t="s">
        <v>1277</v>
      </c>
      <c r="G943" s="5"/>
      <c r="H943" s="5"/>
      <c r="I943" s="5"/>
      <c r="J943" s="5"/>
      <c r="K943" s="5"/>
      <c r="L943" s="5"/>
      <c r="M943" s="5"/>
      <c r="N943" s="5"/>
      <c r="O943" s="5"/>
      <c r="P943" s="5"/>
      <c r="Q943" s="5"/>
      <c r="R943" s="5"/>
      <c r="S943" s="5"/>
      <c r="T943" s="46"/>
      <c r="U943" s="1383" t="s">
        <v>591</v>
      </c>
      <c r="V943" s="1384"/>
      <c r="W943" s="1384"/>
      <c r="X943" s="1384"/>
      <c r="Y943" s="1384"/>
      <c r="Z943" s="1385"/>
      <c r="AA943" s="1429"/>
      <c r="AB943" s="1430"/>
      <c r="AC943" s="1430"/>
      <c r="AD943" s="1430"/>
      <c r="AE943" s="1430"/>
      <c r="AF943" s="1431"/>
      <c r="AZ943" s="30"/>
      <c r="BA943" s="14"/>
    </row>
    <row r="944" spans="6:55" ht="12.95" customHeight="1">
      <c r="F944" s="66" t="s">
        <v>802</v>
      </c>
      <c r="G944" s="5"/>
      <c r="H944" s="5"/>
      <c r="I944" s="5"/>
      <c r="J944" s="5"/>
      <c r="K944" s="5"/>
      <c r="L944" s="5"/>
      <c r="M944" s="5"/>
      <c r="N944" s="5"/>
      <c r="O944" s="5"/>
      <c r="P944" s="5"/>
      <c r="Q944" s="5"/>
      <c r="R944" s="5"/>
      <c r="S944" s="5"/>
      <c r="T944" s="46"/>
      <c r="U944" s="1383" t="s">
        <v>591</v>
      </c>
      <c r="V944" s="1384"/>
      <c r="W944" s="1384"/>
      <c r="X944" s="1384"/>
      <c r="Y944" s="1384"/>
      <c r="Z944" s="1385"/>
      <c r="AA944" s="1429"/>
      <c r="AB944" s="1430"/>
      <c r="AC944" s="1430"/>
      <c r="AD944" s="1430"/>
      <c r="AE944" s="1430"/>
      <c r="AF944" s="1431"/>
      <c r="AZ944" s="30"/>
      <c r="BA944" s="14"/>
    </row>
    <row r="945" spans="6:55" ht="12.95" customHeight="1">
      <c r="F945" s="1650" t="s">
        <v>2157</v>
      </c>
      <c r="G945" s="1651"/>
      <c r="H945" s="1651"/>
      <c r="I945" s="1651"/>
      <c r="J945" s="1651"/>
      <c r="K945" s="1651"/>
      <c r="L945" s="1651"/>
      <c r="M945" s="1651"/>
      <c r="N945" s="1651"/>
      <c r="O945" s="1651"/>
      <c r="P945" s="1651"/>
      <c r="Q945" s="1651"/>
      <c r="R945" s="1651"/>
      <c r="S945" s="1651"/>
      <c r="T945" s="1652"/>
      <c r="U945" s="1383" t="s">
        <v>591</v>
      </c>
      <c r="V945" s="1384"/>
      <c r="W945" s="1384"/>
      <c r="X945" s="1384"/>
      <c r="Y945" s="1384"/>
      <c r="Z945" s="1385"/>
      <c r="AA945" s="1429"/>
      <c r="AB945" s="1430"/>
      <c r="AC945" s="1430"/>
      <c r="AD945" s="1430"/>
      <c r="AE945" s="1430"/>
      <c r="AF945" s="1431"/>
      <c r="AZ945" s="30"/>
      <c r="BA945" s="14"/>
    </row>
    <row r="946" spans="6:55" ht="12.95" customHeight="1">
      <c r="F946" s="1650" t="s">
        <v>2158</v>
      </c>
      <c r="G946" s="1651"/>
      <c r="H946" s="1651"/>
      <c r="I946" s="1651"/>
      <c r="J946" s="1651"/>
      <c r="K946" s="1651"/>
      <c r="L946" s="1651"/>
      <c r="M946" s="1651"/>
      <c r="N946" s="1651"/>
      <c r="O946" s="1651"/>
      <c r="P946" s="1651"/>
      <c r="Q946" s="1651"/>
      <c r="R946" s="1651"/>
      <c r="S946" s="1651"/>
      <c r="T946" s="1652"/>
      <c r="U946" s="1383" t="s">
        <v>591</v>
      </c>
      <c r="V946" s="1384"/>
      <c r="W946" s="1384"/>
      <c r="X946" s="1384"/>
      <c r="Y946" s="1384"/>
      <c r="Z946" s="1385"/>
      <c r="AA946" s="1429"/>
      <c r="AB946" s="1430"/>
      <c r="AC946" s="1430"/>
      <c r="AD946" s="1430"/>
      <c r="AE946" s="1430"/>
      <c r="AF946" s="1431"/>
      <c r="AZ946" s="30"/>
      <c r="BA946" s="30"/>
    </row>
    <row r="947" spans="6:55" ht="12.95" customHeight="1">
      <c r="F947" s="1644" t="s">
        <v>2154</v>
      </c>
      <c r="G947" s="1645"/>
      <c r="H947" s="1645"/>
      <c r="I947" s="1645"/>
      <c r="J947" s="1645"/>
      <c r="K947" s="1645"/>
      <c r="L947" s="1645"/>
      <c r="M947" s="1645"/>
      <c r="N947" s="1645"/>
      <c r="O947" s="1645"/>
      <c r="P947" s="1645"/>
      <c r="Q947" s="1645"/>
      <c r="R947" s="1645"/>
      <c r="S947" s="1645"/>
      <c r="T947" s="1646"/>
      <c r="U947" s="1383" t="s">
        <v>591</v>
      </c>
      <c r="V947" s="1384"/>
      <c r="W947" s="1384"/>
      <c r="X947" s="1384"/>
      <c r="Y947" s="1384"/>
      <c r="Z947" s="1385"/>
      <c r="AA947" s="1429"/>
      <c r="AB947" s="1430"/>
      <c r="AC947" s="1430"/>
      <c r="AD947" s="1430"/>
      <c r="AE947" s="1430"/>
      <c r="AF947" s="1431"/>
      <c r="AZ947" s="30"/>
      <c r="BA947" s="30"/>
    </row>
    <row r="948" spans="6:55" ht="12.95" customHeight="1">
      <c r="F948" s="1644" t="s">
        <v>2155</v>
      </c>
      <c r="G948" s="1645"/>
      <c r="H948" s="1645"/>
      <c r="I948" s="1645"/>
      <c r="J948" s="1645"/>
      <c r="K948" s="1645"/>
      <c r="L948" s="1645"/>
      <c r="M948" s="1645"/>
      <c r="N948" s="1645"/>
      <c r="O948" s="1645"/>
      <c r="P948" s="1645"/>
      <c r="Q948" s="1645"/>
      <c r="R948" s="1645"/>
      <c r="S948" s="1645"/>
      <c r="T948" s="1646"/>
      <c r="U948" s="1383" t="s">
        <v>591</v>
      </c>
      <c r="V948" s="1384"/>
      <c r="W948" s="1384"/>
      <c r="X948" s="1384"/>
      <c r="Y948" s="1384"/>
      <c r="Z948" s="1385"/>
      <c r="AA948" s="1429"/>
      <c r="AB948" s="1430"/>
      <c r="AC948" s="1430"/>
      <c r="AD948" s="1430"/>
      <c r="AE948" s="1430"/>
      <c r="AF948" s="1431"/>
      <c r="AZ948" s="30"/>
      <c r="BA948" s="30"/>
    </row>
    <row r="949" spans="6:55" ht="12.95" customHeight="1">
      <c r="F949" s="1644" t="s">
        <v>2156</v>
      </c>
      <c r="G949" s="1645"/>
      <c r="H949" s="1645"/>
      <c r="I949" s="1645"/>
      <c r="J949" s="1645"/>
      <c r="K949" s="1645"/>
      <c r="L949" s="1645"/>
      <c r="M949" s="1645"/>
      <c r="N949" s="1645"/>
      <c r="O949" s="1645"/>
      <c r="P949" s="1645"/>
      <c r="Q949" s="1645"/>
      <c r="R949" s="1645"/>
      <c r="S949" s="1645"/>
      <c r="T949" s="1646"/>
      <c r="U949" s="1383" t="s">
        <v>591</v>
      </c>
      <c r="V949" s="1384"/>
      <c r="W949" s="1384"/>
      <c r="X949" s="1384"/>
      <c r="Y949" s="1384"/>
      <c r="Z949" s="1385"/>
      <c r="AA949" s="1429"/>
      <c r="AB949" s="1430"/>
      <c r="AC949" s="1430"/>
      <c r="AD949" s="1430"/>
      <c r="AE949" s="1430"/>
      <c r="AF949" s="1431"/>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83" t="s">
        <v>591</v>
      </c>
      <c r="V950" s="1384"/>
      <c r="W950" s="1384"/>
      <c r="X950" s="1384"/>
      <c r="Y950" s="1384"/>
      <c r="Z950" s="1385"/>
      <c r="AA950" s="1429"/>
      <c r="AB950" s="1430"/>
      <c r="AC950" s="1430"/>
      <c r="AD950" s="1430"/>
      <c r="AE950" s="1430"/>
      <c r="AF950" s="1431"/>
      <c r="AZ950" s="34"/>
      <c r="BA950" s="34"/>
      <c r="BB950" s="14"/>
      <c r="BC950" s="14"/>
    </row>
    <row r="951" spans="6:55" ht="12.95" customHeight="1">
      <c r="F951" s="1650" t="s">
        <v>2159</v>
      </c>
      <c r="G951" s="1651"/>
      <c r="H951" s="1651"/>
      <c r="I951" s="1651"/>
      <c r="J951" s="1651"/>
      <c r="K951" s="1651"/>
      <c r="L951" s="1651"/>
      <c r="M951" s="1651"/>
      <c r="N951" s="1651"/>
      <c r="O951" s="1651"/>
      <c r="P951" s="1651"/>
      <c r="Q951" s="1651"/>
      <c r="R951" s="1651"/>
      <c r="S951" s="1651"/>
      <c r="T951" s="1652"/>
      <c r="U951" s="1383" t="s">
        <v>591</v>
      </c>
      <c r="V951" s="1384"/>
      <c r="W951" s="1384"/>
      <c r="X951" s="1384"/>
      <c r="Y951" s="1384"/>
      <c r="Z951" s="1385"/>
      <c r="AA951" s="1429"/>
      <c r="AB951" s="1430"/>
      <c r="AC951" s="1430"/>
      <c r="AD951" s="1430"/>
      <c r="AE951" s="1430"/>
      <c r="AF951" s="1431"/>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83" t="s">
        <v>591</v>
      </c>
      <c r="V952" s="1384"/>
      <c r="W952" s="1384"/>
      <c r="X952" s="1384"/>
      <c r="Y952" s="1384"/>
      <c r="Z952" s="1385"/>
      <c r="AA952" s="1429"/>
      <c r="AB952" s="1430"/>
      <c r="AC952" s="1430"/>
      <c r="AD952" s="1430"/>
      <c r="AE952" s="1430"/>
      <c r="AF952" s="1431"/>
      <c r="AZ952" s="34"/>
      <c r="BA952" s="34"/>
      <c r="BB952" s="34"/>
      <c r="BC952" s="34"/>
    </row>
    <row r="953" spans="6:55" ht="12.95" customHeight="1">
      <c r="F953" s="1650" t="s">
        <v>2160</v>
      </c>
      <c r="G953" s="1651"/>
      <c r="H953" s="1651"/>
      <c r="I953" s="1651"/>
      <c r="J953" s="1651"/>
      <c r="K953" s="1651"/>
      <c r="L953" s="1651"/>
      <c r="M953" s="1651"/>
      <c r="N953" s="1651"/>
      <c r="O953" s="1651"/>
      <c r="P953" s="1651"/>
      <c r="Q953" s="1651"/>
      <c r="R953" s="1651"/>
      <c r="S953" s="1651"/>
      <c r="T953" s="1652"/>
      <c r="U953" s="1383" t="s">
        <v>591</v>
      </c>
      <c r="V953" s="1384"/>
      <c r="W953" s="1384"/>
      <c r="X953" s="1384"/>
      <c r="Y953" s="1384"/>
      <c r="Z953" s="1385"/>
      <c r="AA953" s="1429"/>
      <c r="AB953" s="1430"/>
      <c r="AC953" s="1430"/>
      <c r="AD953" s="1430"/>
      <c r="AE953" s="1430"/>
      <c r="AF953" s="1431"/>
      <c r="AZ953" s="34"/>
      <c r="BA953" s="34"/>
      <c r="BB953" s="34"/>
      <c r="BC953" s="34"/>
    </row>
    <row r="954" spans="6:55" ht="12.95" customHeight="1">
      <c r="F954" s="45" t="s">
        <v>806</v>
      </c>
      <c r="G954" s="5"/>
      <c r="H954" s="5"/>
      <c r="I954" s="5"/>
      <c r="J954" s="5"/>
      <c r="K954" s="5"/>
      <c r="L954" s="5"/>
      <c r="M954" s="5"/>
      <c r="N954" s="5"/>
      <c r="O954" s="5"/>
      <c r="P954" s="1383" t="s">
        <v>669</v>
      </c>
      <c r="Q954" s="1384"/>
      <c r="R954" s="1384"/>
      <c r="S954" s="1384"/>
      <c r="T954" s="1385"/>
      <c r="U954" s="1383" t="s">
        <v>591</v>
      </c>
      <c r="V954" s="1384"/>
      <c r="W954" s="1384"/>
      <c r="X954" s="1384"/>
      <c r="Y954" s="1384"/>
      <c r="Z954" s="1385"/>
      <c r="AA954" s="1429"/>
      <c r="AB954" s="1430"/>
      <c r="AC954" s="1430"/>
      <c r="AD954" s="1430"/>
      <c r="AE954" s="1430"/>
      <c r="AF954" s="1431"/>
      <c r="AZ954" s="34"/>
      <c r="BA954" s="34"/>
      <c r="BB954" s="34"/>
      <c r="BC954" s="34"/>
    </row>
    <row r="955" spans="6:55" ht="12.95" customHeight="1">
      <c r="F955" s="1644" t="s">
        <v>2147</v>
      </c>
      <c r="G955" s="1645"/>
      <c r="H955" s="1646"/>
      <c r="I955" s="1654" t="s">
        <v>334</v>
      </c>
      <c r="J955" s="1655"/>
      <c r="K955" s="1655"/>
      <c r="L955" s="1655"/>
      <c r="M955" s="1655"/>
      <c r="N955" s="1655"/>
      <c r="O955" s="1655"/>
      <c r="P955" s="1655"/>
      <c r="Q955" s="1655"/>
      <c r="R955" s="1655"/>
      <c r="S955" s="1655"/>
      <c r="T955" s="1656"/>
      <c r="U955" s="1383" t="s">
        <v>591</v>
      </c>
      <c r="V955" s="1384"/>
      <c r="W955" s="1384"/>
      <c r="X955" s="1384"/>
      <c r="Y955" s="1384"/>
      <c r="Z955" s="1385"/>
      <c r="AA955" s="1429"/>
      <c r="AB955" s="1430"/>
      <c r="AC955" s="1430"/>
      <c r="AD955" s="1430"/>
      <c r="AE955" s="1430"/>
      <c r="AF955" s="1431"/>
      <c r="AZ955" s="34"/>
      <c r="BA955" s="34"/>
      <c r="BB955" s="34"/>
      <c r="BC955" s="34"/>
    </row>
    <row r="956" spans="6:55" ht="12.95" customHeight="1">
      <c r="F956" s="45" t="s">
        <v>86</v>
      </c>
      <c r="G956" s="48"/>
      <c r="H956" s="48"/>
      <c r="I956" s="1654" t="s">
        <v>334</v>
      </c>
      <c r="J956" s="1655"/>
      <c r="K956" s="1655"/>
      <c r="L956" s="1655"/>
      <c r="M956" s="1655"/>
      <c r="N956" s="1655"/>
      <c r="O956" s="1655"/>
      <c r="P956" s="1655"/>
      <c r="Q956" s="1655"/>
      <c r="R956" s="1655"/>
      <c r="S956" s="1655"/>
      <c r="T956" s="1656"/>
      <c r="U956" s="1383" t="s">
        <v>591</v>
      </c>
      <c r="V956" s="1384"/>
      <c r="W956" s="1384"/>
      <c r="X956" s="1384"/>
      <c r="Y956" s="1384"/>
      <c r="Z956" s="1385"/>
      <c r="AA956" s="1429"/>
      <c r="AB956" s="1430"/>
      <c r="AC956" s="1430"/>
      <c r="AD956" s="1430"/>
      <c r="AE956" s="1430"/>
      <c r="AF956" s="1431"/>
      <c r="AZ956" s="34"/>
      <c r="BA956" s="34"/>
      <c r="BB956" s="34"/>
      <c r="BC956" s="34"/>
    </row>
    <row r="957" spans="6:55" ht="12.95" customHeight="1">
      <c r="F957" s="45" t="s">
        <v>10</v>
      </c>
      <c r="G957" s="48"/>
      <c r="H957" s="48"/>
      <c r="I957" s="1626" t="s">
        <v>334</v>
      </c>
      <c r="J957" s="1627"/>
      <c r="K957" s="1627"/>
      <c r="L957" s="1627"/>
      <c r="M957" s="1627"/>
      <c r="N957" s="1627"/>
      <c r="O957" s="1627"/>
      <c r="P957" s="1627"/>
      <c r="Q957" s="1627"/>
      <c r="R957" s="1627"/>
      <c r="S957" s="1627"/>
      <c r="T957" s="1628"/>
      <c r="U957" s="1383" t="s">
        <v>591</v>
      </c>
      <c r="V957" s="1384"/>
      <c r="W957" s="1384"/>
      <c r="X957" s="1384"/>
      <c r="Y957" s="1384"/>
      <c r="Z957" s="1385"/>
      <c r="AA957" s="1429"/>
      <c r="AB957" s="1430"/>
      <c r="AC957" s="1430"/>
      <c r="AD957" s="1430"/>
      <c r="AE957" s="1430"/>
      <c r="AF957" s="1431"/>
      <c r="AV957" s="2"/>
      <c r="AW957" s="2"/>
      <c r="AX957" s="2"/>
      <c r="AY957" s="2"/>
      <c r="AZ957" s="34"/>
      <c r="BA957" s="34"/>
      <c r="BB957" s="34"/>
      <c r="BC957" s="34"/>
    </row>
    <row r="958" spans="6:55" ht="12.95" customHeight="1">
      <c r="F958" s="47" t="s">
        <v>170</v>
      </c>
      <c r="G958" s="48"/>
      <c r="H958" s="48"/>
      <c r="I958" s="1654" t="s">
        <v>334</v>
      </c>
      <c r="J958" s="1627"/>
      <c r="K958" s="1627"/>
      <c r="L958" s="1627"/>
      <c r="M958" s="1627"/>
      <c r="N958" s="1627"/>
      <c r="O958" s="1627"/>
      <c r="P958" s="1627"/>
      <c r="Q958" s="1627"/>
      <c r="R958" s="1627"/>
      <c r="S958" s="1627"/>
      <c r="T958" s="1628"/>
      <c r="U958" s="1383" t="s">
        <v>591</v>
      </c>
      <c r="V958" s="1384"/>
      <c r="W958" s="1384"/>
      <c r="X958" s="1384"/>
      <c r="Y958" s="1384"/>
      <c r="Z958" s="1385"/>
      <c r="AA958" s="1429"/>
      <c r="AB958" s="1430"/>
      <c r="AC958" s="1430"/>
      <c r="AD958" s="1430"/>
      <c r="AE958" s="1430"/>
      <c r="AF958" s="1431"/>
      <c r="AU958" s="2"/>
      <c r="AZ958" s="34"/>
      <c r="BA958" s="34"/>
      <c r="BB958" s="34"/>
      <c r="BC958" s="34"/>
    </row>
    <row r="959" spans="6:55" ht="12.95" customHeight="1">
      <c r="F959" s="47" t="s">
        <v>170</v>
      </c>
      <c r="G959" s="48"/>
      <c r="H959" s="48"/>
      <c r="I959" s="1626" t="s">
        <v>334</v>
      </c>
      <c r="J959" s="1627"/>
      <c r="K959" s="1627"/>
      <c r="L959" s="1627"/>
      <c r="M959" s="1627"/>
      <c r="N959" s="1627"/>
      <c r="O959" s="1627"/>
      <c r="P959" s="1627"/>
      <c r="Q959" s="1627"/>
      <c r="R959" s="1627"/>
      <c r="S959" s="1627"/>
      <c r="T959" s="1628"/>
      <c r="U959" s="1383" t="s">
        <v>591</v>
      </c>
      <c r="V959" s="1384"/>
      <c r="W959" s="1384"/>
      <c r="X959" s="1384"/>
      <c r="Y959" s="1384"/>
      <c r="Z959" s="1385"/>
      <c r="AA959" s="1429"/>
      <c r="AB959" s="1430"/>
      <c r="AC959" s="1430"/>
      <c r="AD959" s="1430"/>
      <c r="AE959" s="1430"/>
      <c r="AF959" s="1431"/>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3" t="s">
        <v>591</v>
      </c>
      <c r="N964" s="1624"/>
      <c r="O964" s="1624"/>
      <c r="P964" s="1624"/>
      <c r="Q964" s="1624"/>
      <c r="R964" s="1624"/>
      <c r="S964" s="1625"/>
      <c r="U964" s="66" t="s">
        <v>11</v>
      </c>
      <c r="V964" s="5"/>
      <c r="W964" s="5"/>
      <c r="X964" s="5"/>
      <c r="Y964" s="5"/>
      <c r="Z964" s="5"/>
      <c r="AA964" s="5"/>
      <c r="AB964" s="5"/>
      <c r="AC964" s="5"/>
      <c r="AD964" s="46"/>
      <c r="AE964" s="1623" t="s">
        <v>591</v>
      </c>
      <c r="AF964" s="1624"/>
      <c r="AG964" s="1624"/>
      <c r="AH964" s="1624"/>
      <c r="AI964" s="1624"/>
      <c r="AJ964" s="1624"/>
      <c r="AK964" s="1625"/>
      <c r="AZ964" s="34"/>
      <c r="BA964" s="34"/>
      <c r="BB964" s="34"/>
      <c r="BC964" s="34"/>
    </row>
    <row r="965" spans="1:64" ht="12.95" customHeight="1">
      <c r="C965" s="66" t="s">
        <v>12</v>
      </c>
      <c r="D965" s="5"/>
      <c r="E965" s="5"/>
      <c r="F965" s="5"/>
      <c r="G965" s="5"/>
      <c r="H965" s="5"/>
      <c r="I965" s="5"/>
      <c r="J965" s="5"/>
      <c r="K965" s="5"/>
      <c r="L965" s="46"/>
      <c r="M965" s="1389" t="s">
        <v>591</v>
      </c>
      <c r="N965" s="1390"/>
      <c r="O965" s="1390"/>
      <c r="P965" s="1390"/>
      <c r="Q965" s="1390"/>
      <c r="R965" s="1390"/>
      <c r="S965" s="1391"/>
      <c r="U965" s="66" t="s">
        <v>12</v>
      </c>
      <c r="V965" s="5"/>
      <c r="W965" s="5"/>
      <c r="X965" s="5"/>
      <c r="Y965" s="5"/>
      <c r="Z965" s="5"/>
      <c r="AA965" s="5"/>
      <c r="AB965" s="5"/>
      <c r="AC965" s="5"/>
      <c r="AD965" s="46"/>
      <c r="AE965" s="1389" t="s">
        <v>591</v>
      </c>
      <c r="AF965" s="1390"/>
      <c r="AG965" s="1390"/>
      <c r="AH965" s="1390"/>
      <c r="AI965" s="1390"/>
      <c r="AJ965" s="1390"/>
      <c r="AK965" s="1391"/>
      <c r="AZ965" s="34"/>
      <c r="BA965" s="34"/>
      <c r="BB965" s="34"/>
      <c r="BC965" s="34"/>
    </row>
    <row r="966" spans="1:64" ht="12.95" customHeight="1">
      <c r="C966" s="66" t="s">
        <v>880</v>
      </c>
      <c r="D966" s="5"/>
      <c r="E966" s="5"/>
      <c r="J966" s="1392" t="s">
        <v>307</v>
      </c>
      <c r="K966" s="1393"/>
      <c r="L966" s="1393"/>
      <c r="M966" s="1393"/>
      <c r="N966" s="1393"/>
      <c r="O966" s="1393"/>
      <c r="P966" s="1393"/>
      <c r="Q966" s="1393"/>
      <c r="R966" s="1393"/>
      <c r="S966" s="1394"/>
      <c r="U966" s="66" t="s">
        <v>880</v>
      </c>
      <c r="V966" s="5"/>
      <c r="W966" s="5"/>
      <c r="AB966" s="1392" t="s">
        <v>307</v>
      </c>
      <c r="AC966" s="1393"/>
      <c r="AD966" s="1393"/>
      <c r="AE966" s="1393"/>
      <c r="AF966" s="1393"/>
      <c r="AG966" s="1393"/>
      <c r="AH966" s="1393"/>
      <c r="AI966" s="1393"/>
      <c r="AJ966" s="1393"/>
      <c r="AK966" s="1394"/>
      <c r="AZ966" s="34"/>
      <c r="BA966" s="34"/>
      <c r="BB966" s="34"/>
      <c r="BC966" s="34"/>
    </row>
    <row r="967" spans="1:64" ht="12.95" customHeight="1">
      <c r="C967" s="66" t="s">
        <v>13</v>
      </c>
      <c r="D967" s="5"/>
      <c r="E967" s="5"/>
      <c r="F967" s="5"/>
      <c r="G967" s="5"/>
      <c r="H967" s="5"/>
      <c r="I967" s="5"/>
      <c r="J967" s="5"/>
      <c r="K967" s="5"/>
      <c r="L967" s="46"/>
      <c r="M967" s="1671" t="s">
        <v>591</v>
      </c>
      <c r="N967" s="1640"/>
      <c r="O967" s="1640"/>
      <c r="P967" s="1640"/>
      <c r="Q967" s="1640"/>
      <c r="R967" s="1640"/>
      <c r="S967" s="1641"/>
      <c r="U967" s="66" t="s">
        <v>13</v>
      </c>
      <c r="V967" s="5"/>
      <c r="W967" s="5"/>
      <c r="X967" s="5"/>
      <c r="Y967" s="5"/>
      <c r="Z967" s="5"/>
      <c r="AA967" s="5"/>
      <c r="AB967" s="5"/>
      <c r="AC967" s="5"/>
      <c r="AD967" s="46"/>
      <c r="AE967" s="1639" t="s">
        <v>591</v>
      </c>
      <c r="AF967" s="1640"/>
      <c r="AG967" s="1640"/>
      <c r="AH967" s="1640"/>
      <c r="AI967" s="1640"/>
      <c r="AJ967" s="1640"/>
      <c r="AK967" s="1641"/>
      <c r="AZ967" s="34"/>
      <c r="BA967" s="34"/>
      <c r="BB967" s="34"/>
      <c r="BC967" s="34"/>
    </row>
    <row r="968" spans="1:64" ht="12.95" customHeight="1">
      <c r="C968" s="66" t="s">
        <v>14</v>
      </c>
      <c r="D968" s="5"/>
      <c r="E968" s="5"/>
      <c r="F968" s="5"/>
      <c r="G968" s="5"/>
      <c r="H968" s="5"/>
      <c r="I968" s="5"/>
      <c r="J968" s="5"/>
      <c r="K968" s="5"/>
      <c r="L968" s="46"/>
      <c r="M968" s="1647" t="s">
        <v>591</v>
      </c>
      <c r="N968" s="1648"/>
      <c r="O968" s="1648"/>
      <c r="P968" s="1648"/>
      <c r="Q968" s="1648"/>
      <c r="R968" s="1648"/>
      <c r="S968" s="1649"/>
      <c r="U968" s="66" t="s">
        <v>14</v>
      </c>
      <c r="V968" s="5"/>
      <c r="W968" s="5"/>
      <c r="X968" s="5"/>
      <c r="Y968" s="5"/>
      <c r="Z968" s="5"/>
      <c r="AA968" s="5"/>
      <c r="AB968" s="5"/>
      <c r="AC968" s="5"/>
      <c r="AD968" s="46"/>
      <c r="AE968" s="1647" t="s">
        <v>591</v>
      </c>
      <c r="AF968" s="1648"/>
      <c r="AG968" s="1648"/>
      <c r="AH968" s="1648"/>
      <c r="AI968" s="1648"/>
      <c r="AJ968" s="1648"/>
      <c r="AK968" s="1649"/>
      <c r="AV968" s="2"/>
      <c r="AW968" s="2"/>
      <c r="AX968" s="2"/>
      <c r="AY968" s="2"/>
      <c r="AZ968" s="34"/>
      <c r="BA968" s="34"/>
      <c r="BB968" s="34"/>
      <c r="BC968" s="34"/>
    </row>
    <row r="969" spans="1:64" ht="12.95" customHeight="1">
      <c r="C969" s="66" t="s">
        <v>15</v>
      </c>
      <c r="D969" s="5"/>
      <c r="E969" s="5"/>
      <c r="F969" s="5"/>
      <c r="G969" s="5"/>
      <c r="H969" s="5"/>
      <c r="I969" s="5"/>
      <c r="J969" s="5"/>
      <c r="K969" s="5"/>
      <c r="L969" s="46"/>
      <c r="M969" s="1429" t="s">
        <v>591</v>
      </c>
      <c r="N969" s="1430"/>
      <c r="O969" s="1430"/>
      <c r="P969" s="1430"/>
      <c r="Q969" s="1430"/>
      <c r="R969" s="1430"/>
      <c r="S969" s="1431"/>
      <c r="U969" s="66" t="s">
        <v>15</v>
      </c>
      <c r="V969" s="5"/>
      <c r="W969" s="5"/>
      <c r="X969" s="5"/>
      <c r="Y969" s="5"/>
      <c r="Z969" s="5"/>
      <c r="AA969" s="5"/>
      <c r="AB969" s="5"/>
      <c r="AC969" s="5"/>
      <c r="AD969" s="46"/>
      <c r="AE969" s="1429" t="s">
        <v>591</v>
      </c>
      <c r="AF969" s="1430"/>
      <c r="AG969" s="1430"/>
      <c r="AH969" s="1430"/>
      <c r="AI969" s="1430"/>
      <c r="AJ969" s="1430"/>
      <c r="AK969" s="1431"/>
      <c r="AV969" s="2"/>
      <c r="AW969" s="2"/>
      <c r="AX969" s="2"/>
      <c r="AY969" s="2"/>
      <c r="AZ969" s="34"/>
      <c r="BA969" s="34"/>
      <c r="BB969" s="34"/>
      <c r="BC969" s="34"/>
    </row>
    <row r="970" spans="1:64" ht="12.95" customHeight="1">
      <c r="C970" s="66" t="s">
        <v>16</v>
      </c>
      <c r="D970" s="5"/>
      <c r="E970" s="5"/>
      <c r="F970" s="5"/>
      <c r="G970" s="5"/>
      <c r="H970" s="5"/>
      <c r="I970" s="5"/>
      <c r="J970" s="5"/>
      <c r="K970" s="5"/>
      <c r="L970" s="46"/>
      <c r="M970" s="1429" t="s">
        <v>591</v>
      </c>
      <c r="N970" s="1430"/>
      <c r="O970" s="1430"/>
      <c r="P970" s="1430"/>
      <c r="Q970" s="1430"/>
      <c r="R970" s="1430"/>
      <c r="S970" s="1431"/>
      <c r="U970" s="66" t="s">
        <v>16</v>
      </c>
      <c r="V970" s="5"/>
      <c r="W970" s="5"/>
      <c r="X970" s="5"/>
      <c r="Y970" s="5"/>
      <c r="Z970" s="5"/>
      <c r="AA970" s="5"/>
      <c r="AB970" s="5"/>
      <c r="AC970" s="5"/>
      <c r="AD970" s="46"/>
      <c r="AE970" s="1429" t="s">
        <v>591</v>
      </c>
      <c r="AF970" s="1430"/>
      <c r="AG970" s="1430"/>
      <c r="AH970" s="1430"/>
      <c r="AI970" s="1430"/>
      <c r="AJ970" s="1430"/>
      <c r="AK970" s="1431"/>
      <c r="AV970" s="2"/>
      <c r="AW970" s="2"/>
      <c r="AX970" s="2"/>
      <c r="AY970" s="2"/>
      <c r="AZ970" s="34"/>
      <c r="BB970" s="34"/>
      <c r="BC970" s="34"/>
    </row>
    <row r="971" spans="1:64" ht="12.95" customHeight="1">
      <c r="C971" s="121" t="s">
        <v>1650</v>
      </c>
      <c r="D971" s="5"/>
      <c r="E971" s="5"/>
      <c r="F971" s="5"/>
      <c r="G971" s="5"/>
      <c r="H971" s="5"/>
      <c r="I971" s="5"/>
      <c r="J971" s="5"/>
      <c r="K971" s="5"/>
      <c r="L971" s="46"/>
      <c r="M971" s="1426" t="s">
        <v>591</v>
      </c>
      <c r="N971" s="1427"/>
      <c r="O971" s="1427"/>
      <c r="P971" s="1427"/>
      <c r="Q971" s="1427"/>
      <c r="R971" s="1427"/>
      <c r="S971" s="1428"/>
      <c r="U971" s="121" t="s">
        <v>1650</v>
      </c>
      <c r="V971" s="5"/>
      <c r="W971" s="5"/>
      <c r="X971" s="5"/>
      <c r="Y971" s="5"/>
      <c r="Z971" s="5"/>
      <c r="AA971" s="5"/>
      <c r="AB971" s="5"/>
      <c r="AC971" s="5"/>
      <c r="AD971" s="46"/>
      <c r="AE971" s="1426" t="s">
        <v>591</v>
      </c>
      <c r="AF971" s="1427"/>
      <c r="AG971" s="1427"/>
      <c r="AH971" s="1427"/>
      <c r="AI971" s="1427"/>
      <c r="AJ971" s="1427"/>
      <c r="AK971" s="1428"/>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86" t="s">
        <v>591</v>
      </c>
      <c r="N976" s="1387"/>
      <c r="O976" s="1387"/>
      <c r="P976" s="1387"/>
      <c r="Q976" s="1387"/>
      <c r="R976" s="1387"/>
      <c r="S976" s="1388"/>
      <c r="T976" s="66" t="s">
        <v>790</v>
      </c>
      <c r="U976" s="5"/>
      <c r="V976" s="5"/>
      <c r="W976" s="5"/>
      <c r="X976" s="5"/>
      <c r="Y976" s="5"/>
      <c r="Z976" s="46"/>
      <c r="AA976" s="1386" t="s">
        <v>591</v>
      </c>
      <c r="AB976" s="1387"/>
      <c r="AC976" s="1387"/>
      <c r="AD976" s="1387"/>
      <c r="AE976" s="1387"/>
      <c r="AF976" s="1387"/>
      <c r="AG976" s="138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86" t="s">
        <v>591</v>
      </c>
      <c r="N977" s="1387"/>
      <c r="O977" s="1387"/>
      <c r="P977" s="1387"/>
      <c r="Q977" s="1387"/>
      <c r="R977" s="1387"/>
      <c r="S977" s="1388"/>
      <c r="T977" s="66" t="s">
        <v>789</v>
      </c>
      <c r="U977" s="5"/>
      <c r="V977" s="5"/>
      <c r="W977" s="5"/>
      <c r="X977" s="5"/>
      <c r="Y977" s="5"/>
      <c r="Z977" s="46"/>
      <c r="AA977" s="1386" t="s">
        <v>591</v>
      </c>
      <c r="AB977" s="1387"/>
      <c r="AC977" s="1387"/>
      <c r="AD977" s="1387"/>
      <c r="AE977" s="1387"/>
      <c r="AF977" s="1387"/>
      <c r="AG977" s="138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64" t="s">
        <v>591</v>
      </c>
      <c r="N978" s="1665"/>
      <c r="O978" s="1665"/>
      <c r="P978" s="1665"/>
      <c r="Q978" s="1665"/>
      <c r="R978" s="1665"/>
      <c r="S978" s="1666"/>
      <c r="T978" s="45" t="s">
        <v>337</v>
      </c>
      <c r="U978" s="5"/>
      <c r="V978" s="5"/>
      <c r="W978" s="5"/>
      <c r="X978" s="5"/>
      <c r="Y978" s="5"/>
      <c r="Z978" s="46"/>
      <c r="AA978" s="1386" t="s">
        <v>591</v>
      </c>
      <c r="AB978" s="1387"/>
      <c r="AC978" s="1387"/>
      <c r="AD978" s="1387"/>
      <c r="AE978" s="1387"/>
      <c r="AF978" s="1387"/>
      <c r="AG978" s="138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86" t="s">
        <v>591</v>
      </c>
      <c r="N979" s="1387"/>
      <c r="O979" s="1387"/>
      <c r="P979" s="1387"/>
      <c r="Q979" s="1387"/>
      <c r="R979" s="1387"/>
      <c r="S979" s="1388"/>
      <c r="T979" s="45" t="s">
        <v>338</v>
      </c>
      <c r="U979" s="5"/>
      <c r="V979" s="5"/>
      <c r="W979" s="5"/>
      <c r="X979" s="5"/>
      <c r="Y979" s="5"/>
      <c r="Z979" s="46"/>
      <c r="AA979" s="1386" t="s">
        <v>591</v>
      </c>
      <c r="AB979" s="1387"/>
      <c r="AC979" s="1387"/>
      <c r="AD979" s="1387"/>
      <c r="AE979" s="1387"/>
      <c r="AF979" s="1387"/>
      <c r="AG979" s="138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86" t="s">
        <v>591</v>
      </c>
      <c r="N980" s="1387"/>
      <c r="O980" s="1387"/>
      <c r="P980" s="1387"/>
      <c r="Q980" s="1387"/>
      <c r="R980" s="1387"/>
      <c r="S980" s="1388"/>
      <c r="T980" s="45" t="s">
        <v>376</v>
      </c>
      <c r="U980" s="5"/>
      <c r="V980" s="5"/>
      <c r="W980" s="5"/>
      <c r="X980" s="5"/>
      <c r="Y980" s="5"/>
      <c r="Z980" s="46"/>
      <c r="AA980" s="1386" t="s">
        <v>591</v>
      </c>
      <c r="AB980" s="1387"/>
      <c r="AC980" s="1387"/>
      <c r="AD980" s="1387"/>
      <c r="AE980" s="1387"/>
      <c r="AF980" s="1387"/>
      <c r="AG980" s="138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92" t="s">
        <v>307</v>
      </c>
      <c r="N981" s="1393"/>
      <c r="O981" s="1393"/>
      <c r="P981" s="1393"/>
      <c r="Q981" s="1393"/>
      <c r="R981" s="1393"/>
      <c r="S981" s="1394"/>
      <c r="T981" s="1396"/>
      <c r="U981" s="1397"/>
      <c r="V981" s="1397"/>
      <c r="W981" s="1397"/>
      <c r="X981" s="1397"/>
      <c r="Y981" s="1397"/>
      <c r="Z981" s="1398"/>
      <c r="AA981" s="1386" t="s">
        <v>591</v>
      </c>
      <c r="AB981" s="1387"/>
      <c r="AC981" s="1387"/>
      <c r="AD981" s="1387"/>
      <c r="AE981" s="1387"/>
      <c r="AF981" s="1387"/>
      <c r="AG981" s="138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86" t="s">
        <v>591</v>
      </c>
      <c r="N982" s="1387"/>
      <c r="O982" s="1387"/>
      <c r="P982" s="1387"/>
      <c r="Q982" s="1387"/>
      <c r="R982" s="1387"/>
      <c r="S982" s="1388"/>
      <c r="T982" s="1396"/>
      <c r="U982" s="1397"/>
      <c r="V982" s="1397"/>
      <c r="W982" s="1397"/>
      <c r="X982" s="1397"/>
      <c r="Y982" s="1397"/>
      <c r="Z982" s="1398"/>
      <c r="AA982" s="1386" t="s">
        <v>591</v>
      </c>
      <c r="AB982" s="1387"/>
      <c r="AC982" s="1387"/>
      <c r="AD982" s="1387"/>
      <c r="AE982" s="1387"/>
      <c r="AF982" s="1387"/>
      <c r="AG982" s="138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69" t="s">
        <v>669</v>
      </c>
      <c r="P983" s="1570"/>
      <c r="Q983" s="92"/>
      <c r="R983" s="92"/>
      <c r="S983" s="93"/>
      <c r="T983" s="41" t="s">
        <v>170</v>
      </c>
      <c r="U983" s="42"/>
      <c r="V983" s="42"/>
      <c r="W983" s="1584" t="s">
        <v>591</v>
      </c>
      <c r="X983" s="1585"/>
      <c r="Y983" s="1585"/>
      <c r="Z983" s="1585"/>
      <c r="AA983" s="1585"/>
      <c r="AB983" s="1585"/>
      <c r="AC983" s="1585"/>
      <c r="AD983" s="1585"/>
      <c r="AE983" s="1585"/>
      <c r="AF983" s="1585"/>
      <c r="AG983" s="1586"/>
      <c r="AU983" s="68"/>
      <c r="AV983" s="95"/>
      <c r="AW983" s="95"/>
      <c r="AX983" s="95"/>
      <c r="AY983" s="95"/>
      <c r="AZ983" s="34"/>
      <c r="BB983" s="34"/>
      <c r="BC983" s="34"/>
      <c r="BD983" s="34"/>
      <c r="BE983" s="34"/>
      <c r="BF983" s="34"/>
      <c r="BG983" s="34"/>
      <c r="BH983" s="34"/>
      <c r="BI983" s="34"/>
      <c r="BJ983" s="34"/>
      <c r="BK983" s="34"/>
      <c r="BL983" s="34"/>
    </row>
    <row r="984" spans="1:64" ht="12.95" customHeight="1">
      <c r="F984" s="1629" t="s">
        <v>33</v>
      </c>
      <c r="G984" s="1489"/>
      <c r="H984" s="1489"/>
      <c r="I984" s="1489"/>
      <c r="J984" s="1489"/>
      <c r="K984" s="1489"/>
      <c r="L984" s="1489"/>
      <c r="M984" s="1386" t="s">
        <v>591</v>
      </c>
      <c r="N984" s="1387"/>
      <c r="O984" s="1387"/>
      <c r="P984" s="1387"/>
      <c r="Q984" s="1387"/>
      <c r="R984" s="1387"/>
      <c r="S984" s="1388"/>
      <c r="T984" s="47"/>
      <c r="U984" s="48"/>
      <c r="V984" s="48"/>
      <c r="W984" s="48"/>
      <c r="X984" s="48"/>
      <c r="Y984" s="48"/>
      <c r="Z984" s="124" t="s">
        <v>134</v>
      </c>
      <c r="AA984" s="1606" t="s">
        <v>591</v>
      </c>
      <c r="AB984" s="1607"/>
      <c r="AC984" s="1607"/>
      <c r="AD984" s="1607"/>
      <c r="AE984" s="1607"/>
      <c r="AF984" s="1607"/>
      <c r="AG984" s="1608"/>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2"/>
      <c r="BH985" s="1672"/>
      <c r="BI985" s="1672"/>
      <c r="BJ985" s="1672"/>
      <c r="BK985" s="1672"/>
      <c r="BL985" s="167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7" t="s">
        <v>548</v>
      </c>
      <c r="B988" s="1527"/>
      <c r="C988" s="1527"/>
      <c r="D988" s="1527"/>
      <c r="E988" s="1527"/>
      <c r="F988" s="1527"/>
      <c r="G988" s="1527"/>
      <c r="H988" s="1527"/>
      <c r="I988" s="1527"/>
      <c r="J988" s="1527"/>
      <c r="K988" s="1527"/>
      <c r="L988" s="1527"/>
      <c r="M988" s="1527"/>
      <c r="N988" s="1527"/>
      <c r="O988" s="1527"/>
      <c r="P988" s="1527"/>
      <c r="Q988" s="1527"/>
      <c r="R988" s="1527"/>
      <c r="S988" s="1527"/>
      <c r="T988" s="1527"/>
      <c r="U988" s="1527"/>
      <c r="V988" s="1527"/>
      <c r="W988" s="1527"/>
      <c r="X988" s="1527"/>
      <c r="Y988" s="1527"/>
      <c r="Z988" s="1527"/>
      <c r="AA988" s="1527"/>
      <c r="AB988" s="1527"/>
      <c r="AC988" s="1527"/>
      <c r="AD988" s="1527"/>
      <c r="AE988" s="1527"/>
      <c r="AF988" s="1527"/>
      <c r="AG988" s="1527"/>
      <c r="AH988" s="1527"/>
      <c r="AI988" s="1527"/>
      <c r="AJ988" s="1527"/>
      <c r="AK988" s="1527"/>
      <c r="AL988" s="1527"/>
      <c r="AM988" s="1527"/>
      <c r="AN988" s="1527"/>
      <c r="AO988" s="1527"/>
      <c r="AP988" s="1527"/>
      <c r="AQ988" s="1527"/>
      <c r="AR988" s="1527"/>
      <c r="AS988" s="1527"/>
      <c r="AT988" s="1527"/>
      <c r="AU988" s="68"/>
      <c r="AV988" s="68"/>
      <c r="AW988" s="68"/>
      <c r="AX988" s="68"/>
      <c r="AY988" s="68"/>
      <c r="AZ988" s="14"/>
      <c r="BA988" s="14"/>
      <c r="BB988" s="908"/>
      <c r="BC988" s="908"/>
    </row>
    <row r="989" spans="1:64" ht="12.95" customHeight="1">
      <c r="A989" s="1527"/>
      <c r="B989" s="1527"/>
      <c r="C989" s="1527"/>
      <c r="D989" s="1527"/>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7"/>
      <c r="AF989" s="1527"/>
      <c r="AG989" s="1527"/>
      <c r="AH989" s="1527"/>
      <c r="AI989" s="1527"/>
      <c r="AJ989" s="1527"/>
      <c r="AK989" s="1527"/>
      <c r="AL989" s="1527"/>
      <c r="AM989" s="1527"/>
      <c r="AN989" s="1527"/>
      <c r="AO989" s="1527"/>
      <c r="AP989" s="1527"/>
      <c r="AQ989" s="1527"/>
      <c r="AR989" s="1527"/>
      <c r="AS989" s="1527"/>
      <c r="AT989" s="1527"/>
      <c r="AU989" s="68"/>
      <c r="AV989" s="68"/>
      <c r="AW989" s="68"/>
      <c r="AX989" s="68"/>
      <c r="AY989" s="68"/>
      <c r="AZ989" s="30"/>
      <c r="BA989" s="14"/>
      <c r="BB989" s="14"/>
      <c r="BC989" s="14"/>
    </row>
    <row r="990" spans="1:64" ht="12.95" customHeight="1">
      <c r="A990" s="1527"/>
      <c r="B990" s="1527"/>
      <c r="C990" s="1527"/>
      <c r="D990" s="1527"/>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1527"/>
      <c r="AF990" s="1527"/>
      <c r="AG990" s="1527"/>
      <c r="AH990" s="1527"/>
      <c r="AI990" s="1527"/>
      <c r="AJ990" s="1527"/>
      <c r="AK990" s="1527"/>
      <c r="AL990" s="1527"/>
      <c r="AM990" s="1527"/>
      <c r="AN990" s="1527"/>
      <c r="AO990" s="1527"/>
      <c r="AP990" s="1527"/>
      <c r="AQ990" s="1527"/>
      <c r="AR990" s="1527"/>
      <c r="AS990" s="1527"/>
      <c r="AT990" s="1527"/>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67" t="s">
        <v>638</v>
      </c>
      <c r="E994" s="1468"/>
      <c r="F994" s="1468"/>
      <c r="G994" s="1468"/>
      <c r="H994" s="1468"/>
      <c r="I994" s="1468"/>
      <c r="J994" s="1468"/>
      <c r="K994" s="1468"/>
      <c r="L994" s="1468"/>
      <c r="M994" s="1468"/>
      <c r="N994" s="1468"/>
      <c r="O994" s="1468"/>
      <c r="P994" s="1468"/>
      <c r="Q994" s="1469"/>
      <c r="R994" s="1467" t="s">
        <v>639</v>
      </c>
      <c r="S994" s="1468"/>
      <c r="T994" s="1468"/>
      <c r="U994" s="1468"/>
      <c r="V994" s="1468"/>
      <c r="W994" s="1468"/>
      <c r="X994" s="1468"/>
      <c r="Y994" s="1468"/>
      <c r="Z994" s="1468"/>
      <c r="AA994" s="1469"/>
      <c r="AB994" s="1467" t="s">
        <v>640</v>
      </c>
      <c r="AC994" s="1468"/>
      <c r="AD994" s="1468"/>
      <c r="AE994" s="1468"/>
      <c r="AF994" s="1468"/>
      <c r="AG994" s="1468"/>
      <c r="AH994" s="1468"/>
      <c r="AI994" s="1469"/>
      <c r="AJ994" s="1467" t="s">
        <v>641</v>
      </c>
      <c r="AK994" s="1468"/>
      <c r="AL994" s="1468"/>
      <c r="AM994" s="1468"/>
      <c r="AN994" s="1468"/>
      <c r="AO994" s="1468"/>
      <c r="AP994" s="1468"/>
      <c r="AQ994" s="1469"/>
      <c r="AR994" s="68"/>
      <c r="AS994" s="68"/>
      <c r="AT994" s="68"/>
      <c r="AU994" s="68"/>
      <c r="AV994" s="68"/>
      <c r="AW994" s="68"/>
      <c r="AX994" s="68"/>
      <c r="AY994" s="68"/>
      <c r="AZ994" s="30"/>
      <c r="BB994" s="14"/>
      <c r="BC994" s="14"/>
    </row>
    <row r="995" spans="1:55" ht="12.95" customHeight="1">
      <c r="A995" s="14"/>
      <c r="B995" s="73"/>
      <c r="C995" s="925"/>
      <c r="D995" s="1403" t="s">
        <v>633</v>
      </c>
      <c r="E995" s="1404"/>
      <c r="F995" s="1404"/>
      <c r="G995" s="1404"/>
      <c r="H995" s="1404"/>
      <c r="I995" s="1404"/>
      <c r="J995" s="1404"/>
      <c r="K995" s="1404"/>
      <c r="L995" s="1404"/>
      <c r="M995" s="1404"/>
      <c r="N995" s="1404"/>
      <c r="O995" s="1404"/>
      <c r="P995" s="1404"/>
      <c r="Q995" s="1405"/>
      <c r="R995" s="1406">
        <f>IF(ISNA(IF($CU$122="4%",(INDEX($CS$160:$CW$217,MATCH($DG$122,$CR$160:$CR$217,0),MATCH(D995,$CS$159:$CW$159,0))),(INDEX($CZ$160:$DD$217,MATCH($DG$122,$CY$160:$CY$217,0),MATCH(D995,$CZ$159:$DD$159,0))))),0,IF($CU$122="4%",(INDEX($CS$160:$CW$217,MATCH($DG$122,$CR$160:$CR$217,0),MATCH(D995,$CS$159:$CW$159,0))),(INDEX($CZ$160:$DD$217,MATCH($DG$122,$CY$160:$CY$217,0),MATCH(D995,$CZ$159:$DD$159,0)))))</f>
        <v>360075</v>
      </c>
      <c r="S995" s="1406"/>
      <c r="T995" s="1406"/>
      <c r="U995" s="1406"/>
      <c r="V995" s="1406"/>
      <c r="W995" s="1406"/>
      <c r="X995" s="1406"/>
      <c r="Y995" s="1406"/>
      <c r="Z995" s="1406"/>
      <c r="AA995" s="1406"/>
      <c r="AB995" s="1400">
        <f>CP810</f>
        <v>0</v>
      </c>
      <c r="AC995" s="1401"/>
      <c r="AD995" s="1401"/>
      <c r="AE995" s="1401"/>
      <c r="AF995" s="1401"/>
      <c r="AG995" s="1401"/>
      <c r="AH995" s="1401"/>
      <c r="AI995" s="1402"/>
      <c r="AJ995" s="1407">
        <f>IF(ISERROR((R995*AB995)),0,(R995*AB995))</f>
        <v>0</v>
      </c>
      <c r="AK995" s="1408"/>
      <c r="AL995" s="1408"/>
      <c r="AM995" s="1408"/>
      <c r="AN995" s="1408"/>
      <c r="AO995" s="1408"/>
      <c r="AP995" s="1408"/>
      <c r="AQ995" s="1409"/>
      <c r="AR995" s="68"/>
      <c r="AS995" s="68"/>
      <c r="AT995" s="68"/>
      <c r="AU995" s="68"/>
      <c r="AV995" s="68"/>
      <c r="AW995" s="68"/>
      <c r="AX995" s="68"/>
      <c r="AY995" s="68"/>
      <c r="AZ995" s="30"/>
      <c r="BB995" s="14"/>
      <c r="BC995" s="14"/>
    </row>
    <row r="996" spans="1:55" ht="12.95" customHeight="1">
      <c r="A996" s="14"/>
      <c r="B996" s="73"/>
      <c r="C996" s="83"/>
      <c r="D996" s="1403" t="s">
        <v>325</v>
      </c>
      <c r="E996" s="1404"/>
      <c r="F996" s="1404"/>
      <c r="G996" s="1404"/>
      <c r="H996" s="1404"/>
      <c r="I996" s="1404"/>
      <c r="J996" s="1404"/>
      <c r="K996" s="1404"/>
      <c r="L996" s="1404"/>
      <c r="M996" s="1404"/>
      <c r="N996" s="1404"/>
      <c r="O996" s="1404"/>
      <c r="P996" s="1404"/>
      <c r="Q996" s="1405"/>
      <c r="R996" s="1406">
        <f>IF(ISNA(IF($CU$122="4%",(INDEX($CS$160:$CW$217,MATCH($DG$122,$CR$160:$CR$217,0),MATCH(D996,$CS$159:$CW$159,0))),(INDEX($CZ$160:$DD$217,MATCH($DG$122,$CY$160:$CY$217,0),MATCH(D996,$CZ$159:$DD$159,0))))),0,IF($CU$122="4%",(INDEX($CS$160:$CW$217,MATCH($DG$122,$CR$160:$CR$217,0),MATCH(D996,$CS$159:$CW$159,0))),(INDEX($CZ$160:$DD$217,MATCH($DG$122,$CY$160:$CY$217,0),MATCH(D996,$CZ$159:$DD$159,0)))))</f>
        <v>415163</v>
      </c>
      <c r="S996" s="1406"/>
      <c r="T996" s="1406"/>
      <c r="U996" s="1406"/>
      <c r="V996" s="1406"/>
      <c r="W996" s="1406"/>
      <c r="X996" s="1406"/>
      <c r="Y996" s="1406"/>
      <c r="Z996" s="1406"/>
      <c r="AA996" s="1406"/>
      <c r="AB996" s="1400">
        <f>CU810</f>
        <v>130</v>
      </c>
      <c r="AC996" s="1401"/>
      <c r="AD996" s="1401"/>
      <c r="AE996" s="1401"/>
      <c r="AF996" s="1401"/>
      <c r="AG996" s="1401"/>
      <c r="AH996" s="1401"/>
      <c r="AI996" s="1402"/>
      <c r="AJ996" s="1407">
        <f>IF(ISERROR((R996*AB996)),0,(R996*AB996))</f>
        <v>53971190</v>
      </c>
      <c r="AK996" s="1408"/>
      <c r="AL996" s="1408"/>
      <c r="AM996" s="1408"/>
      <c r="AN996" s="1408"/>
      <c r="AO996" s="1408"/>
      <c r="AP996" s="1408"/>
      <c r="AQ996" s="1409"/>
      <c r="AR996" s="68"/>
      <c r="AS996" s="68"/>
      <c r="AT996" s="68"/>
      <c r="AU996" s="68"/>
      <c r="AV996" s="68"/>
      <c r="AW996" s="68"/>
      <c r="AX996" s="68"/>
      <c r="AY996" s="68"/>
      <c r="AZ996" s="30"/>
      <c r="BB996" s="14"/>
      <c r="BC996" s="14"/>
    </row>
    <row r="997" spans="1:55" ht="12.95" customHeight="1">
      <c r="A997" s="14"/>
      <c r="B997" s="73"/>
      <c r="C997" s="83"/>
      <c r="D997" s="1403" t="s">
        <v>163</v>
      </c>
      <c r="E997" s="1404"/>
      <c r="F997" s="1404"/>
      <c r="G997" s="1404"/>
      <c r="H997" s="1404"/>
      <c r="I997" s="1404"/>
      <c r="J997" s="1404"/>
      <c r="K997" s="1404"/>
      <c r="L997" s="1404"/>
      <c r="M997" s="1404"/>
      <c r="N997" s="1404"/>
      <c r="O997" s="1404"/>
      <c r="P997" s="1404"/>
      <c r="Q997" s="1405"/>
      <c r="R997" s="1406">
        <f>IF(ISNA(IF($CU$122="4%",(INDEX($CS$160:$CW$217,MATCH($DG$122,$CR$160:$CR$217,0),MATCH(D997,$CS$159:$CW$159,0))),(INDEX($CZ$160:$DD$217,MATCH($DG$122,$CY$160:$CY$217,0),MATCH(D997,$CZ$159:$DD$159,0))))),0,IF($CU$122="4%",(INDEX($CS$160:$CW$217,MATCH($DG$122,$CR$160:$CR$217,0),MATCH(D997,$CS$159:$CW$159,0))),(INDEX($CZ$160:$DD$217,MATCH($DG$122,$CY$160:$CY$217,0),MATCH(D997,$CZ$159:$DD$159,0)))))</f>
        <v>500800</v>
      </c>
      <c r="S997" s="1406"/>
      <c r="T997" s="1406"/>
      <c r="U997" s="1406"/>
      <c r="V997" s="1406"/>
      <c r="W997" s="1406"/>
      <c r="X997" s="1406"/>
      <c r="Y997" s="1406"/>
      <c r="Z997" s="1406"/>
      <c r="AA997" s="1406"/>
      <c r="AB997" s="1400">
        <f>CZ810</f>
        <v>120</v>
      </c>
      <c r="AC997" s="1401"/>
      <c r="AD997" s="1401"/>
      <c r="AE997" s="1401"/>
      <c r="AF997" s="1401"/>
      <c r="AG997" s="1401"/>
      <c r="AH997" s="1401"/>
      <c r="AI997" s="1402"/>
      <c r="AJ997" s="1407">
        <f>IF(ISERROR((R997*AB997)),0,(R997*AB997))</f>
        <v>60096000</v>
      </c>
      <c r="AK997" s="1408"/>
      <c r="AL997" s="1408"/>
      <c r="AM997" s="1408"/>
      <c r="AN997" s="1408"/>
      <c r="AO997" s="1408"/>
      <c r="AP997" s="1408"/>
      <c r="AQ997" s="1409"/>
      <c r="AR997" s="68"/>
      <c r="AS997" s="68"/>
      <c r="AT997" s="68"/>
      <c r="AU997" s="68"/>
      <c r="AV997" s="68"/>
      <c r="AW997" s="68"/>
      <c r="AX997" s="68"/>
      <c r="AY997" s="68"/>
      <c r="AZ997" s="30"/>
      <c r="BB997" s="14"/>
      <c r="BC997" s="14"/>
    </row>
    <row r="998" spans="1:55" ht="12.95" customHeight="1">
      <c r="A998" s="14"/>
      <c r="B998" s="73"/>
      <c r="C998" s="83"/>
      <c r="D998" s="1403" t="s">
        <v>164</v>
      </c>
      <c r="E998" s="1404"/>
      <c r="F998" s="1404"/>
      <c r="G998" s="1404"/>
      <c r="H998" s="1404"/>
      <c r="I998" s="1404"/>
      <c r="J998" s="1404"/>
      <c r="K998" s="1404"/>
      <c r="L998" s="1404"/>
      <c r="M998" s="1404"/>
      <c r="N998" s="1404"/>
      <c r="O998" s="1404"/>
      <c r="P998" s="1404"/>
      <c r="Q998" s="1405"/>
      <c r="R998" s="1406">
        <f>IF(ISNA(IF($CU$122="4%",(INDEX($CS$160:$CW$217,MATCH($DG$122,$CR$160:$CR$217,0),MATCH(D998,$CS$159:$CW$159,0))),(INDEX($CZ$160:$DD$217,MATCH($DG$122,$CY$160:$CY$217,0),MATCH(D998,$CZ$159:$DD$159,0))))),0,IF($CU$122="4%",(INDEX($CS$160:$CW$217,MATCH($DG$122,$CR$160:$CR$217,0),MATCH(D998,$CS$159:$CW$159,0))),(INDEX($CZ$160:$DD$217,MATCH($DG$122,$CY$160:$CY$217,0),MATCH(D998,$CZ$159:$DD$159,0)))))</f>
        <v>641024</v>
      </c>
      <c r="S998" s="1406"/>
      <c r="T998" s="1406"/>
      <c r="U998" s="1406"/>
      <c r="V998" s="1406"/>
      <c r="W998" s="1406"/>
      <c r="X998" s="1406"/>
      <c r="Y998" s="1406"/>
      <c r="Z998" s="1406"/>
      <c r="AA998" s="1406"/>
      <c r="AB998" s="1400">
        <f>DE810</f>
        <v>98</v>
      </c>
      <c r="AC998" s="1401"/>
      <c r="AD998" s="1401"/>
      <c r="AE998" s="1401"/>
      <c r="AF998" s="1401"/>
      <c r="AG998" s="1401"/>
      <c r="AH998" s="1401"/>
      <c r="AI998" s="1402"/>
      <c r="AJ998" s="1407">
        <f>IF(ISERROR((R998*AB998)),0,(R998*AB998))</f>
        <v>62820352</v>
      </c>
      <c r="AK998" s="1408"/>
      <c r="AL998" s="1408"/>
      <c r="AM998" s="1408"/>
      <c r="AN998" s="1408"/>
      <c r="AO998" s="1408"/>
      <c r="AP998" s="1408"/>
      <c r="AQ998" s="1409"/>
      <c r="AR998" s="68"/>
      <c r="AS998" s="68"/>
      <c r="AT998" s="68"/>
      <c r="AU998" s="68"/>
      <c r="AV998" s="68"/>
      <c r="AW998" s="68"/>
      <c r="AX998" s="68"/>
      <c r="AY998" s="68"/>
      <c r="AZ998" s="30"/>
      <c r="BA998" s="34"/>
      <c r="BB998" s="14"/>
      <c r="BC998" s="14"/>
    </row>
    <row r="999" spans="1:55" ht="12.95" customHeight="1">
      <c r="A999" s="14"/>
      <c r="B999" s="47"/>
      <c r="C999" s="78"/>
      <c r="D999" s="1403" t="s">
        <v>460</v>
      </c>
      <c r="E999" s="1404"/>
      <c r="F999" s="1404"/>
      <c r="G999" s="1404"/>
      <c r="H999" s="1404"/>
      <c r="I999" s="1404"/>
      <c r="J999" s="1404"/>
      <c r="K999" s="1404"/>
      <c r="L999" s="1404"/>
      <c r="M999" s="1404"/>
      <c r="N999" s="1404"/>
      <c r="O999" s="1404"/>
      <c r="P999" s="1404"/>
      <c r="Q999" s="1405"/>
      <c r="R999" s="1406">
        <f>IF(ISNA(IF($CU$122="4%",(INDEX($CS$160:$CW$217,MATCH($DG$122,$CR$160:$CR$217,0),MATCH(D999,$CS$159:$CW$159,0))),(INDEX($CZ$160:$DD$217,MATCH($DG$122,$CY$160:$CY$217,0),MATCH(D999,$CZ$159:$DD$159,0))))),0,IF($CU$122="4%",(INDEX($CS$160:$CW$217,MATCH($DG$122,$CR$160:$CR$217,0),MATCH(D999,$CS$159:$CW$159,0))),(INDEX($CZ$160:$DD$217,MATCH($DG$122,$CY$160:$CY$217,0),MATCH(D999,$CZ$159:$DD$159,0)))))</f>
        <v>714141</v>
      </c>
      <c r="S999" s="1406"/>
      <c r="T999" s="1406"/>
      <c r="U999" s="1406"/>
      <c r="V999" s="1406"/>
      <c r="W999" s="1406"/>
      <c r="X999" s="1406"/>
      <c r="Y999" s="1406"/>
      <c r="Z999" s="1406"/>
      <c r="AA999" s="1406"/>
      <c r="AB999" s="1400">
        <f>DO810+DJ810</f>
        <v>0</v>
      </c>
      <c r="AC999" s="1401"/>
      <c r="AD999" s="1401"/>
      <c r="AE999" s="1401"/>
      <c r="AF999" s="1401"/>
      <c r="AG999" s="1401"/>
      <c r="AH999" s="1401"/>
      <c r="AI999" s="1402"/>
      <c r="AJ999" s="1407">
        <f>IF(ISERROR((R999*AB999)),0,(R999*AB999))</f>
        <v>0</v>
      </c>
      <c r="AK999" s="1408"/>
      <c r="AL999" s="1408"/>
      <c r="AM999" s="1408"/>
      <c r="AN999" s="1408"/>
      <c r="AO999" s="1408"/>
      <c r="AP999" s="1408"/>
      <c r="AQ999" s="1409"/>
      <c r="AR999" s="68"/>
      <c r="AS999" s="68"/>
      <c r="AT999" s="68"/>
      <c r="AU999" s="68"/>
      <c r="AV999" s="68"/>
      <c r="AW999" s="68"/>
      <c r="AX999" s="68"/>
      <c r="AY999" s="68"/>
      <c r="AZ999" s="30"/>
      <c r="BB999" s="14"/>
      <c r="BC999" s="14"/>
    </row>
    <row r="1000" spans="1:55" ht="12.95" customHeight="1">
      <c r="A1000" s="14"/>
      <c r="B1000" s="1633" t="s">
        <v>791</v>
      </c>
      <c r="C1000" s="1634"/>
      <c r="D1000" s="1634"/>
      <c r="E1000" s="1634"/>
      <c r="F1000" s="1634"/>
      <c r="G1000" s="1634"/>
      <c r="H1000" s="1634"/>
      <c r="I1000" s="1634"/>
      <c r="J1000" s="1634"/>
      <c r="K1000" s="1634"/>
      <c r="L1000" s="1634"/>
      <c r="M1000" s="1634"/>
      <c r="N1000" s="1634"/>
      <c r="O1000" s="1634"/>
      <c r="P1000" s="1634"/>
      <c r="Q1000" s="1634"/>
      <c r="R1000" s="1634"/>
      <c r="S1000" s="1634"/>
      <c r="T1000" s="1634"/>
      <c r="U1000" s="1634"/>
      <c r="V1000" s="1634"/>
      <c r="W1000" s="1634"/>
      <c r="X1000" s="1634"/>
      <c r="Y1000" s="1634"/>
      <c r="Z1000" s="1634"/>
      <c r="AA1000" s="1635"/>
      <c r="AB1000" s="1400">
        <f>SUM(AB995:AI999)</f>
        <v>348</v>
      </c>
      <c r="AC1000" s="1401"/>
      <c r="AD1000" s="1401"/>
      <c r="AE1000" s="1401"/>
      <c r="AF1000" s="1401"/>
      <c r="AG1000" s="1401"/>
      <c r="AH1000" s="1401"/>
      <c r="AI1000" s="1402"/>
      <c r="AJ1000" s="1407"/>
      <c r="AK1000" s="1408"/>
      <c r="AL1000" s="1408"/>
      <c r="AM1000" s="1408"/>
      <c r="AN1000" s="1408"/>
      <c r="AO1000" s="1408"/>
      <c r="AP1000" s="1408"/>
      <c r="AQ1000" s="1409"/>
      <c r="AR1000" s="68"/>
      <c r="AS1000" s="68"/>
      <c r="AT1000" s="68"/>
      <c r="AU1000" s="68"/>
      <c r="AV1000" s="68"/>
      <c r="AW1000" s="68"/>
      <c r="AX1000" s="68"/>
      <c r="AY1000" s="68"/>
      <c r="AZ1000" s="34"/>
      <c r="BA1000" s="34"/>
      <c r="BB1000" s="14"/>
      <c r="BC1000" s="14"/>
    </row>
    <row r="1001" spans="1:55" ht="12.95" customHeight="1">
      <c r="A1001" s="14"/>
      <c r="B1001" s="1630" t="s">
        <v>512</v>
      </c>
      <c r="C1001" s="1631"/>
      <c r="D1001" s="1631"/>
      <c r="E1001" s="1631"/>
      <c r="F1001" s="1631"/>
      <c r="G1001" s="1631"/>
      <c r="H1001" s="1631"/>
      <c r="I1001" s="1631"/>
      <c r="J1001" s="1631"/>
      <c r="K1001" s="1631"/>
      <c r="L1001" s="1631"/>
      <c r="M1001" s="1631"/>
      <c r="N1001" s="1631"/>
      <c r="O1001" s="1631"/>
      <c r="P1001" s="1631"/>
      <c r="Q1001" s="1631"/>
      <c r="R1001" s="1631"/>
      <c r="S1001" s="1631"/>
      <c r="T1001" s="1631"/>
      <c r="U1001" s="1631"/>
      <c r="V1001" s="1631"/>
      <c r="W1001" s="1631"/>
      <c r="X1001" s="1631"/>
      <c r="Y1001" s="1631"/>
      <c r="Z1001" s="1631"/>
      <c r="AA1001" s="1631"/>
      <c r="AB1001" s="1631"/>
      <c r="AC1001" s="1631"/>
      <c r="AD1001" s="1631"/>
      <c r="AE1001" s="1631"/>
      <c r="AF1001" s="1631"/>
      <c r="AG1001" s="1631"/>
      <c r="AH1001" s="1631"/>
      <c r="AI1001" s="1632"/>
      <c r="AJ1001" s="1407">
        <f>SUM(AJ995:AQ999)</f>
        <v>176887542</v>
      </c>
      <c r="AK1001" s="1408"/>
      <c r="AL1001" s="1408"/>
      <c r="AM1001" s="1408"/>
      <c r="AN1001" s="1408"/>
      <c r="AO1001" s="1408"/>
      <c r="AP1001" s="1408"/>
      <c r="AQ1001" s="1409"/>
      <c r="AR1001" s="68"/>
      <c r="AS1001" s="68"/>
      <c r="AT1001" s="68"/>
      <c r="AU1001" s="68"/>
      <c r="AV1001" s="68"/>
      <c r="AW1001" s="68"/>
      <c r="AX1001" s="68"/>
      <c r="AY1001" s="68"/>
      <c r="AZ1001" s="34"/>
      <c r="BB1001" s="34"/>
      <c r="BC1001" s="34"/>
    </row>
    <row r="1002" spans="1:55" ht="12.95" customHeight="1">
      <c r="A1002" s="14"/>
      <c r="B1002" s="1413"/>
      <c r="C1002" s="1414"/>
      <c r="D1002" s="1414"/>
      <c r="E1002" s="1414"/>
      <c r="F1002" s="1414"/>
      <c r="G1002" s="1414"/>
      <c r="H1002" s="1414"/>
      <c r="I1002" s="1414"/>
      <c r="J1002" s="1414"/>
      <c r="K1002" s="1414"/>
      <c r="L1002" s="1414"/>
      <c r="M1002" s="1414"/>
      <c r="N1002" s="1414"/>
      <c r="O1002" s="1414"/>
      <c r="P1002" s="1414"/>
      <c r="Q1002" s="1414"/>
      <c r="R1002" s="1414"/>
      <c r="S1002" s="1414"/>
      <c r="T1002" s="1414"/>
      <c r="U1002" s="1414"/>
      <c r="V1002" s="1414"/>
      <c r="W1002" s="1414"/>
      <c r="X1002" s="1414"/>
      <c r="Y1002" s="1414"/>
      <c r="Z1002" s="1414"/>
      <c r="AA1002" s="1414"/>
      <c r="AB1002" s="1414"/>
      <c r="AC1002" s="1414"/>
      <c r="AD1002" s="1414"/>
      <c r="AE1002" s="1415"/>
      <c r="AF1002" s="1609" t="s">
        <v>666</v>
      </c>
      <c r="AG1002" s="1610"/>
      <c r="AH1002" s="1610"/>
      <c r="AI1002" s="1611"/>
      <c r="AJ1002" s="1413"/>
      <c r="AK1002" s="1414"/>
      <c r="AL1002" s="1414"/>
      <c r="AM1002" s="1414"/>
      <c r="AN1002" s="1414"/>
      <c r="AO1002" s="1414"/>
      <c r="AP1002" s="1414"/>
      <c r="AQ1002" s="1415"/>
      <c r="AR1002" s="68"/>
      <c r="AS1002" s="68"/>
      <c r="AT1002" s="68"/>
      <c r="AU1002" s="68"/>
      <c r="AV1002" s="68"/>
      <c r="AW1002" s="68"/>
      <c r="AX1002" s="68"/>
      <c r="AY1002" s="68"/>
      <c r="AZ1002" s="34"/>
      <c r="BA1002" s="34"/>
      <c r="BB1002" s="34"/>
      <c r="BC1002" s="34"/>
    </row>
    <row r="1003" spans="1:55" ht="12.95" customHeight="1">
      <c r="A1003" s="14"/>
      <c r="B1003" s="73"/>
      <c r="C1003" s="923" t="s">
        <v>668</v>
      </c>
      <c r="D1003" s="1341" t="s">
        <v>1220</v>
      </c>
      <c r="E1003" s="1342"/>
      <c r="F1003" s="1342"/>
      <c r="G1003" s="1342"/>
      <c r="H1003" s="1342"/>
      <c r="I1003" s="1342"/>
      <c r="J1003" s="1342"/>
      <c r="K1003" s="1342"/>
      <c r="L1003" s="1342"/>
      <c r="M1003" s="1342"/>
      <c r="N1003" s="1342"/>
      <c r="O1003" s="1342"/>
      <c r="P1003" s="1342"/>
      <c r="Q1003" s="1342"/>
      <c r="R1003" s="1342"/>
      <c r="S1003" s="1342"/>
      <c r="T1003" s="1342"/>
      <c r="U1003" s="1342"/>
      <c r="V1003" s="1342"/>
      <c r="W1003" s="1342"/>
      <c r="X1003" s="1342"/>
      <c r="Y1003" s="1342"/>
      <c r="Z1003" s="1342"/>
      <c r="AA1003" s="1342"/>
      <c r="AB1003" s="1342"/>
      <c r="AC1003" s="1342"/>
      <c r="AD1003" s="1342"/>
      <c r="AE1003" s="1343"/>
      <c r="AF1003" s="79"/>
      <c r="AG1003" s="1612" t="s">
        <v>669</v>
      </c>
      <c r="AH1003" s="1613"/>
      <c r="AI1003" s="87"/>
      <c r="AJ1003" s="1374">
        <f>ROUND(IF(AND(AG1003="yes",D1009&gt;0),AJ1001*0.2,0),0)</f>
        <v>0</v>
      </c>
      <c r="AK1003" s="1375"/>
      <c r="AL1003" s="1375"/>
      <c r="AM1003" s="1375"/>
      <c r="AN1003" s="1375"/>
      <c r="AO1003" s="1375"/>
      <c r="AP1003" s="1375"/>
      <c r="AQ1003" s="1376"/>
      <c r="AR1003" s="68"/>
      <c r="AS1003" s="68"/>
      <c r="AT1003" s="68"/>
      <c r="AU1003" s="68"/>
      <c r="AV1003" s="68"/>
      <c r="AW1003" s="68"/>
      <c r="AX1003" s="68"/>
      <c r="AY1003" s="68"/>
      <c r="AZ1003" s="34"/>
      <c r="BA1003" s="34"/>
      <c r="BB1003" s="34"/>
      <c r="BC1003" s="34"/>
    </row>
    <row r="1004" spans="1:55" ht="12.95" customHeight="1">
      <c r="A1004" s="14"/>
      <c r="B1004" s="257"/>
      <c r="C1004" s="256"/>
      <c r="D1004" s="1557" t="s">
        <v>2190</v>
      </c>
      <c r="E1004" s="1558"/>
      <c r="F1004" s="1558"/>
      <c r="G1004" s="1558"/>
      <c r="H1004" s="1558"/>
      <c r="I1004" s="1558"/>
      <c r="J1004" s="1558"/>
      <c r="K1004" s="1558"/>
      <c r="L1004" s="1558"/>
      <c r="M1004" s="1558"/>
      <c r="N1004" s="1558"/>
      <c r="O1004" s="1558"/>
      <c r="P1004" s="1558"/>
      <c r="Q1004" s="1558"/>
      <c r="R1004" s="1558"/>
      <c r="S1004" s="1558"/>
      <c r="T1004" s="1558"/>
      <c r="U1004" s="1558"/>
      <c r="V1004" s="1558"/>
      <c r="W1004" s="1558"/>
      <c r="X1004" s="1558"/>
      <c r="Y1004" s="1558"/>
      <c r="Z1004" s="1558"/>
      <c r="AA1004" s="1558"/>
      <c r="AB1004" s="1558"/>
      <c r="AC1004" s="1558"/>
      <c r="AD1004" s="1558"/>
      <c r="AE1004" s="1559"/>
      <c r="AF1004" s="73"/>
      <c r="AG1004" s="14"/>
      <c r="AH1004" s="14"/>
      <c r="AI1004" s="83"/>
      <c r="AJ1004" s="1377"/>
      <c r="AK1004" s="1378"/>
      <c r="AL1004" s="1378"/>
      <c r="AM1004" s="1378"/>
      <c r="AN1004" s="1378"/>
      <c r="AO1004" s="1378"/>
      <c r="AP1004" s="1378"/>
      <c r="AQ1004" s="1379"/>
      <c r="AR1004" s="68"/>
      <c r="AS1004" s="68"/>
      <c r="AT1004" s="68"/>
      <c r="AU1004" s="68"/>
      <c r="AV1004" s="68"/>
      <c r="AW1004" s="68"/>
      <c r="AX1004" s="68"/>
      <c r="AY1004" s="68"/>
      <c r="AZ1004" s="34"/>
      <c r="BA1004" s="34"/>
      <c r="BB1004" s="34"/>
      <c r="BC1004" s="34"/>
    </row>
    <row r="1005" spans="1:55" ht="12.95" customHeight="1">
      <c r="A1005" s="14"/>
      <c r="B1005" s="257"/>
      <c r="C1005" s="256"/>
      <c r="D1005" s="1557"/>
      <c r="E1005" s="1558"/>
      <c r="F1005" s="1558"/>
      <c r="G1005" s="1558"/>
      <c r="H1005" s="1558"/>
      <c r="I1005" s="1558"/>
      <c r="J1005" s="1558"/>
      <c r="K1005" s="1558"/>
      <c r="L1005" s="1558"/>
      <c r="M1005" s="1558"/>
      <c r="N1005" s="1558"/>
      <c r="O1005" s="1558"/>
      <c r="P1005" s="1558"/>
      <c r="Q1005" s="1558"/>
      <c r="R1005" s="1558"/>
      <c r="S1005" s="1558"/>
      <c r="T1005" s="1558"/>
      <c r="U1005" s="1558"/>
      <c r="V1005" s="1558"/>
      <c r="W1005" s="1558"/>
      <c r="X1005" s="1558"/>
      <c r="Y1005" s="1558"/>
      <c r="Z1005" s="1558"/>
      <c r="AA1005" s="1558"/>
      <c r="AB1005" s="1558"/>
      <c r="AC1005" s="1558"/>
      <c r="AD1005" s="1558"/>
      <c r="AE1005" s="1559"/>
      <c r="AF1005" s="73"/>
      <c r="AG1005" s="14"/>
      <c r="AH1005" s="14"/>
      <c r="AI1005" s="83"/>
      <c r="AJ1005" s="1377"/>
      <c r="AK1005" s="1378"/>
      <c r="AL1005" s="1378"/>
      <c r="AM1005" s="1378"/>
      <c r="AN1005" s="1378"/>
      <c r="AO1005" s="1378"/>
      <c r="AP1005" s="1378"/>
      <c r="AQ1005" s="1379"/>
      <c r="AR1005" s="68"/>
      <c r="AS1005" s="68"/>
      <c r="AT1005" s="68"/>
      <c r="AU1005" s="68"/>
      <c r="AV1005" s="68"/>
      <c r="AW1005" s="68"/>
      <c r="AX1005" s="68"/>
      <c r="AY1005" s="68"/>
      <c r="AZ1005" s="34"/>
      <c r="BA1005" s="34"/>
      <c r="BB1005" s="34"/>
      <c r="BC1005" s="34"/>
    </row>
    <row r="1006" spans="1:55" ht="12.95" customHeight="1">
      <c r="A1006" s="14"/>
      <c r="B1006" s="257"/>
      <c r="C1006" s="256"/>
      <c r="D1006" s="1557"/>
      <c r="E1006" s="1558"/>
      <c r="F1006" s="1558"/>
      <c r="G1006" s="1558"/>
      <c r="H1006" s="1558"/>
      <c r="I1006" s="1558"/>
      <c r="J1006" s="1558"/>
      <c r="K1006" s="1558"/>
      <c r="L1006" s="1558"/>
      <c r="M1006" s="1558"/>
      <c r="N1006" s="1558"/>
      <c r="O1006" s="1558"/>
      <c r="P1006" s="1558"/>
      <c r="Q1006" s="1558"/>
      <c r="R1006" s="1558"/>
      <c r="S1006" s="1558"/>
      <c r="T1006" s="1558"/>
      <c r="U1006" s="1558"/>
      <c r="V1006" s="1558"/>
      <c r="W1006" s="1558"/>
      <c r="X1006" s="1558"/>
      <c r="Y1006" s="1558"/>
      <c r="Z1006" s="1558"/>
      <c r="AA1006" s="1558"/>
      <c r="AB1006" s="1558"/>
      <c r="AC1006" s="1558"/>
      <c r="AD1006" s="1558"/>
      <c r="AE1006" s="1559"/>
      <c r="AF1006" s="73"/>
      <c r="AG1006" s="14"/>
      <c r="AH1006" s="14"/>
      <c r="AI1006" s="83"/>
      <c r="AJ1006" s="1377"/>
      <c r="AK1006" s="1378"/>
      <c r="AL1006" s="1378"/>
      <c r="AM1006" s="1378"/>
      <c r="AN1006" s="1378"/>
      <c r="AO1006" s="1378"/>
      <c r="AP1006" s="1378"/>
      <c r="AQ1006" s="1379"/>
      <c r="AR1006" s="68"/>
      <c r="AS1006" s="68"/>
      <c r="AT1006" s="68"/>
      <c r="AU1006" s="68"/>
      <c r="AV1006" s="68"/>
      <c r="AW1006" s="68"/>
      <c r="AX1006" s="68"/>
      <c r="AY1006" s="68"/>
      <c r="AZ1006" s="34"/>
      <c r="BA1006" s="34"/>
      <c r="BB1006" s="34"/>
      <c r="BC1006" s="34"/>
    </row>
    <row r="1007" spans="1:55" ht="12.95" customHeight="1">
      <c r="A1007" s="14"/>
      <c r="B1007" s="257"/>
      <c r="C1007" s="256"/>
      <c r="D1007" s="1557"/>
      <c r="E1007" s="1558"/>
      <c r="F1007" s="1558"/>
      <c r="G1007" s="1558"/>
      <c r="H1007" s="1558"/>
      <c r="I1007" s="1558"/>
      <c r="J1007" s="1558"/>
      <c r="K1007" s="1558"/>
      <c r="L1007" s="1558"/>
      <c r="M1007" s="1558"/>
      <c r="N1007" s="1558"/>
      <c r="O1007" s="1558"/>
      <c r="P1007" s="1558"/>
      <c r="Q1007" s="1558"/>
      <c r="R1007" s="1558"/>
      <c r="S1007" s="1558"/>
      <c r="T1007" s="1558"/>
      <c r="U1007" s="1558"/>
      <c r="V1007" s="1558"/>
      <c r="W1007" s="1558"/>
      <c r="X1007" s="1558"/>
      <c r="Y1007" s="1558"/>
      <c r="Z1007" s="1558"/>
      <c r="AA1007" s="1558"/>
      <c r="AB1007" s="1558"/>
      <c r="AC1007" s="1558"/>
      <c r="AD1007" s="1558"/>
      <c r="AE1007" s="1559"/>
      <c r="AF1007" s="73"/>
      <c r="AG1007" s="14"/>
      <c r="AH1007" s="14"/>
      <c r="AI1007" s="83"/>
      <c r="AJ1007" s="1377"/>
      <c r="AK1007" s="1378"/>
      <c r="AL1007" s="1378"/>
      <c r="AM1007" s="1378"/>
      <c r="AN1007" s="1378"/>
      <c r="AO1007" s="1378"/>
      <c r="AP1007" s="1378"/>
      <c r="AQ1007" s="1379"/>
      <c r="AR1007" s="68"/>
      <c r="AS1007" s="68"/>
      <c r="AT1007" s="68"/>
      <c r="AU1007" s="68"/>
      <c r="AV1007" s="68"/>
      <c r="AW1007" s="68"/>
      <c r="AX1007" s="68"/>
      <c r="AY1007" s="68"/>
      <c r="AZ1007" s="34"/>
      <c r="BA1007" s="34"/>
      <c r="BB1007" s="34"/>
      <c r="BC1007" s="34"/>
    </row>
    <row r="1008" spans="1:55" ht="12.95" customHeight="1">
      <c r="A1008" s="14"/>
      <c r="B1008" s="257"/>
      <c r="C1008" s="256"/>
      <c r="D1008" s="1560" t="s">
        <v>2161</v>
      </c>
      <c r="E1008" s="1561"/>
      <c r="F1008" s="1561"/>
      <c r="G1008" s="1561"/>
      <c r="H1008" s="1561"/>
      <c r="I1008" s="1561"/>
      <c r="J1008" s="1561"/>
      <c r="K1008" s="1561"/>
      <c r="L1008" s="1561"/>
      <c r="M1008" s="1561"/>
      <c r="N1008" s="1561"/>
      <c r="O1008" s="1561"/>
      <c r="P1008" s="1561"/>
      <c r="Q1008" s="1561"/>
      <c r="R1008" s="1561"/>
      <c r="S1008" s="1561"/>
      <c r="T1008" s="1561"/>
      <c r="U1008" s="1561"/>
      <c r="V1008" s="1561"/>
      <c r="W1008" s="1561"/>
      <c r="X1008" s="1561"/>
      <c r="Y1008" s="1561"/>
      <c r="Z1008" s="1561"/>
      <c r="AA1008" s="1561"/>
      <c r="AB1008" s="1561"/>
      <c r="AC1008" s="1561"/>
      <c r="AD1008" s="1561"/>
      <c r="AE1008" s="1562"/>
      <c r="AF1008" s="73"/>
      <c r="AG1008" s="14"/>
      <c r="AH1008" s="14"/>
      <c r="AI1008" s="83"/>
      <c r="AJ1008" s="1377"/>
      <c r="AK1008" s="1378"/>
      <c r="AL1008" s="1378"/>
      <c r="AM1008" s="1378"/>
      <c r="AN1008" s="1378"/>
      <c r="AO1008" s="1378"/>
      <c r="AP1008" s="1378"/>
      <c r="AQ1008" s="1379"/>
      <c r="AR1008" s="68"/>
      <c r="AS1008" s="68"/>
      <c r="AT1008" s="68"/>
      <c r="AU1008" s="68"/>
      <c r="AV1008" s="68"/>
      <c r="AW1008" s="68"/>
      <c r="AX1008" s="68"/>
      <c r="AY1008" s="68"/>
      <c r="AZ1008" s="34"/>
      <c r="BA1008" s="34"/>
      <c r="BB1008" s="34"/>
      <c r="BC1008" s="34"/>
    </row>
    <row r="1009" spans="1:55" ht="12.95" customHeight="1">
      <c r="A1009" s="14"/>
      <c r="B1009" s="257"/>
      <c r="C1009" s="256"/>
      <c r="D1009" s="1344"/>
      <c r="E1009" s="1345"/>
      <c r="F1009" s="1345"/>
      <c r="G1009" s="1345"/>
      <c r="H1009" s="1345"/>
      <c r="I1009" s="1345"/>
      <c r="J1009" s="1345"/>
      <c r="K1009" s="1345"/>
      <c r="L1009" s="1345"/>
      <c r="M1009" s="1345"/>
      <c r="N1009" s="1345"/>
      <c r="O1009" s="1345"/>
      <c r="P1009" s="1345"/>
      <c r="Q1009" s="1345"/>
      <c r="R1009" s="1345"/>
      <c r="S1009" s="1345"/>
      <c r="T1009" s="1345"/>
      <c r="U1009" s="1345"/>
      <c r="V1009" s="1345"/>
      <c r="W1009" s="1345"/>
      <c r="X1009" s="1345"/>
      <c r="Y1009" s="1345"/>
      <c r="Z1009" s="1345"/>
      <c r="AA1009" s="1345"/>
      <c r="AB1009" s="1345"/>
      <c r="AC1009" s="1345"/>
      <c r="AD1009" s="1345"/>
      <c r="AE1009" s="1346"/>
      <c r="AF1009" s="77"/>
      <c r="AG1009" s="7"/>
      <c r="AH1009" s="7"/>
      <c r="AI1009" s="78"/>
      <c r="AJ1009" s="1380"/>
      <c r="AK1009" s="1381"/>
      <c r="AL1009" s="1381"/>
      <c r="AM1009" s="1381"/>
      <c r="AN1009" s="1381"/>
      <c r="AO1009" s="1381"/>
      <c r="AP1009" s="1381"/>
      <c r="AQ1009" s="1382"/>
      <c r="AR1009" s="68"/>
      <c r="AS1009" s="68"/>
      <c r="AT1009" s="68"/>
      <c r="AU1009" s="68"/>
      <c r="AV1009" s="68"/>
      <c r="AW1009" s="68"/>
      <c r="AX1009" s="68"/>
      <c r="AY1009" s="68"/>
      <c r="AZ1009" s="34"/>
      <c r="BA1009" s="34"/>
      <c r="BB1009" s="34"/>
      <c r="BC1009" s="34"/>
    </row>
    <row r="1010" spans="1:55" ht="12.95" customHeight="1">
      <c r="A1010" s="14"/>
      <c r="B1010" s="255"/>
      <c r="C1010" s="318"/>
      <c r="D1010" s="1563" t="s">
        <v>1286</v>
      </c>
      <c r="E1010" s="1564"/>
      <c r="F1010" s="1564"/>
      <c r="G1010" s="1564"/>
      <c r="H1010" s="1564"/>
      <c r="I1010" s="1564"/>
      <c r="J1010" s="1564"/>
      <c r="K1010" s="1564"/>
      <c r="L1010" s="1564"/>
      <c r="M1010" s="1564"/>
      <c r="N1010" s="1564"/>
      <c r="O1010" s="1564"/>
      <c r="P1010" s="1564"/>
      <c r="Q1010" s="1564"/>
      <c r="R1010" s="1564"/>
      <c r="S1010" s="1564"/>
      <c r="T1010" s="1564"/>
      <c r="U1010" s="1564"/>
      <c r="V1010" s="1564"/>
      <c r="W1010" s="1564"/>
      <c r="X1010" s="1564"/>
      <c r="Y1010" s="1564"/>
      <c r="Z1010" s="1564"/>
      <c r="AA1010" s="1564"/>
      <c r="AB1010" s="1564"/>
      <c r="AC1010" s="1564"/>
      <c r="AD1010" s="1564"/>
      <c r="AE1010" s="1565"/>
      <c r="AF1010" s="79"/>
      <c r="AG1010" s="1582" t="s">
        <v>669</v>
      </c>
      <c r="AH1010" s="1583"/>
      <c r="AI1010" s="87"/>
      <c r="AJ1010" s="1374">
        <f>ROUND(IF(AG1010="yes",AJ1001*0.05,0),0)</f>
        <v>0</v>
      </c>
      <c r="AK1010" s="1375"/>
      <c r="AL1010" s="1375"/>
      <c r="AM1010" s="1375"/>
      <c r="AN1010" s="1375"/>
      <c r="AO1010" s="1375"/>
      <c r="AP1010" s="1375"/>
      <c r="AQ1010" s="1376"/>
      <c r="AR1010" s="68"/>
      <c r="AS1010" s="68"/>
      <c r="AT1010" s="68"/>
      <c r="AU1010" s="68"/>
      <c r="AV1010" s="68"/>
      <c r="AW1010" s="68"/>
      <c r="AX1010" s="68"/>
      <c r="AY1010" s="68"/>
      <c r="AZ1010" s="34"/>
      <c r="BA1010" s="34"/>
      <c r="BB1010" s="34"/>
      <c r="BC1010" s="34"/>
    </row>
    <row r="1011" spans="1:55" ht="12.95" customHeight="1">
      <c r="A1011" s="14"/>
      <c r="B1011" s="257"/>
      <c r="C1011" s="82"/>
      <c r="D1011" s="1557" t="s">
        <v>1284</v>
      </c>
      <c r="E1011" s="1558"/>
      <c r="F1011" s="1558"/>
      <c r="G1011" s="1558"/>
      <c r="H1011" s="1558"/>
      <c r="I1011" s="1558"/>
      <c r="J1011" s="1558"/>
      <c r="K1011" s="1558"/>
      <c r="L1011" s="1558"/>
      <c r="M1011" s="1558"/>
      <c r="N1011" s="1558"/>
      <c r="O1011" s="1558"/>
      <c r="P1011" s="1558"/>
      <c r="Q1011" s="1558"/>
      <c r="R1011" s="1558"/>
      <c r="S1011" s="1558"/>
      <c r="T1011" s="1558"/>
      <c r="U1011" s="1558"/>
      <c r="V1011" s="1558"/>
      <c r="W1011" s="1558"/>
      <c r="X1011" s="1558"/>
      <c r="Y1011" s="1558"/>
      <c r="Z1011" s="1558"/>
      <c r="AA1011" s="1558"/>
      <c r="AB1011" s="1558"/>
      <c r="AC1011" s="1558"/>
      <c r="AD1011" s="1558"/>
      <c r="AE1011" s="1559"/>
      <c r="AF1011" s="73"/>
      <c r="AG1011" s="14"/>
      <c r="AH1011" s="14"/>
      <c r="AI1011" s="83"/>
      <c r="AJ1011" s="1377"/>
      <c r="AK1011" s="1378"/>
      <c r="AL1011" s="1378"/>
      <c r="AM1011" s="1378"/>
      <c r="AN1011" s="1378"/>
      <c r="AO1011" s="1378"/>
      <c r="AP1011" s="1378"/>
      <c r="AQ1011" s="1379"/>
      <c r="AR1011" s="68"/>
      <c r="AS1011" s="68"/>
      <c r="AT1011" s="68"/>
      <c r="AU1011" s="68"/>
      <c r="AV1011" s="68"/>
      <c r="AW1011" s="68"/>
      <c r="AX1011" s="68"/>
      <c r="AY1011" s="34"/>
      <c r="AZ1011" s="34"/>
      <c r="BB1011" s="34"/>
    </row>
    <row r="1012" spans="1:55" ht="12.95" customHeight="1">
      <c r="A1012" s="14"/>
      <c r="B1012" s="257"/>
      <c r="C1012" s="82"/>
      <c r="D1012" s="1557"/>
      <c r="E1012" s="1558"/>
      <c r="F1012" s="1558"/>
      <c r="G1012" s="1558"/>
      <c r="H1012" s="1558"/>
      <c r="I1012" s="1558"/>
      <c r="J1012" s="1558"/>
      <c r="K1012" s="1558"/>
      <c r="L1012" s="1558"/>
      <c r="M1012" s="1558"/>
      <c r="N1012" s="1558"/>
      <c r="O1012" s="1558"/>
      <c r="P1012" s="1558"/>
      <c r="Q1012" s="1558"/>
      <c r="R1012" s="1558"/>
      <c r="S1012" s="1558"/>
      <c r="T1012" s="1558"/>
      <c r="U1012" s="1558"/>
      <c r="V1012" s="1558"/>
      <c r="W1012" s="1558"/>
      <c r="X1012" s="1558"/>
      <c r="Y1012" s="1558"/>
      <c r="Z1012" s="1558"/>
      <c r="AA1012" s="1558"/>
      <c r="AB1012" s="1558"/>
      <c r="AC1012" s="1558"/>
      <c r="AD1012" s="1558"/>
      <c r="AE1012" s="1559"/>
      <c r="AF1012" s="73"/>
      <c r="AG1012" s="14"/>
      <c r="AH1012" s="14"/>
      <c r="AI1012" s="83"/>
      <c r="AJ1012" s="1377"/>
      <c r="AK1012" s="1378"/>
      <c r="AL1012" s="1378"/>
      <c r="AM1012" s="1378"/>
      <c r="AN1012" s="1378"/>
      <c r="AO1012" s="1378"/>
      <c r="AP1012" s="1378"/>
      <c r="AQ1012" s="1379"/>
      <c r="AR1012" s="68"/>
      <c r="AS1012" s="68"/>
      <c r="AT1012" s="68"/>
      <c r="AU1012" s="68"/>
      <c r="AV1012" s="68"/>
      <c r="AW1012" s="68"/>
      <c r="AX1012" s="68"/>
      <c r="AY1012" s="910">
        <f>G761+O805</f>
        <v>344</v>
      </c>
      <c r="AZ1012" s="34"/>
      <c r="BB1012" s="34"/>
    </row>
    <row r="1013" spans="1:55" ht="12.95" customHeight="1">
      <c r="A1013" s="14"/>
      <c r="B1013" s="257"/>
      <c r="C1013" s="82"/>
      <c r="D1013" s="1557"/>
      <c r="E1013" s="1558"/>
      <c r="F1013" s="1558"/>
      <c r="G1013" s="1558"/>
      <c r="H1013" s="1558"/>
      <c r="I1013" s="1558"/>
      <c r="J1013" s="1558"/>
      <c r="K1013" s="1558"/>
      <c r="L1013" s="1558"/>
      <c r="M1013" s="1558"/>
      <c r="N1013" s="1558"/>
      <c r="O1013" s="1558"/>
      <c r="P1013" s="1558"/>
      <c r="Q1013" s="1558"/>
      <c r="R1013" s="1558"/>
      <c r="S1013" s="1558"/>
      <c r="T1013" s="1558"/>
      <c r="U1013" s="1558"/>
      <c r="V1013" s="1558"/>
      <c r="W1013" s="1558"/>
      <c r="X1013" s="1558"/>
      <c r="Y1013" s="1558"/>
      <c r="Z1013" s="1558"/>
      <c r="AA1013" s="1558"/>
      <c r="AB1013" s="1558"/>
      <c r="AC1013" s="1558"/>
      <c r="AD1013" s="1558"/>
      <c r="AE1013" s="1559"/>
      <c r="AF1013" s="73"/>
      <c r="AG1013" s="14"/>
      <c r="AH1013" s="14"/>
      <c r="AI1013" s="83"/>
      <c r="AJ1013" s="1377"/>
      <c r="AK1013" s="1378"/>
      <c r="AL1013" s="1378"/>
      <c r="AM1013" s="1378"/>
      <c r="AN1013" s="1378"/>
      <c r="AO1013" s="1378"/>
      <c r="AP1013" s="1378"/>
      <c r="AQ1013" s="1379"/>
      <c r="AR1013" s="68"/>
      <c r="AS1013" s="68"/>
      <c r="AT1013" s="68"/>
      <c r="AU1013" s="68"/>
      <c r="AV1013" s="68"/>
      <c r="AW1013" s="68"/>
      <c r="AX1013" s="68"/>
      <c r="AY1013" s="14"/>
      <c r="AZ1013" s="34"/>
      <c r="BB1013" s="34"/>
    </row>
    <row r="1014" spans="1:55" ht="12.95" customHeight="1">
      <c r="A1014" s="14"/>
      <c r="B1014" s="257"/>
      <c r="C1014" s="82"/>
      <c r="D1014" s="1557"/>
      <c r="E1014" s="1558"/>
      <c r="F1014" s="1558"/>
      <c r="G1014" s="1558"/>
      <c r="H1014" s="1558"/>
      <c r="I1014" s="1558"/>
      <c r="J1014" s="1558"/>
      <c r="K1014" s="1558"/>
      <c r="L1014" s="1558"/>
      <c r="M1014" s="1558"/>
      <c r="N1014" s="1558"/>
      <c r="O1014" s="1558"/>
      <c r="P1014" s="1558"/>
      <c r="Q1014" s="1558"/>
      <c r="R1014" s="1558"/>
      <c r="S1014" s="1558"/>
      <c r="T1014" s="1558"/>
      <c r="U1014" s="1558"/>
      <c r="V1014" s="1558"/>
      <c r="W1014" s="1558"/>
      <c r="X1014" s="1558"/>
      <c r="Y1014" s="1558"/>
      <c r="Z1014" s="1558"/>
      <c r="AA1014" s="1558"/>
      <c r="AB1014" s="1558"/>
      <c r="AC1014" s="1558"/>
      <c r="AD1014" s="1558"/>
      <c r="AE1014" s="1559"/>
      <c r="AF1014" s="73"/>
      <c r="AG1014" s="14"/>
      <c r="AH1014" s="14"/>
      <c r="AI1014" s="83"/>
      <c r="AJ1014" s="1377"/>
      <c r="AK1014" s="1378"/>
      <c r="AL1014" s="1378"/>
      <c r="AM1014" s="1378"/>
      <c r="AN1014" s="1378"/>
      <c r="AO1014" s="1378"/>
      <c r="AP1014" s="1378"/>
      <c r="AQ1014" s="1379"/>
      <c r="AR1014" s="68"/>
      <c r="AS1014" s="68"/>
      <c r="AT1014" s="68"/>
      <c r="AU1014" s="68"/>
      <c r="AV1014" s="68"/>
      <c r="AW1014" s="68"/>
      <c r="AX1014" s="68"/>
      <c r="AY1014" s="909">
        <f>ROUNDDOWN(X1057/I1057,2)</f>
        <v>0.24</v>
      </c>
      <c r="AZ1014" s="34"/>
      <c r="BB1014" s="34"/>
    </row>
    <row r="1015" spans="1:55" ht="12.95" customHeight="1">
      <c r="A1015" s="14"/>
      <c r="B1015" s="75"/>
      <c r="C1015" s="76"/>
      <c r="D1015" s="1560"/>
      <c r="E1015" s="1561"/>
      <c r="F1015" s="1561"/>
      <c r="G1015" s="1561"/>
      <c r="H1015" s="1561"/>
      <c r="I1015" s="1561"/>
      <c r="J1015" s="1561"/>
      <c r="K1015" s="1561"/>
      <c r="L1015" s="1561"/>
      <c r="M1015" s="1561"/>
      <c r="N1015" s="1561"/>
      <c r="O1015" s="1561"/>
      <c r="P1015" s="1561"/>
      <c r="Q1015" s="1561"/>
      <c r="R1015" s="1561"/>
      <c r="S1015" s="1561"/>
      <c r="T1015" s="1561"/>
      <c r="U1015" s="1561"/>
      <c r="V1015" s="1561"/>
      <c r="W1015" s="1561"/>
      <c r="X1015" s="1561"/>
      <c r="Y1015" s="1561"/>
      <c r="Z1015" s="1561"/>
      <c r="AA1015" s="1561"/>
      <c r="AB1015" s="1561"/>
      <c r="AC1015" s="1561"/>
      <c r="AD1015" s="1561"/>
      <c r="AE1015" s="1562"/>
      <c r="AF1015" s="77"/>
      <c r="AG1015" s="7"/>
      <c r="AH1015" s="7"/>
      <c r="AI1015" s="78"/>
      <c r="AJ1015" s="1380"/>
      <c r="AK1015" s="1381"/>
      <c r="AL1015" s="1381"/>
      <c r="AM1015" s="1381"/>
      <c r="AN1015" s="1381"/>
      <c r="AO1015" s="1381"/>
      <c r="AP1015" s="1381"/>
      <c r="AQ1015" s="1382"/>
      <c r="AR1015" s="68"/>
      <c r="AS1015" s="68"/>
      <c r="AT1015" s="68"/>
      <c r="AU1015" s="68"/>
      <c r="AV1015" s="68"/>
      <c r="AW1015" s="68"/>
      <c r="AX1015" s="68"/>
      <c r="AY1015" s="909">
        <f>ROUNDDOWN(X1061/I1061,2)</f>
        <v>0.25</v>
      </c>
      <c r="AZ1015" s="34"/>
      <c r="BB1015" s="34"/>
    </row>
    <row r="1016" spans="1:55" ht="12.95" customHeight="1">
      <c r="A1016" s="14"/>
      <c r="B1016" s="255"/>
      <c r="C1016" s="80" t="s">
        <v>672</v>
      </c>
      <c r="D1016" s="1563" t="s">
        <v>1672</v>
      </c>
      <c r="E1016" s="1564"/>
      <c r="F1016" s="1564"/>
      <c r="G1016" s="1564"/>
      <c r="H1016" s="1564"/>
      <c r="I1016" s="1564"/>
      <c r="J1016" s="1564"/>
      <c r="K1016" s="1564"/>
      <c r="L1016" s="1564"/>
      <c r="M1016" s="1564"/>
      <c r="N1016" s="1564"/>
      <c r="O1016" s="1564"/>
      <c r="P1016" s="1564"/>
      <c r="Q1016" s="1564"/>
      <c r="R1016" s="1564"/>
      <c r="S1016" s="1564"/>
      <c r="T1016" s="1564"/>
      <c r="U1016" s="1564"/>
      <c r="V1016" s="1564"/>
      <c r="W1016" s="1564"/>
      <c r="X1016" s="1564"/>
      <c r="Y1016" s="1564"/>
      <c r="Z1016" s="1564"/>
      <c r="AA1016" s="1564"/>
      <c r="AB1016" s="1564"/>
      <c r="AC1016" s="1564"/>
      <c r="AD1016" s="1564"/>
      <c r="AE1016" s="1565"/>
      <c r="AF1016" s="86"/>
      <c r="AG1016" s="1582" t="s">
        <v>669</v>
      </c>
      <c r="AH1016" s="1583"/>
      <c r="AI1016" s="87"/>
      <c r="AJ1016" s="1374">
        <f>ROUND(IF(AG1016="yes",AJ1001*0.1,0),0)</f>
        <v>0</v>
      </c>
      <c r="AK1016" s="1375"/>
      <c r="AL1016" s="1375"/>
      <c r="AM1016" s="1375"/>
      <c r="AN1016" s="1375"/>
      <c r="AO1016" s="1375"/>
      <c r="AP1016" s="1375"/>
      <c r="AQ1016" s="1376"/>
      <c r="AR1016" s="68"/>
      <c r="AS1016" s="68"/>
      <c r="AT1016" s="68"/>
      <c r="AU1016" s="68"/>
      <c r="AV1016" s="68"/>
      <c r="AW1016" s="68"/>
      <c r="AX1016" s="68"/>
      <c r="BB1016" s="34"/>
    </row>
    <row r="1017" spans="1:55" ht="12.95" customHeight="1">
      <c r="A1017" s="14"/>
      <c r="B1017" s="73"/>
      <c r="C1017" s="74"/>
      <c r="D1017" s="1573" t="s">
        <v>1285</v>
      </c>
      <c r="E1017" s="1574"/>
      <c r="F1017" s="1574"/>
      <c r="G1017" s="1574"/>
      <c r="H1017" s="1574"/>
      <c r="I1017" s="1574"/>
      <c r="J1017" s="1574"/>
      <c r="K1017" s="1574"/>
      <c r="L1017" s="1574"/>
      <c r="M1017" s="1574"/>
      <c r="N1017" s="1574"/>
      <c r="O1017" s="1574"/>
      <c r="P1017" s="1574"/>
      <c r="Q1017" s="1574"/>
      <c r="R1017" s="1574"/>
      <c r="S1017" s="1574"/>
      <c r="T1017" s="1574"/>
      <c r="U1017" s="1574"/>
      <c r="V1017" s="1574"/>
      <c r="W1017" s="1574"/>
      <c r="X1017" s="1574"/>
      <c r="Y1017" s="1574"/>
      <c r="Z1017" s="1574"/>
      <c r="AA1017" s="1574"/>
      <c r="AB1017" s="1574"/>
      <c r="AC1017" s="1574"/>
      <c r="AD1017" s="1574"/>
      <c r="AE1017" s="1575"/>
      <c r="AF1017" s="73"/>
      <c r="AI1017" s="83"/>
      <c r="AJ1017" s="1377"/>
      <c r="AK1017" s="1378"/>
      <c r="AL1017" s="1378"/>
      <c r="AM1017" s="1378"/>
      <c r="AN1017" s="1378"/>
      <c r="AO1017" s="1378"/>
      <c r="AP1017" s="1378"/>
      <c r="AQ1017" s="1379"/>
      <c r="AR1017" s="68"/>
      <c r="AS1017" s="68"/>
      <c r="AT1017" s="68"/>
      <c r="AU1017" s="68"/>
      <c r="AV1017" s="68"/>
      <c r="AW1017" s="68"/>
      <c r="AX1017" s="68"/>
    </row>
    <row r="1018" spans="1:55" ht="12.95" customHeight="1">
      <c r="A1018" s="14"/>
      <c r="B1018" s="73"/>
      <c r="C1018" s="74"/>
      <c r="D1018" s="1573"/>
      <c r="E1018" s="1574"/>
      <c r="F1018" s="1574"/>
      <c r="G1018" s="1574"/>
      <c r="H1018" s="1574"/>
      <c r="I1018" s="1574"/>
      <c r="J1018" s="1574"/>
      <c r="K1018" s="1574"/>
      <c r="L1018" s="1574"/>
      <c r="M1018" s="1574"/>
      <c r="N1018" s="1574"/>
      <c r="O1018" s="1574"/>
      <c r="P1018" s="1574"/>
      <c r="Q1018" s="1574"/>
      <c r="R1018" s="1574"/>
      <c r="S1018" s="1574"/>
      <c r="T1018" s="1574"/>
      <c r="U1018" s="1574"/>
      <c r="V1018" s="1574"/>
      <c r="W1018" s="1574"/>
      <c r="X1018" s="1574"/>
      <c r="Y1018" s="1574"/>
      <c r="Z1018" s="1574"/>
      <c r="AA1018" s="1574"/>
      <c r="AB1018" s="1574"/>
      <c r="AC1018" s="1574"/>
      <c r="AD1018" s="1574"/>
      <c r="AE1018" s="1575"/>
      <c r="AF1018" s="73"/>
      <c r="AG1018" s="14"/>
      <c r="AH1018" s="14"/>
      <c r="AI1018" s="83"/>
      <c r="AJ1018" s="1377"/>
      <c r="AK1018" s="1378"/>
      <c r="AL1018" s="1378"/>
      <c r="AM1018" s="1378"/>
      <c r="AN1018" s="1378"/>
      <c r="AO1018" s="1378"/>
      <c r="AP1018" s="1378"/>
      <c r="AQ1018" s="1379"/>
      <c r="AR1018" s="68"/>
      <c r="AS1018" s="68"/>
      <c r="AT1018" s="68"/>
      <c r="AU1018" s="68"/>
      <c r="AV1018" s="68"/>
      <c r="AW1018" s="68"/>
      <c r="AX1018" s="68"/>
    </row>
    <row r="1019" spans="1:55" ht="12.95" customHeight="1">
      <c r="A1019" s="14"/>
      <c r="B1019" s="85"/>
      <c r="C1019" s="76"/>
      <c r="D1019" s="1566"/>
      <c r="E1019" s="1567"/>
      <c r="F1019" s="1567"/>
      <c r="G1019" s="1567"/>
      <c r="H1019" s="1567"/>
      <c r="I1019" s="1567"/>
      <c r="J1019" s="1567"/>
      <c r="K1019" s="1567"/>
      <c r="L1019" s="1567"/>
      <c r="M1019" s="1567"/>
      <c r="N1019" s="1567"/>
      <c r="O1019" s="1567"/>
      <c r="P1019" s="1567"/>
      <c r="Q1019" s="1567"/>
      <c r="R1019" s="1567"/>
      <c r="S1019" s="1567"/>
      <c r="T1019" s="1567"/>
      <c r="U1019" s="1567"/>
      <c r="V1019" s="1567"/>
      <c r="W1019" s="1567"/>
      <c r="X1019" s="1567"/>
      <c r="Y1019" s="1567"/>
      <c r="Z1019" s="1567"/>
      <c r="AA1019" s="1567"/>
      <c r="AB1019" s="1567"/>
      <c r="AC1019" s="1567"/>
      <c r="AD1019" s="1567"/>
      <c r="AE1019" s="1568"/>
      <c r="AF1019" s="77"/>
      <c r="AG1019" s="7"/>
      <c r="AH1019" s="7"/>
      <c r="AI1019" s="78"/>
      <c r="AJ1019" s="1380"/>
      <c r="AK1019" s="1381"/>
      <c r="AL1019" s="1381"/>
      <c r="AM1019" s="1381"/>
      <c r="AN1019" s="1381"/>
      <c r="AO1019" s="1381"/>
      <c r="AP1019" s="1381"/>
      <c r="AQ1019" s="1382"/>
      <c r="AR1019" s="68"/>
      <c r="AS1019" s="68"/>
      <c r="AT1019" s="68"/>
      <c r="AU1019" s="68"/>
      <c r="AV1019" s="68"/>
      <c r="AW1019" s="68"/>
      <c r="AX1019" s="68"/>
    </row>
    <row r="1020" spans="1:55" ht="12.95" customHeight="1">
      <c r="A1020" s="14"/>
      <c r="B1020" s="79"/>
      <c r="C1020" s="80" t="s">
        <v>212</v>
      </c>
      <c r="D1020" s="1563" t="s">
        <v>1287</v>
      </c>
      <c r="E1020" s="1564"/>
      <c r="F1020" s="1564"/>
      <c r="G1020" s="1564"/>
      <c r="H1020" s="1564"/>
      <c r="I1020" s="1564"/>
      <c r="J1020" s="1564"/>
      <c r="K1020" s="1564"/>
      <c r="L1020" s="1564"/>
      <c r="M1020" s="1564"/>
      <c r="N1020" s="1564"/>
      <c r="O1020" s="1564"/>
      <c r="P1020" s="1564"/>
      <c r="Q1020" s="1564"/>
      <c r="R1020" s="1564"/>
      <c r="S1020" s="1564"/>
      <c r="T1020" s="1564"/>
      <c r="U1020" s="1564"/>
      <c r="V1020" s="1564"/>
      <c r="W1020" s="1564"/>
      <c r="X1020" s="1564"/>
      <c r="Y1020" s="1564"/>
      <c r="Z1020" s="1564"/>
      <c r="AA1020" s="1564"/>
      <c r="AB1020" s="1564"/>
      <c r="AC1020" s="1564"/>
      <c r="AD1020" s="1564"/>
      <c r="AE1020" s="1565"/>
      <c r="AF1020" s="79"/>
      <c r="AG1020" s="1582" t="s">
        <v>669</v>
      </c>
      <c r="AH1020" s="1583"/>
      <c r="AI1020" s="87"/>
      <c r="AJ1020" s="1374">
        <f>ROUND(IF(AG1020="yes",AJ1001*0.02,0),0)</f>
        <v>0</v>
      </c>
      <c r="AK1020" s="1375"/>
      <c r="AL1020" s="1375"/>
      <c r="AM1020" s="1375"/>
      <c r="AN1020" s="1375"/>
      <c r="AO1020" s="1375"/>
      <c r="AP1020" s="1375"/>
      <c r="AQ1020" s="1376"/>
      <c r="AR1020" s="68"/>
      <c r="AS1020" s="68"/>
      <c r="AT1020" s="68"/>
      <c r="AU1020" s="68"/>
      <c r="AV1020" s="68"/>
      <c r="AW1020" s="68"/>
      <c r="AX1020" s="68"/>
    </row>
    <row r="1021" spans="1:55" ht="14.25" customHeight="1">
      <c r="A1021" s="14"/>
      <c r="B1021" s="73"/>
      <c r="C1021" s="74"/>
      <c r="D1021" s="1566" t="s">
        <v>1288</v>
      </c>
      <c r="E1021" s="1567"/>
      <c r="F1021" s="1567"/>
      <c r="G1021" s="1567"/>
      <c r="H1021" s="1567"/>
      <c r="I1021" s="1567"/>
      <c r="J1021" s="1567"/>
      <c r="K1021" s="1567"/>
      <c r="L1021" s="1567"/>
      <c r="M1021" s="1567"/>
      <c r="N1021" s="1567"/>
      <c r="O1021" s="1567"/>
      <c r="P1021" s="1567"/>
      <c r="Q1021" s="1567"/>
      <c r="R1021" s="1567"/>
      <c r="S1021" s="1567"/>
      <c r="T1021" s="1567"/>
      <c r="U1021" s="1567"/>
      <c r="V1021" s="1567"/>
      <c r="W1021" s="1567"/>
      <c r="X1021" s="1567"/>
      <c r="Y1021" s="1567"/>
      <c r="Z1021" s="1567"/>
      <c r="AA1021" s="1567"/>
      <c r="AB1021" s="1567"/>
      <c r="AC1021" s="1567"/>
      <c r="AD1021" s="1567"/>
      <c r="AE1021" s="1568"/>
      <c r="AF1021" s="77"/>
      <c r="AG1021" s="7"/>
      <c r="AH1021" s="7"/>
      <c r="AI1021" s="78"/>
      <c r="AJ1021" s="1380"/>
      <c r="AK1021" s="1381"/>
      <c r="AL1021" s="1381"/>
      <c r="AM1021" s="1381"/>
      <c r="AN1021" s="1381"/>
      <c r="AO1021" s="1381"/>
      <c r="AP1021" s="1381"/>
      <c r="AQ1021" s="1382"/>
      <c r="AR1021" s="68"/>
      <c r="AS1021" s="68"/>
      <c r="AT1021" s="68"/>
      <c r="AU1021" s="68"/>
      <c r="AV1021" s="68"/>
      <c r="AW1021" s="68"/>
      <c r="AX1021" s="3" t="s">
        <v>1818</v>
      </c>
      <c r="AZ1021" s="3" t="s">
        <v>2534</v>
      </c>
    </row>
    <row r="1022" spans="1:55" ht="12.95" customHeight="1">
      <c r="A1022" s="14"/>
      <c r="B1022" s="79"/>
      <c r="C1022" s="80" t="s">
        <v>215</v>
      </c>
      <c r="D1022" s="1563" t="s">
        <v>1289</v>
      </c>
      <c r="E1022" s="1564"/>
      <c r="F1022" s="1564"/>
      <c r="G1022" s="1564"/>
      <c r="H1022" s="1564"/>
      <c r="I1022" s="1564"/>
      <c r="J1022" s="1564"/>
      <c r="K1022" s="1564"/>
      <c r="L1022" s="1564"/>
      <c r="M1022" s="1564"/>
      <c r="N1022" s="1564"/>
      <c r="O1022" s="1564"/>
      <c r="P1022" s="1564"/>
      <c r="Q1022" s="1564"/>
      <c r="R1022" s="1564"/>
      <c r="S1022" s="1564"/>
      <c r="T1022" s="1564"/>
      <c r="U1022" s="1564"/>
      <c r="V1022" s="1564"/>
      <c r="W1022" s="1564"/>
      <c r="X1022" s="1564"/>
      <c r="Y1022" s="1564"/>
      <c r="Z1022" s="1564"/>
      <c r="AA1022" s="1564"/>
      <c r="AB1022" s="1564"/>
      <c r="AC1022" s="1564"/>
      <c r="AD1022" s="1564"/>
      <c r="AE1022" s="1565"/>
      <c r="AF1022" s="79"/>
      <c r="AG1022" s="1582" t="s">
        <v>669</v>
      </c>
      <c r="AH1022" s="1583"/>
      <c r="AI1022" s="79"/>
      <c r="AJ1022" s="1374">
        <f>ROUND(IF(AG1022="yes",AJ1001*0.02,0),0)</f>
        <v>0</v>
      </c>
      <c r="AK1022" s="1375"/>
      <c r="AL1022" s="1375"/>
      <c r="AM1022" s="1375"/>
      <c r="AN1022" s="1375"/>
      <c r="AO1022" s="1375"/>
      <c r="AP1022" s="1375"/>
      <c r="AQ1022" s="1376"/>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73" t="s">
        <v>1290</v>
      </c>
      <c r="E1023" s="1574"/>
      <c r="F1023" s="1574"/>
      <c r="G1023" s="1574"/>
      <c r="H1023" s="1574"/>
      <c r="I1023" s="1574"/>
      <c r="J1023" s="1574"/>
      <c r="K1023" s="1574"/>
      <c r="L1023" s="1574"/>
      <c r="M1023" s="1574"/>
      <c r="N1023" s="1574"/>
      <c r="O1023" s="1574"/>
      <c r="P1023" s="1574"/>
      <c r="Q1023" s="1574"/>
      <c r="R1023" s="1574"/>
      <c r="S1023" s="1574"/>
      <c r="T1023" s="1574"/>
      <c r="U1023" s="1574"/>
      <c r="V1023" s="1574"/>
      <c r="W1023" s="1574"/>
      <c r="X1023" s="1574"/>
      <c r="Y1023" s="1574"/>
      <c r="Z1023" s="1574"/>
      <c r="AA1023" s="1574"/>
      <c r="AB1023" s="1574"/>
      <c r="AC1023" s="1574"/>
      <c r="AD1023" s="1574"/>
      <c r="AE1023" s="1575"/>
      <c r="AF1023" s="1358" t="str">
        <f>IF(AND(AG1022="yes",T212&lt;&gt;1),"The project may not be eligible for this boost","")</f>
        <v/>
      </c>
      <c r="AG1023" s="1359"/>
      <c r="AH1023" s="1359"/>
      <c r="AI1023" s="1360"/>
      <c r="AJ1023" s="1377"/>
      <c r="AK1023" s="1378"/>
      <c r="AL1023" s="1378"/>
      <c r="AM1023" s="1378"/>
      <c r="AN1023" s="1378"/>
      <c r="AO1023" s="1378"/>
      <c r="AP1023" s="1378"/>
      <c r="AQ1023" s="1379"/>
      <c r="AR1023" s="68"/>
      <c r="AS1023" s="68"/>
      <c r="AT1023" s="68"/>
      <c r="AU1023" s="68"/>
      <c r="AV1023" s="68"/>
      <c r="AW1023" s="68"/>
      <c r="AX1023" s="3">
        <v>2</v>
      </c>
      <c r="AY1023" s="200">
        <f t="shared" ref="AY1023:AY1032" si="58">IF((_xlfn.XLOOKUP(AX1023,$C$1074:$C$1112,$A$1074:$A$1112,"",0,1))="Yes",AZ1023,0)</f>
        <v>0</v>
      </c>
      <c r="AZ1023" s="1189">
        <v>0.15</v>
      </c>
    </row>
    <row r="1024" spans="1:55" ht="12.95" customHeight="1">
      <c r="A1024" s="14"/>
      <c r="B1024" s="75"/>
      <c r="C1024" s="76"/>
      <c r="D1024" s="1566"/>
      <c r="E1024" s="1567"/>
      <c r="F1024" s="1567"/>
      <c r="G1024" s="1567"/>
      <c r="H1024" s="1567"/>
      <c r="I1024" s="1567"/>
      <c r="J1024" s="1567"/>
      <c r="K1024" s="1567"/>
      <c r="L1024" s="1567"/>
      <c r="M1024" s="1567"/>
      <c r="N1024" s="1567"/>
      <c r="O1024" s="1567"/>
      <c r="P1024" s="1567"/>
      <c r="Q1024" s="1567"/>
      <c r="R1024" s="1567"/>
      <c r="S1024" s="1567"/>
      <c r="T1024" s="1567"/>
      <c r="U1024" s="1567"/>
      <c r="V1024" s="1567"/>
      <c r="W1024" s="1567"/>
      <c r="X1024" s="1567"/>
      <c r="Y1024" s="1567"/>
      <c r="Z1024" s="1567"/>
      <c r="AA1024" s="1567"/>
      <c r="AB1024" s="1567"/>
      <c r="AC1024" s="1567"/>
      <c r="AD1024" s="1567"/>
      <c r="AE1024" s="1568"/>
      <c r="AF1024" s="1361"/>
      <c r="AG1024" s="1362"/>
      <c r="AH1024" s="1362"/>
      <c r="AI1024" s="1363"/>
      <c r="AJ1024" s="1380"/>
      <c r="AK1024" s="1381"/>
      <c r="AL1024" s="1381"/>
      <c r="AM1024" s="1381"/>
      <c r="AN1024" s="1381"/>
      <c r="AO1024" s="1381"/>
      <c r="AP1024" s="1381"/>
      <c r="AQ1024" s="1382"/>
      <c r="AR1024" s="68"/>
      <c r="AS1024" s="68"/>
      <c r="AT1024" s="68"/>
      <c r="AU1024" s="68"/>
      <c r="AV1024" s="68"/>
      <c r="AW1024" s="68"/>
      <c r="AX1024" s="3">
        <v>3</v>
      </c>
      <c r="AY1024" s="200">
        <f t="shared" si="58"/>
        <v>0</v>
      </c>
      <c r="AZ1024" s="1189">
        <v>0.05</v>
      </c>
    </row>
    <row r="1025" spans="1:52" ht="12.95" customHeight="1">
      <c r="A1025" s="14"/>
      <c r="B1025" s="79"/>
      <c r="C1025" s="80" t="s">
        <v>218</v>
      </c>
      <c r="D1025" s="1341" t="s">
        <v>2191</v>
      </c>
      <c r="E1025" s="1342"/>
      <c r="F1025" s="1342"/>
      <c r="G1025" s="1342"/>
      <c r="H1025" s="1342"/>
      <c r="I1025" s="1342"/>
      <c r="J1025" s="1342"/>
      <c r="K1025" s="1342"/>
      <c r="L1025" s="1342"/>
      <c r="M1025" s="1342"/>
      <c r="N1025" s="1342"/>
      <c r="O1025" s="1342"/>
      <c r="P1025" s="1342"/>
      <c r="Q1025" s="1342"/>
      <c r="R1025" s="1342"/>
      <c r="S1025" s="1342"/>
      <c r="T1025" s="1342"/>
      <c r="U1025" s="1342"/>
      <c r="V1025" s="1342"/>
      <c r="W1025" s="1342"/>
      <c r="X1025" s="1342"/>
      <c r="Y1025" s="1342"/>
      <c r="Z1025" s="1342"/>
      <c r="AA1025" s="1342"/>
      <c r="AB1025" s="1342"/>
      <c r="AC1025" s="1342"/>
      <c r="AD1025" s="1342"/>
      <c r="AE1025" s="1343"/>
      <c r="AF1025" s="79"/>
      <c r="AG1025" s="1582" t="s">
        <v>669</v>
      </c>
      <c r="AH1025" s="1583"/>
      <c r="AI1025" s="87"/>
      <c r="AJ1025" s="1374">
        <f>IF(AG1025="yes",AJ1001*AY1033,0)</f>
        <v>0</v>
      </c>
      <c r="AK1025" s="1375"/>
      <c r="AL1025" s="1375"/>
      <c r="AM1025" s="1375"/>
      <c r="AN1025" s="1375"/>
      <c r="AO1025" s="1375"/>
      <c r="AP1025" s="1375"/>
      <c r="AQ1025" s="1376"/>
      <c r="AR1025" s="68"/>
      <c r="AS1025" s="68"/>
      <c r="AT1025" s="68"/>
      <c r="AU1025" s="68"/>
      <c r="AV1025" s="68"/>
      <c r="AW1025" s="68"/>
      <c r="AX1025" s="3">
        <v>4</v>
      </c>
      <c r="AY1025" s="200">
        <f t="shared" si="58"/>
        <v>0</v>
      </c>
      <c r="AZ1025" s="1189">
        <v>0.02</v>
      </c>
    </row>
    <row r="1026" spans="1:52" ht="12.95" customHeight="1">
      <c r="A1026" s="14"/>
      <c r="B1026" s="73"/>
      <c r="C1026" s="74"/>
      <c r="D1026" s="1573" t="s">
        <v>2600</v>
      </c>
      <c r="E1026" s="1574"/>
      <c r="F1026" s="1574"/>
      <c r="G1026" s="1574"/>
      <c r="H1026" s="1574"/>
      <c r="I1026" s="1574"/>
      <c r="J1026" s="1574"/>
      <c r="K1026" s="1574"/>
      <c r="L1026" s="1574"/>
      <c r="M1026" s="1574"/>
      <c r="N1026" s="1574"/>
      <c r="O1026" s="1574"/>
      <c r="P1026" s="1574"/>
      <c r="Q1026" s="1574"/>
      <c r="R1026" s="1574"/>
      <c r="S1026" s="1574"/>
      <c r="T1026" s="1574"/>
      <c r="U1026" s="1574"/>
      <c r="V1026" s="1574"/>
      <c r="W1026" s="1574"/>
      <c r="X1026" s="1574"/>
      <c r="Y1026" s="1574"/>
      <c r="Z1026" s="1574"/>
      <c r="AA1026" s="1574"/>
      <c r="AB1026" s="1574"/>
      <c r="AC1026" s="1574"/>
      <c r="AD1026" s="1574"/>
      <c r="AE1026" s="1575"/>
      <c r="AF1026" s="1352" t="str">
        <f>IF(AND(AG1025="Yes",AY1033=0),AY1036,"")</f>
        <v/>
      </c>
      <c r="AG1026" s="1353"/>
      <c r="AH1026" s="1353"/>
      <c r="AI1026" s="1354"/>
      <c r="AJ1026" s="1377"/>
      <c r="AK1026" s="1378"/>
      <c r="AL1026" s="1378"/>
      <c r="AM1026" s="1378"/>
      <c r="AN1026" s="1378"/>
      <c r="AO1026" s="1378"/>
      <c r="AP1026" s="1378"/>
      <c r="AQ1026" s="1379"/>
      <c r="AR1026" s="68"/>
      <c r="AS1026" s="68"/>
      <c r="AT1026" s="68"/>
      <c r="AU1026" s="68"/>
      <c r="AV1026" s="68"/>
      <c r="AW1026" s="68"/>
      <c r="AX1026" s="3">
        <v>5</v>
      </c>
      <c r="AY1026" s="200">
        <f t="shared" si="58"/>
        <v>0</v>
      </c>
      <c r="AZ1026" s="1189">
        <v>0.04</v>
      </c>
    </row>
    <row r="1027" spans="1:52" ht="12.95" customHeight="1">
      <c r="A1027" s="14"/>
      <c r="B1027" s="73"/>
      <c r="C1027" s="74"/>
      <c r="D1027" s="1573"/>
      <c r="E1027" s="1574"/>
      <c r="F1027" s="1574"/>
      <c r="G1027" s="1574"/>
      <c r="H1027" s="1574"/>
      <c r="I1027" s="1574"/>
      <c r="J1027" s="1574"/>
      <c r="K1027" s="1574"/>
      <c r="L1027" s="1574"/>
      <c r="M1027" s="1574"/>
      <c r="N1027" s="1574"/>
      <c r="O1027" s="1574"/>
      <c r="P1027" s="1574"/>
      <c r="Q1027" s="1574"/>
      <c r="R1027" s="1574"/>
      <c r="S1027" s="1574"/>
      <c r="T1027" s="1574"/>
      <c r="U1027" s="1574"/>
      <c r="V1027" s="1574"/>
      <c r="W1027" s="1574"/>
      <c r="X1027" s="1574"/>
      <c r="Y1027" s="1574"/>
      <c r="Z1027" s="1574"/>
      <c r="AA1027" s="1574"/>
      <c r="AB1027" s="1574"/>
      <c r="AC1027" s="1574"/>
      <c r="AD1027" s="1574"/>
      <c r="AE1027" s="1575"/>
      <c r="AF1027" s="1352"/>
      <c r="AG1027" s="1353"/>
      <c r="AH1027" s="1353"/>
      <c r="AI1027" s="1354"/>
      <c r="AJ1027" s="1377"/>
      <c r="AK1027" s="1378"/>
      <c r="AL1027" s="1378"/>
      <c r="AM1027" s="1378"/>
      <c r="AN1027" s="1378"/>
      <c r="AO1027" s="1378"/>
      <c r="AP1027" s="1378"/>
      <c r="AQ1027" s="1379"/>
      <c r="AR1027" s="68"/>
      <c r="AS1027" s="68"/>
      <c r="AT1027" s="68"/>
      <c r="AU1027" s="68"/>
      <c r="AV1027" s="68"/>
      <c r="AW1027" s="68"/>
      <c r="AX1027" s="3">
        <v>6</v>
      </c>
      <c r="AY1027" s="200">
        <f t="shared" si="58"/>
        <v>0</v>
      </c>
      <c r="AZ1027" s="1189">
        <v>0.04</v>
      </c>
    </row>
    <row r="1028" spans="1:52" ht="12.95" customHeight="1">
      <c r="A1028" s="14"/>
      <c r="B1028" s="81"/>
      <c r="C1028" s="82"/>
      <c r="D1028" s="1566"/>
      <c r="E1028" s="1567"/>
      <c r="F1028" s="1567"/>
      <c r="G1028" s="1567"/>
      <c r="H1028" s="1567"/>
      <c r="I1028" s="1567"/>
      <c r="J1028" s="1567"/>
      <c r="K1028" s="1567"/>
      <c r="L1028" s="1567"/>
      <c r="M1028" s="1567"/>
      <c r="N1028" s="1567"/>
      <c r="O1028" s="1567"/>
      <c r="P1028" s="1567"/>
      <c r="Q1028" s="1567"/>
      <c r="R1028" s="1567"/>
      <c r="S1028" s="1567"/>
      <c r="T1028" s="1567"/>
      <c r="U1028" s="1567"/>
      <c r="V1028" s="1567"/>
      <c r="W1028" s="1567"/>
      <c r="X1028" s="1567"/>
      <c r="Y1028" s="1567"/>
      <c r="Z1028" s="1567"/>
      <c r="AA1028" s="1567"/>
      <c r="AB1028" s="1567"/>
      <c r="AC1028" s="1567"/>
      <c r="AD1028" s="1567"/>
      <c r="AE1028" s="1568"/>
      <c r="AF1028" s="1355"/>
      <c r="AG1028" s="1356"/>
      <c r="AH1028" s="1356"/>
      <c r="AI1028" s="1357"/>
      <c r="AJ1028" s="1380"/>
      <c r="AK1028" s="1381"/>
      <c r="AL1028" s="1381"/>
      <c r="AM1028" s="1381"/>
      <c r="AN1028" s="1381"/>
      <c r="AO1028" s="1381"/>
      <c r="AP1028" s="1381"/>
      <c r="AQ1028" s="1382"/>
      <c r="AR1028" s="68"/>
      <c r="AS1028" s="68"/>
      <c r="AT1028" s="68"/>
      <c r="AU1028" s="68"/>
      <c r="AV1028" s="68"/>
      <c r="AW1028" s="68"/>
      <c r="AX1028" s="3">
        <v>7</v>
      </c>
      <c r="AY1028" s="200">
        <f t="shared" si="58"/>
        <v>0</v>
      </c>
      <c r="AZ1028" s="1189">
        <v>0.01</v>
      </c>
    </row>
    <row r="1029" spans="1:52" ht="12.95" customHeight="1">
      <c r="A1029" s="14"/>
      <c r="B1029" s="79"/>
      <c r="C1029" s="80" t="s">
        <v>223</v>
      </c>
      <c r="D1029" s="1614" t="s">
        <v>1291</v>
      </c>
      <c r="E1029" s="1615"/>
      <c r="F1029" s="1615"/>
      <c r="G1029" s="1615"/>
      <c r="H1029" s="1615"/>
      <c r="I1029" s="1615"/>
      <c r="J1029" s="1615"/>
      <c r="K1029" s="1615"/>
      <c r="L1029" s="1615"/>
      <c r="M1029" s="1615"/>
      <c r="N1029" s="1615"/>
      <c r="O1029" s="1615"/>
      <c r="P1029" s="1615"/>
      <c r="Q1029" s="1615"/>
      <c r="R1029" s="1615"/>
      <c r="S1029" s="1615"/>
      <c r="T1029" s="1615"/>
      <c r="U1029" s="1615"/>
      <c r="V1029" s="1615"/>
      <c r="W1029" s="1615"/>
      <c r="X1029" s="1615"/>
      <c r="Y1029" s="1615"/>
      <c r="Z1029" s="1615"/>
      <c r="AA1029" s="1615"/>
      <c r="AB1029" s="1615"/>
      <c r="AC1029" s="1615"/>
      <c r="AD1029" s="1615"/>
      <c r="AE1029" s="1616"/>
      <c r="AF1029" s="79"/>
      <c r="AG1029" s="1582" t="s">
        <v>669</v>
      </c>
      <c r="AH1029" s="1583"/>
      <c r="AI1029" s="87"/>
      <c r="AJ1029" s="1374">
        <f>ROUND(IF(AND(AG1029="Yes",J1033&lt;&gt;"N/A",AF1032&lt;&gt;""),MIN(AF1032,(0.15*AJ1001)),0),0)</f>
        <v>0</v>
      </c>
      <c r="AK1029" s="1375"/>
      <c r="AL1029" s="1375"/>
      <c r="AM1029" s="1375"/>
      <c r="AN1029" s="1375"/>
      <c r="AO1029" s="1375"/>
      <c r="AP1029" s="1375"/>
      <c r="AQ1029" s="1376"/>
      <c r="AR1029" s="68"/>
      <c r="AS1029" s="68"/>
      <c r="AT1029" s="68"/>
      <c r="AU1029" s="68"/>
      <c r="AV1029" s="68"/>
      <c r="AW1029" s="68"/>
      <c r="AX1029" s="3">
        <v>8</v>
      </c>
      <c r="AY1029" s="200">
        <f t="shared" si="58"/>
        <v>0</v>
      </c>
      <c r="AZ1029" s="1189">
        <v>0.01</v>
      </c>
    </row>
    <row r="1030" spans="1:52" ht="12.95" customHeight="1">
      <c r="A1030" s="14"/>
      <c r="B1030" s="81"/>
      <c r="C1030" s="84"/>
      <c r="D1030" s="1617"/>
      <c r="E1030" s="1618"/>
      <c r="F1030" s="1618"/>
      <c r="G1030" s="1618"/>
      <c r="H1030" s="1618"/>
      <c r="I1030" s="1618"/>
      <c r="J1030" s="1618"/>
      <c r="K1030" s="1618"/>
      <c r="L1030" s="1618"/>
      <c r="M1030" s="1618"/>
      <c r="N1030" s="1618"/>
      <c r="O1030" s="1618"/>
      <c r="P1030" s="1618"/>
      <c r="Q1030" s="1618"/>
      <c r="R1030" s="1618"/>
      <c r="S1030" s="1618"/>
      <c r="T1030" s="1618"/>
      <c r="U1030" s="1618"/>
      <c r="V1030" s="1618"/>
      <c r="W1030" s="1618"/>
      <c r="X1030" s="1618"/>
      <c r="Y1030" s="1618"/>
      <c r="Z1030" s="1618"/>
      <c r="AA1030" s="1618"/>
      <c r="AB1030" s="1618"/>
      <c r="AC1030" s="1618"/>
      <c r="AD1030" s="1618"/>
      <c r="AE1030" s="1619"/>
      <c r="AF1030" s="1587" t="str">
        <f>IF(AG1029="yes","Please Select Type and Enter Amount:","")</f>
        <v/>
      </c>
      <c r="AG1030" s="1588"/>
      <c r="AH1030" s="1588"/>
      <c r="AI1030" s="1589"/>
      <c r="AJ1030" s="1377"/>
      <c r="AK1030" s="1378"/>
      <c r="AL1030" s="1378"/>
      <c r="AM1030" s="1378"/>
      <c r="AN1030" s="1378"/>
      <c r="AO1030" s="1378"/>
      <c r="AP1030" s="1378"/>
      <c r="AQ1030" s="1379"/>
      <c r="AR1030" s="68"/>
      <c r="AS1030" s="68"/>
      <c r="AT1030" s="68"/>
      <c r="AU1030" s="68"/>
      <c r="AV1030" s="68"/>
      <c r="AW1030" s="68"/>
      <c r="AX1030" s="3">
        <v>9</v>
      </c>
      <c r="AY1030" s="200">
        <f t="shared" si="58"/>
        <v>0</v>
      </c>
      <c r="AZ1030" s="1189">
        <v>0.01</v>
      </c>
    </row>
    <row r="1031" spans="1:52" ht="12.95" customHeight="1">
      <c r="A1031" s="14"/>
      <c r="B1031" s="81"/>
      <c r="C1031" s="84"/>
      <c r="D1031" s="1573" t="s">
        <v>1292</v>
      </c>
      <c r="E1031" s="1574"/>
      <c r="F1031" s="1574"/>
      <c r="G1031" s="1574"/>
      <c r="H1031" s="1574"/>
      <c r="I1031" s="1574"/>
      <c r="J1031" s="1574"/>
      <c r="K1031" s="1574"/>
      <c r="L1031" s="1574"/>
      <c r="M1031" s="1574"/>
      <c r="N1031" s="1574"/>
      <c r="O1031" s="1574"/>
      <c r="P1031" s="1574"/>
      <c r="Q1031" s="1574"/>
      <c r="R1031" s="1574"/>
      <c r="S1031" s="1574"/>
      <c r="T1031" s="1574"/>
      <c r="U1031" s="1574"/>
      <c r="V1031" s="1574"/>
      <c r="W1031" s="1574"/>
      <c r="X1031" s="1574"/>
      <c r="Y1031" s="1574"/>
      <c r="Z1031" s="1574"/>
      <c r="AA1031" s="1574"/>
      <c r="AB1031" s="1574"/>
      <c r="AC1031" s="1574"/>
      <c r="AD1031" s="1574"/>
      <c r="AE1031" s="1575"/>
      <c r="AF1031" s="1587"/>
      <c r="AG1031" s="1588"/>
      <c r="AH1031" s="1588"/>
      <c r="AI1031" s="1589"/>
      <c r="AJ1031" s="1377"/>
      <c r="AK1031" s="1378"/>
      <c r="AL1031" s="1378"/>
      <c r="AM1031" s="1378"/>
      <c r="AN1031" s="1378"/>
      <c r="AO1031" s="1378"/>
      <c r="AP1031" s="1378"/>
      <c r="AQ1031" s="1379"/>
      <c r="AR1031" s="68"/>
      <c r="AS1031" s="68"/>
      <c r="AT1031" s="68"/>
      <c r="AU1031" s="68"/>
      <c r="AV1031" s="68"/>
      <c r="AW1031" s="68"/>
      <c r="AX1031" s="3">
        <v>10</v>
      </c>
      <c r="AY1031" s="200">
        <f t="shared" si="58"/>
        <v>0</v>
      </c>
      <c r="AZ1031" s="1189">
        <v>0.02</v>
      </c>
    </row>
    <row r="1032" spans="1:52" ht="12.95" customHeight="1">
      <c r="A1032" s="14"/>
      <c r="B1032" s="81"/>
      <c r="C1032" s="84"/>
      <c r="D1032" s="1573"/>
      <c r="E1032" s="1574"/>
      <c r="F1032" s="1574"/>
      <c r="G1032" s="1574"/>
      <c r="H1032" s="1574"/>
      <c r="I1032" s="1574"/>
      <c r="J1032" s="1574"/>
      <c r="K1032" s="1574"/>
      <c r="L1032" s="1574"/>
      <c r="M1032" s="1574"/>
      <c r="N1032" s="1574"/>
      <c r="O1032" s="1574"/>
      <c r="P1032" s="1574"/>
      <c r="Q1032" s="1574"/>
      <c r="R1032" s="1574"/>
      <c r="S1032" s="1574"/>
      <c r="T1032" s="1574"/>
      <c r="U1032" s="1574"/>
      <c r="V1032" s="1574"/>
      <c r="W1032" s="1574"/>
      <c r="X1032" s="1574"/>
      <c r="Y1032" s="1574"/>
      <c r="Z1032" s="1574"/>
      <c r="AA1032" s="1574"/>
      <c r="AB1032" s="1574"/>
      <c r="AC1032" s="1574"/>
      <c r="AD1032" s="1574"/>
      <c r="AE1032" s="1575"/>
      <c r="AF1032" s="1395"/>
      <c r="AG1032" s="1395"/>
      <c r="AH1032" s="1395"/>
      <c r="AI1032" s="1395"/>
      <c r="AJ1032" s="1377"/>
      <c r="AK1032" s="1378"/>
      <c r="AL1032" s="1378"/>
      <c r="AM1032" s="1378"/>
      <c r="AN1032" s="1378"/>
      <c r="AO1032" s="1378"/>
      <c r="AP1032" s="1378"/>
      <c r="AQ1032" s="1379"/>
      <c r="AR1032" s="68"/>
      <c r="AS1032" s="68"/>
      <c r="AT1032" s="68"/>
      <c r="AU1032" s="68"/>
      <c r="AV1032" s="68"/>
      <c r="AW1032" s="68"/>
      <c r="AX1032" s="3">
        <v>11</v>
      </c>
      <c r="AY1032" s="200">
        <f t="shared" si="58"/>
        <v>0</v>
      </c>
      <c r="AZ1032" s="1189">
        <v>0.02</v>
      </c>
    </row>
    <row r="1033" spans="1:52" ht="12.95" customHeight="1">
      <c r="A1033" s="14"/>
      <c r="B1033" s="81"/>
      <c r="C1033" s="84"/>
      <c r="D1033" s="526" t="s">
        <v>359</v>
      </c>
      <c r="E1033" s="90"/>
      <c r="F1033" s="90"/>
      <c r="G1033" s="104"/>
      <c r="H1033" s="104"/>
      <c r="I1033" s="49"/>
      <c r="J1033" s="1410" t="s">
        <v>591</v>
      </c>
      <c r="K1033" s="1411"/>
      <c r="L1033" s="1411"/>
      <c r="M1033" s="1411"/>
      <c r="N1033" s="1411"/>
      <c r="O1033" s="1411"/>
      <c r="P1033" s="1411"/>
      <c r="Q1033" s="1411"/>
      <c r="R1033" s="1411"/>
      <c r="S1033" s="1411"/>
      <c r="T1033" s="1411"/>
      <c r="U1033" s="1411"/>
      <c r="V1033" s="1411"/>
      <c r="W1033" s="1411"/>
      <c r="X1033" s="1411"/>
      <c r="Y1033" s="1411"/>
      <c r="Z1033" s="1411"/>
      <c r="AA1033" s="1411"/>
      <c r="AB1033" s="1411"/>
      <c r="AC1033" s="1411"/>
      <c r="AD1033" s="1411"/>
      <c r="AE1033" s="1412"/>
      <c r="AF1033" s="1395"/>
      <c r="AG1033" s="1395"/>
      <c r="AH1033" s="1395"/>
      <c r="AI1033" s="1395"/>
      <c r="AJ1033" s="1380"/>
      <c r="AK1033" s="1381"/>
      <c r="AL1033" s="1381"/>
      <c r="AM1033" s="1381"/>
      <c r="AN1033" s="1381"/>
      <c r="AO1033" s="1381"/>
      <c r="AP1033" s="1381"/>
      <c r="AQ1033" s="1382"/>
      <c r="AR1033" s="68"/>
      <c r="AS1033" s="68"/>
      <c r="AT1033" s="68"/>
      <c r="AU1033" s="68"/>
      <c r="AV1033" s="68"/>
      <c r="AW1033" s="68"/>
      <c r="AX1033" s="1027" t="s">
        <v>2533</v>
      </c>
      <c r="AY1033" s="201">
        <f>IF(SUM(AY1022:AY1032)&lt;=0.2,SUM(AY1022:AY1032),0.2)</f>
        <v>0</v>
      </c>
    </row>
    <row r="1034" spans="1:52" ht="12.95" customHeight="1">
      <c r="A1034" s="14"/>
      <c r="B1034" s="79"/>
      <c r="C1034" s="80" t="s">
        <v>229</v>
      </c>
      <c r="D1034" s="1563" t="s">
        <v>1293</v>
      </c>
      <c r="E1034" s="1564"/>
      <c r="F1034" s="1564"/>
      <c r="G1034" s="1564"/>
      <c r="H1034" s="1564"/>
      <c r="I1034" s="1564"/>
      <c r="J1034" s="1564"/>
      <c r="K1034" s="1564"/>
      <c r="L1034" s="1564"/>
      <c r="M1034" s="1564"/>
      <c r="N1034" s="1564"/>
      <c r="O1034" s="1564"/>
      <c r="P1034" s="1564"/>
      <c r="Q1034" s="1564"/>
      <c r="R1034" s="1564"/>
      <c r="S1034" s="1564"/>
      <c r="T1034" s="1564"/>
      <c r="U1034" s="1564"/>
      <c r="V1034" s="1564"/>
      <c r="W1034" s="1564"/>
      <c r="X1034" s="1564"/>
      <c r="Y1034" s="1564"/>
      <c r="Z1034" s="1564"/>
      <c r="AA1034" s="1564"/>
      <c r="AB1034" s="1564"/>
      <c r="AC1034" s="1564"/>
      <c r="AD1034" s="1564"/>
      <c r="AE1034" s="1565"/>
      <c r="AF1034" s="79"/>
      <c r="AG1034" s="1582" t="s">
        <v>669</v>
      </c>
      <c r="AH1034" s="1583"/>
      <c r="AI1034" s="87"/>
      <c r="AJ1034" s="1374">
        <f>ROUND(IF(AG1034="Yes",AF1036,0),0)</f>
        <v>0</v>
      </c>
      <c r="AK1034" s="1375"/>
      <c r="AL1034" s="1375"/>
      <c r="AM1034" s="1375"/>
      <c r="AN1034" s="1375"/>
      <c r="AO1034" s="1375"/>
      <c r="AP1034" s="1375"/>
      <c r="AQ1034" s="1376"/>
      <c r="AR1034" s="68"/>
      <c r="AS1034" s="68"/>
      <c r="AT1034" s="68"/>
      <c r="AU1034" s="68"/>
      <c r="AV1034" s="68"/>
      <c r="AW1034" s="68"/>
      <c r="AX1034" s="68"/>
      <c r="AY1034" s="68"/>
    </row>
    <row r="1035" spans="1:52" ht="12.95" customHeight="1">
      <c r="A1035" s="14"/>
      <c r="B1035" s="73"/>
      <c r="C1035" s="74"/>
      <c r="D1035" s="1573" t="s">
        <v>1679</v>
      </c>
      <c r="E1035" s="1574"/>
      <c r="F1035" s="1574"/>
      <c r="G1035" s="1574"/>
      <c r="H1035" s="1574"/>
      <c r="I1035" s="1574"/>
      <c r="J1035" s="1574"/>
      <c r="K1035" s="1574"/>
      <c r="L1035" s="1574"/>
      <c r="M1035" s="1574"/>
      <c r="N1035" s="1574"/>
      <c r="O1035" s="1574"/>
      <c r="P1035" s="1574"/>
      <c r="Q1035" s="1574"/>
      <c r="R1035" s="1574"/>
      <c r="S1035" s="1574"/>
      <c r="T1035" s="1574"/>
      <c r="U1035" s="1574"/>
      <c r="V1035" s="1574"/>
      <c r="W1035" s="1574"/>
      <c r="X1035" s="1574"/>
      <c r="Y1035" s="1574"/>
      <c r="Z1035" s="1574"/>
      <c r="AA1035" s="1574"/>
      <c r="AB1035" s="1574"/>
      <c r="AC1035" s="1574"/>
      <c r="AD1035" s="1574"/>
      <c r="AE1035" s="1575"/>
      <c r="AF1035" s="1620" t="str">
        <f>IF(AG1034="yes","Enter Amount:","")</f>
        <v/>
      </c>
      <c r="AG1035" s="1621"/>
      <c r="AH1035" s="1621"/>
      <c r="AI1035" s="1622"/>
      <c r="AJ1035" s="1377"/>
      <c r="AK1035" s="1378"/>
      <c r="AL1035" s="1378"/>
      <c r="AM1035" s="1378"/>
      <c r="AN1035" s="1378"/>
      <c r="AO1035" s="1378"/>
      <c r="AP1035" s="1378"/>
      <c r="AQ1035" s="1379"/>
      <c r="AR1035" s="68"/>
      <c r="AS1035" s="68"/>
      <c r="AT1035" s="68"/>
      <c r="AU1035" s="68"/>
      <c r="AV1035" s="68"/>
      <c r="AW1035" s="68"/>
      <c r="AX1035" s="68"/>
      <c r="AY1035" s="68"/>
    </row>
    <row r="1036" spans="1:52" ht="12.95" customHeight="1">
      <c r="A1036" s="14"/>
      <c r="B1036" s="73"/>
      <c r="C1036" s="74"/>
      <c r="D1036" s="1573"/>
      <c r="E1036" s="1574"/>
      <c r="F1036" s="1574"/>
      <c r="G1036" s="1574"/>
      <c r="H1036" s="1574"/>
      <c r="I1036" s="1574"/>
      <c r="J1036" s="1574"/>
      <c r="K1036" s="1574"/>
      <c r="L1036" s="1574"/>
      <c r="M1036" s="1574"/>
      <c r="N1036" s="1574"/>
      <c r="O1036" s="1574"/>
      <c r="P1036" s="1574"/>
      <c r="Q1036" s="1574"/>
      <c r="R1036" s="1574"/>
      <c r="S1036" s="1574"/>
      <c r="T1036" s="1574"/>
      <c r="U1036" s="1574"/>
      <c r="V1036" s="1574"/>
      <c r="W1036" s="1574"/>
      <c r="X1036" s="1574"/>
      <c r="Y1036" s="1574"/>
      <c r="Z1036" s="1574"/>
      <c r="AA1036" s="1574"/>
      <c r="AB1036" s="1574"/>
      <c r="AC1036" s="1574"/>
      <c r="AD1036" s="1574"/>
      <c r="AE1036" s="1575"/>
      <c r="AF1036" s="1395"/>
      <c r="AG1036" s="1395"/>
      <c r="AH1036" s="1395"/>
      <c r="AI1036" s="1395"/>
      <c r="AJ1036" s="1377"/>
      <c r="AK1036" s="1378"/>
      <c r="AL1036" s="1378"/>
      <c r="AM1036" s="1378"/>
      <c r="AN1036" s="1378"/>
      <c r="AO1036" s="1378"/>
      <c r="AP1036" s="1378"/>
      <c r="AQ1036" s="1379"/>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66"/>
      <c r="E1037" s="1567"/>
      <c r="F1037" s="1567"/>
      <c r="G1037" s="1567"/>
      <c r="H1037" s="1567"/>
      <c r="I1037" s="1567"/>
      <c r="J1037" s="1567"/>
      <c r="K1037" s="1567"/>
      <c r="L1037" s="1567"/>
      <c r="M1037" s="1567"/>
      <c r="N1037" s="1567"/>
      <c r="O1037" s="1567"/>
      <c r="P1037" s="1567"/>
      <c r="Q1037" s="1567"/>
      <c r="R1037" s="1567"/>
      <c r="S1037" s="1567"/>
      <c r="T1037" s="1567"/>
      <c r="U1037" s="1567"/>
      <c r="V1037" s="1567"/>
      <c r="W1037" s="1567"/>
      <c r="X1037" s="1567"/>
      <c r="Y1037" s="1567"/>
      <c r="Z1037" s="1567"/>
      <c r="AA1037" s="1567"/>
      <c r="AB1037" s="1567"/>
      <c r="AC1037" s="1567"/>
      <c r="AD1037" s="1567"/>
      <c r="AE1037" s="1568"/>
      <c r="AF1037" s="1395"/>
      <c r="AG1037" s="1395"/>
      <c r="AH1037" s="1395"/>
      <c r="AI1037" s="1395"/>
      <c r="AJ1037" s="1380"/>
      <c r="AK1037" s="1381"/>
      <c r="AL1037" s="1381"/>
      <c r="AM1037" s="1381"/>
      <c r="AN1037" s="1381"/>
      <c r="AO1037" s="1381"/>
      <c r="AP1037" s="1381"/>
      <c r="AQ1037" s="1382"/>
      <c r="AR1037" s="68"/>
      <c r="AS1037" s="68"/>
      <c r="AT1037" s="68"/>
      <c r="AU1037" s="68"/>
      <c r="AV1037" s="68"/>
      <c r="AW1037" s="68"/>
      <c r="AX1037" s="68"/>
      <c r="AY1037" s="68"/>
    </row>
    <row r="1038" spans="1:52" ht="12.95" customHeight="1">
      <c r="A1038" s="14"/>
      <c r="B1038" s="79"/>
      <c r="C1038" s="80" t="s">
        <v>234</v>
      </c>
      <c r="D1038" s="1341" t="s">
        <v>1294</v>
      </c>
      <c r="E1038" s="1342"/>
      <c r="F1038" s="1342"/>
      <c r="G1038" s="1342"/>
      <c r="H1038" s="1342"/>
      <c r="I1038" s="1342"/>
      <c r="J1038" s="1342"/>
      <c r="K1038" s="1342"/>
      <c r="L1038" s="1342"/>
      <c r="M1038" s="1342"/>
      <c r="N1038" s="1342"/>
      <c r="O1038" s="1342"/>
      <c r="P1038" s="1342"/>
      <c r="Q1038" s="1342"/>
      <c r="R1038" s="1342"/>
      <c r="S1038" s="1342"/>
      <c r="T1038" s="1342"/>
      <c r="U1038" s="1342"/>
      <c r="V1038" s="1342"/>
      <c r="W1038" s="1342"/>
      <c r="X1038" s="1342"/>
      <c r="Y1038" s="1342"/>
      <c r="Z1038" s="1342"/>
      <c r="AA1038" s="1342"/>
      <c r="AB1038" s="1342"/>
      <c r="AC1038" s="1342"/>
      <c r="AD1038" s="1342"/>
      <c r="AE1038" s="1343"/>
      <c r="AF1038" s="79"/>
      <c r="AG1038" s="1582" t="s">
        <v>669</v>
      </c>
      <c r="AH1038" s="1583"/>
      <c r="AI1038" s="87"/>
      <c r="AJ1038" s="1374">
        <f>ROUND(IF(AG1038="yes",(AJ1001*0.1),0),0)</f>
        <v>0</v>
      </c>
      <c r="AK1038" s="1375"/>
      <c r="AL1038" s="1375"/>
      <c r="AM1038" s="1375"/>
      <c r="AN1038" s="1375"/>
      <c r="AO1038" s="1375"/>
      <c r="AP1038" s="1375"/>
      <c r="AQ1038" s="1376"/>
      <c r="AR1038" s="68"/>
      <c r="AS1038" s="68"/>
      <c r="AT1038" s="68"/>
      <c r="AU1038" s="68"/>
      <c r="AV1038" s="68"/>
      <c r="AW1038" s="68"/>
      <c r="AX1038" s="68"/>
      <c r="AY1038" s="68"/>
    </row>
    <row r="1039" spans="1:52" ht="12.95" customHeight="1">
      <c r="A1039" s="14"/>
      <c r="B1039" s="73"/>
      <c r="C1039" s="74"/>
      <c r="D1039" s="1573" t="s">
        <v>1295</v>
      </c>
      <c r="E1039" s="1574"/>
      <c r="F1039" s="1574"/>
      <c r="G1039" s="1574"/>
      <c r="H1039" s="1574"/>
      <c r="I1039" s="1574"/>
      <c r="J1039" s="1574"/>
      <c r="K1039" s="1574"/>
      <c r="L1039" s="1574"/>
      <c r="M1039" s="1574"/>
      <c r="N1039" s="1574"/>
      <c r="O1039" s="1574"/>
      <c r="P1039" s="1574"/>
      <c r="Q1039" s="1574"/>
      <c r="R1039" s="1574"/>
      <c r="S1039" s="1574"/>
      <c r="T1039" s="1574"/>
      <c r="U1039" s="1574"/>
      <c r="V1039" s="1574"/>
      <c r="W1039" s="1574"/>
      <c r="X1039" s="1574"/>
      <c r="Y1039" s="1574"/>
      <c r="Z1039" s="1574"/>
      <c r="AA1039" s="1574"/>
      <c r="AB1039" s="1574"/>
      <c r="AC1039" s="1574"/>
      <c r="AD1039" s="1574"/>
      <c r="AE1039" s="1575"/>
      <c r="AF1039" s="73"/>
      <c r="AG1039" s="14"/>
      <c r="AH1039" s="14"/>
      <c r="AI1039" s="83"/>
      <c r="AJ1039" s="1377"/>
      <c r="AK1039" s="1378"/>
      <c r="AL1039" s="1378"/>
      <c r="AM1039" s="1378"/>
      <c r="AN1039" s="1378"/>
      <c r="AO1039" s="1378"/>
      <c r="AP1039" s="1378"/>
      <c r="AQ1039" s="1379"/>
      <c r="AR1039" s="68"/>
      <c r="AS1039" s="68"/>
      <c r="AT1039" s="68"/>
      <c r="AU1039" s="68"/>
      <c r="AV1039" s="68"/>
      <c r="AW1039" s="68"/>
      <c r="AX1039" s="68"/>
      <c r="AY1039" s="68"/>
    </row>
    <row r="1040" spans="1:52" ht="12.95" customHeight="1">
      <c r="A1040" s="14"/>
      <c r="B1040" s="77"/>
      <c r="C1040" s="74"/>
      <c r="D1040" s="1566"/>
      <c r="E1040" s="1567"/>
      <c r="F1040" s="1567"/>
      <c r="G1040" s="1567"/>
      <c r="H1040" s="1567"/>
      <c r="I1040" s="1567"/>
      <c r="J1040" s="1567"/>
      <c r="K1040" s="1567"/>
      <c r="L1040" s="1567"/>
      <c r="M1040" s="1567"/>
      <c r="N1040" s="1567"/>
      <c r="O1040" s="1567"/>
      <c r="P1040" s="1567"/>
      <c r="Q1040" s="1567"/>
      <c r="R1040" s="1567"/>
      <c r="S1040" s="1567"/>
      <c r="T1040" s="1567"/>
      <c r="U1040" s="1567"/>
      <c r="V1040" s="1567"/>
      <c r="W1040" s="1567"/>
      <c r="X1040" s="1567"/>
      <c r="Y1040" s="1567"/>
      <c r="Z1040" s="1567"/>
      <c r="AA1040" s="1567"/>
      <c r="AB1040" s="1567"/>
      <c r="AC1040" s="1567"/>
      <c r="AD1040" s="1567"/>
      <c r="AE1040" s="1568"/>
      <c r="AF1040" s="73"/>
      <c r="AG1040" s="14"/>
      <c r="AH1040" s="14"/>
      <c r="AI1040" s="83"/>
      <c r="AJ1040" s="1380"/>
      <c r="AK1040" s="1381"/>
      <c r="AL1040" s="1381"/>
      <c r="AM1040" s="1381"/>
      <c r="AN1040" s="1381"/>
      <c r="AO1040" s="1381"/>
      <c r="AP1040" s="1381"/>
      <c r="AQ1040" s="1382"/>
      <c r="AR1040" s="68"/>
      <c r="AS1040" s="68"/>
      <c r="AT1040" s="68"/>
      <c r="AU1040" s="68"/>
      <c r="AV1040" s="68"/>
      <c r="AW1040" s="68"/>
      <c r="AX1040" s="68"/>
      <c r="AY1040" s="68"/>
    </row>
    <row r="1041" spans="1:57" ht="12.95" customHeight="1">
      <c r="A1041" s="14"/>
      <c r="B1041" s="73"/>
      <c r="C1041" s="339" t="s">
        <v>687</v>
      </c>
      <c r="D1041" s="1563" t="s">
        <v>1675</v>
      </c>
      <c r="E1041" s="1564"/>
      <c r="F1041" s="1564"/>
      <c r="G1041" s="1564"/>
      <c r="H1041" s="1564"/>
      <c r="I1041" s="1564"/>
      <c r="J1041" s="1564"/>
      <c r="K1041" s="1564"/>
      <c r="L1041" s="1564"/>
      <c r="M1041" s="1564"/>
      <c r="N1041" s="1564"/>
      <c r="O1041" s="1564"/>
      <c r="P1041" s="1564"/>
      <c r="Q1041" s="1564"/>
      <c r="R1041" s="1564"/>
      <c r="S1041" s="1564"/>
      <c r="T1041" s="1564"/>
      <c r="U1041" s="1564"/>
      <c r="V1041" s="1564"/>
      <c r="W1041" s="1564"/>
      <c r="X1041" s="1564"/>
      <c r="Y1041" s="1564"/>
      <c r="Z1041" s="1564"/>
      <c r="AA1041" s="1564"/>
      <c r="AB1041" s="1564"/>
      <c r="AC1041" s="1564"/>
      <c r="AD1041" s="1564"/>
      <c r="AE1041" s="1565"/>
      <c r="AF1041" s="79"/>
      <c r="AG1041" s="1582" t="s">
        <v>669</v>
      </c>
      <c r="AH1041" s="1583"/>
      <c r="AI1041" s="87"/>
      <c r="AJ1041" s="1374">
        <f>ROUND(IF(AG1041="yes",(AJ1001*0.15),0),0)</f>
        <v>0</v>
      </c>
      <c r="AK1041" s="1375"/>
      <c r="AL1041" s="1375"/>
      <c r="AM1041" s="1375"/>
      <c r="AN1041" s="1375"/>
      <c r="AO1041" s="1375"/>
      <c r="AP1041" s="1375"/>
      <c r="AQ1041" s="1376"/>
      <c r="AR1041" s="68"/>
      <c r="AS1041" s="68"/>
      <c r="AT1041" s="68"/>
      <c r="AU1041" s="68"/>
      <c r="AV1041" s="68"/>
      <c r="AW1041" s="68"/>
      <c r="AX1041" s="68"/>
      <c r="AY1041" s="68"/>
    </row>
    <row r="1042" spans="1:57" ht="12.95" customHeight="1">
      <c r="A1042" s="14"/>
      <c r="B1042" s="73"/>
      <c r="C1042" s="74"/>
      <c r="D1042" s="1593" t="s">
        <v>1676</v>
      </c>
      <c r="E1042" s="1275"/>
      <c r="F1042" s="1275"/>
      <c r="G1042" s="1275"/>
      <c r="H1042" s="1275"/>
      <c r="I1042" s="1275"/>
      <c r="J1042" s="1275"/>
      <c r="K1042" s="1275"/>
      <c r="L1042" s="1275"/>
      <c r="M1042" s="1275"/>
      <c r="N1042" s="1275"/>
      <c r="O1042" s="1275"/>
      <c r="P1042" s="1275"/>
      <c r="Q1042" s="1275"/>
      <c r="R1042" s="1275"/>
      <c r="S1042" s="1275"/>
      <c r="T1042" s="1275"/>
      <c r="U1042" s="1275"/>
      <c r="V1042" s="1275"/>
      <c r="W1042" s="1275"/>
      <c r="X1042" s="1275"/>
      <c r="Y1042" s="1275"/>
      <c r="Z1042" s="1275"/>
      <c r="AA1042" s="1275"/>
      <c r="AB1042" s="1275"/>
      <c r="AC1042" s="1275"/>
      <c r="AD1042" s="1275"/>
      <c r="AE1042" s="1594"/>
      <c r="AF1042" s="911"/>
      <c r="AG1042" s="912"/>
      <c r="AH1042" s="912"/>
      <c r="AI1042" s="913"/>
      <c r="AJ1042" s="1377"/>
      <c r="AK1042" s="1378"/>
      <c r="AL1042" s="1378"/>
      <c r="AM1042" s="1378"/>
      <c r="AN1042" s="1378"/>
      <c r="AO1042" s="1378"/>
      <c r="AP1042" s="1378"/>
      <c r="AQ1042" s="1379"/>
      <c r="AR1042" s="68"/>
      <c r="AS1042" s="68"/>
      <c r="AT1042" s="68"/>
      <c r="AU1042" s="68"/>
      <c r="AV1042" s="68"/>
      <c r="AW1042" s="68"/>
      <c r="AX1042" s="68"/>
      <c r="AY1042" s="68"/>
    </row>
    <row r="1043" spans="1:57" ht="12.95" customHeight="1">
      <c r="A1043" s="14"/>
      <c r="B1043" s="73"/>
      <c r="C1043" s="74"/>
      <c r="D1043" s="1593"/>
      <c r="E1043" s="1275"/>
      <c r="F1043" s="1275"/>
      <c r="G1043" s="1275"/>
      <c r="H1043" s="1275"/>
      <c r="I1043" s="1275"/>
      <c r="J1043" s="1275"/>
      <c r="K1043" s="1275"/>
      <c r="L1043" s="1275"/>
      <c r="M1043" s="1275"/>
      <c r="N1043" s="1275"/>
      <c r="O1043" s="1275"/>
      <c r="P1043" s="1275"/>
      <c r="Q1043" s="1275"/>
      <c r="R1043" s="1275"/>
      <c r="S1043" s="1275"/>
      <c r="T1043" s="1275"/>
      <c r="U1043" s="1275"/>
      <c r="V1043" s="1275"/>
      <c r="W1043" s="1275"/>
      <c r="X1043" s="1275"/>
      <c r="Y1043" s="1275"/>
      <c r="Z1043" s="1275"/>
      <c r="AA1043" s="1275"/>
      <c r="AB1043" s="1275"/>
      <c r="AC1043" s="1275"/>
      <c r="AD1043" s="1275"/>
      <c r="AE1043" s="1594"/>
      <c r="AF1043" s="911"/>
      <c r="AG1043" s="912"/>
      <c r="AH1043" s="912"/>
      <c r="AI1043" s="913"/>
      <c r="AJ1043" s="1377"/>
      <c r="AK1043" s="1378"/>
      <c r="AL1043" s="1378"/>
      <c r="AM1043" s="1378"/>
      <c r="AN1043" s="1378"/>
      <c r="AO1043" s="1378"/>
      <c r="AP1043" s="1378"/>
      <c r="AQ1043" s="1379"/>
      <c r="AR1043" s="68"/>
      <c r="AS1043" s="68"/>
      <c r="AT1043" s="68"/>
      <c r="AU1043" s="68"/>
      <c r="AV1043" s="68"/>
      <c r="AW1043" s="68"/>
      <c r="AX1043" s="68"/>
      <c r="AY1043" s="68"/>
    </row>
    <row r="1044" spans="1:57" ht="12.95" customHeight="1">
      <c r="A1044" s="14"/>
      <c r="B1044" s="73"/>
      <c r="C1044" s="74"/>
      <c r="D1044" s="1595"/>
      <c r="E1044" s="1596"/>
      <c r="F1044" s="1596"/>
      <c r="G1044" s="1596"/>
      <c r="H1044" s="1596"/>
      <c r="I1044" s="1596"/>
      <c r="J1044" s="1596"/>
      <c r="K1044" s="1596"/>
      <c r="L1044" s="1596"/>
      <c r="M1044" s="1596"/>
      <c r="N1044" s="1596"/>
      <c r="O1044" s="1596"/>
      <c r="P1044" s="1596"/>
      <c r="Q1044" s="1596"/>
      <c r="R1044" s="1596"/>
      <c r="S1044" s="1596"/>
      <c r="T1044" s="1596"/>
      <c r="U1044" s="1596"/>
      <c r="V1044" s="1596"/>
      <c r="W1044" s="1596"/>
      <c r="X1044" s="1596"/>
      <c r="Y1044" s="1596"/>
      <c r="Z1044" s="1596"/>
      <c r="AA1044" s="1596"/>
      <c r="AB1044" s="1596"/>
      <c r="AC1044" s="1596"/>
      <c r="AD1044" s="1596"/>
      <c r="AE1044" s="1597"/>
      <c r="AF1044" s="914"/>
      <c r="AG1044" s="915"/>
      <c r="AH1044" s="915"/>
      <c r="AI1044" s="916"/>
      <c r="AJ1044" s="1380"/>
      <c r="AK1044" s="1381"/>
      <c r="AL1044" s="1381"/>
      <c r="AM1044" s="1381"/>
      <c r="AN1044" s="1381"/>
      <c r="AO1044" s="1381"/>
      <c r="AP1044" s="1381"/>
      <c r="AQ1044" s="1382"/>
      <c r="AR1044" s="68"/>
      <c r="AS1044" s="68"/>
      <c r="AT1044" s="68"/>
      <c r="AU1044" s="68"/>
      <c r="AV1044" s="68"/>
      <c r="AW1044" s="68"/>
      <c r="AX1044" s="68"/>
      <c r="AY1044" s="68"/>
    </row>
    <row r="1045" spans="1:57" ht="12.95" customHeight="1">
      <c r="A1045" s="14"/>
      <c r="B1045" s="73"/>
      <c r="C1045" s="339" t="s">
        <v>687</v>
      </c>
      <c r="D1045" s="1341" t="s">
        <v>1677</v>
      </c>
      <c r="E1045" s="1342"/>
      <c r="F1045" s="1342"/>
      <c r="G1045" s="1342"/>
      <c r="H1045" s="1342"/>
      <c r="I1045" s="1342"/>
      <c r="J1045" s="1342"/>
      <c r="K1045" s="1342"/>
      <c r="L1045" s="1342"/>
      <c r="M1045" s="1342"/>
      <c r="N1045" s="1342"/>
      <c r="O1045" s="1342"/>
      <c r="P1045" s="1342"/>
      <c r="Q1045" s="1342"/>
      <c r="R1045" s="1342"/>
      <c r="S1045" s="1342"/>
      <c r="T1045" s="1342"/>
      <c r="U1045" s="1342"/>
      <c r="V1045" s="1342"/>
      <c r="W1045" s="1342"/>
      <c r="X1045" s="1342"/>
      <c r="Y1045" s="1342"/>
      <c r="Z1045" s="1342"/>
      <c r="AA1045" s="1342"/>
      <c r="AB1045" s="1342"/>
      <c r="AC1045" s="1342"/>
      <c r="AD1045" s="1342"/>
      <c r="AE1045" s="1343"/>
      <c r="AF1045" s="73"/>
      <c r="AG1045" s="1598" t="s">
        <v>669</v>
      </c>
      <c r="AH1045" s="1599"/>
      <c r="AI1045" s="83"/>
      <c r="AJ1045" s="1374">
        <f>ROUND(IF(AND(AG1045="yes",AJ1041=0),(AJ1001*0.1),0),0)</f>
        <v>0</v>
      </c>
      <c r="AK1045" s="1375"/>
      <c r="AL1045" s="1375"/>
      <c r="AM1045" s="1375"/>
      <c r="AN1045" s="1375"/>
      <c r="AO1045" s="1375"/>
      <c r="AP1045" s="1375"/>
      <c r="AQ1045" s="1376"/>
      <c r="AR1045" s="68"/>
      <c r="AS1045" s="68"/>
      <c r="AT1045" s="68"/>
      <c r="AU1045" s="68"/>
      <c r="AV1045" s="68"/>
      <c r="AW1045" s="68"/>
      <c r="AX1045" s="68"/>
      <c r="AY1045" s="68"/>
    </row>
    <row r="1046" spans="1:57" ht="12.95" customHeight="1">
      <c r="A1046" s="14"/>
      <c r="B1046" s="73"/>
      <c r="C1046" s="74"/>
      <c r="D1046" s="1593" t="s">
        <v>1678</v>
      </c>
      <c r="E1046" s="1275"/>
      <c r="F1046" s="1275"/>
      <c r="G1046" s="1275"/>
      <c r="H1046" s="1275"/>
      <c r="I1046" s="1275"/>
      <c r="J1046" s="1275"/>
      <c r="K1046" s="1275"/>
      <c r="L1046" s="1275"/>
      <c r="M1046" s="1275"/>
      <c r="N1046" s="1275"/>
      <c r="O1046" s="1275"/>
      <c r="P1046" s="1275"/>
      <c r="Q1046" s="1275"/>
      <c r="R1046" s="1275"/>
      <c r="S1046" s="1275"/>
      <c r="T1046" s="1275"/>
      <c r="U1046" s="1275"/>
      <c r="V1046" s="1275"/>
      <c r="W1046" s="1275"/>
      <c r="X1046" s="1275"/>
      <c r="Y1046" s="1275"/>
      <c r="Z1046" s="1275"/>
      <c r="AA1046" s="1275"/>
      <c r="AB1046" s="1275"/>
      <c r="AC1046" s="1275"/>
      <c r="AD1046" s="1275"/>
      <c r="AE1046" s="1594"/>
      <c r="AF1046" s="73"/>
      <c r="AG1046" s="14"/>
      <c r="AH1046" s="14"/>
      <c r="AI1046" s="83"/>
      <c r="AJ1046" s="1377"/>
      <c r="AK1046" s="1378"/>
      <c r="AL1046" s="1378"/>
      <c r="AM1046" s="1378"/>
      <c r="AN1046" s="1378"/>
      <c r="AO1046" s="1378"/>
      <c r="AP1046" s="1378"/>
      <c r="AQ1046" s="1379"/>
      <c r="AR1046" s="68"/>
      <c r="AS1046" s="68"/>
      <c r="AT1046" s="68"/>
      <c r="AU1046" s="68"/>
      <c r="AV1046" s="68"/>
      <c r="AW1046" s="68"/>
      <c r="AX1046" s="68"/>
      <c r="AY1046" s="68"/>
    </row>
    <row r="1047" spans="1:57" ht="12.95" customHeight="1">
      <c r="A1047" s="14"/>
      <c r="B1047" s="73"/>
      <c r="C1047" s="74"/>
      <c r="D1047" s="1593"/>
      <c r="E1047" s="1275"/>
      <c r="F1047" s="1275"/>
      <c r="G1047" s="1275"/>
      <c r="H1047" s="1275"/>
      <c r="I1047" s="1275"/>
      <c r="J1047" s="1275"/>
      <c r="K1047" s="1275"/>
      <c r="L1047" s="1275"/>
      <c r="M1047" s="1275"/>
      <c r="N1047" s="1275"/>
      <c r="O1047" s="1275"/>
      <c r="P1047" s="1275"/>
      <c r="Q1047" s="1275"/>
      <c r="R1047" s="1275"/>
      <c r="S1047" s="1275"/>
      <c r="T1047" s="1275"/>
      <c r="U1047" s="1275"/>
      <c r="V1047" s="1275"/>
      <c r="W1047" s="1275"/>
      <c r="X1047" s="1275"/>
      <c r="Y1047" s="1275"/>
      <c r="Z1047" s="1275"/>
      <c r="AA1047" s="1275"/>
      <c r="AB1047" s="1275"/>
      <c r="AC1047" s="1275"/>
      <c r="AD1047" s="1275"/>
      <c r="AE1047" s="1594"/>
      <c r="AF1047" s="73"/>
      <c r="AG1047" s="14"/>
      <c r="AH1047" s="14"/>
      <c r="AI1047" s="83"/>
      <c r="AJ1047" s="1377"/>
      <c r="AK1047" s="1378"/>
      <c r="AL1047" s="1378"/>
      <c r="AM1047" s="1378"/>
      <c r="AN1047" s="1378"/>
      <c r="AO1047" s="1378"/>
      <c r="AP1047" s="1378"/>
      <c r="AQ1047" s="1379"/>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5" customHeight="1">
      <c r="A1048" s="14"/>
      <c r="B1048" s="73"/>
      <c r="C1048" s="74"/>
      <c r="D1048" s="1593"/>
      <c r="E1048" s="1275"/>
      <c r="F1048" s="1275"/>
      <c r="G1048" s="1275"/>
      <c r="H1048" s="1275"/>
      <c r="I1048" s="1275"/>
      <c r="J1048" s="1275"/>
      <c r="K1048" s="1275"/>
      <c r="L1048" s="1275"/>
      <c r="M1048" s="1275"/>
      <c r="N1048" s="1275"/>
      <c r="O1048" s="1275"/>
      <c r="P1048" s="1275"/>
      <c r="Q1048" s="1275"/>
      <c r="R1048" s="1275"/>
      <c r="S1048" s="1275"/>
      <c r="T1048" s="1275"/>
      <c r="U1048" s="1275"/>
      <c r="V1048" s="1275"/>
      <c r="W1048" s="1275"/>
      <c r="X1048" s="1275"/>
      <c r="Y1048" s="1275"/>
      <c r="Z1048" s="1275"/>
      <c r="AA1048" s="1275"/>
      <c r="AB1048" s="1275"/>
      <c r="AC1048" s="1275"/>
      <c r="AD1048" s="1275"/>
      <c r="AE1048" s="1594"/>
      <c r="AF1048" s="73"/>
      <c r="AG1048" s="14"/>
      <c r="AH1048" s="14"/>
      <c r="AI1048" s="83"/>
      <c r="AJ1048" s="1377"/>
      <c r="AK1048" s="1378"/>
      <c r="AL1048" s="1378"/>
      <c r="AM1048" s="1378"/>
      <c r="AN1048" s="1378"/>
      <c r="AO1048" s="1378"/>
      <c r="AP1048" s="1378"/>
      <c r="AQ1048" s="1379"/>
      <c r="AR1048" s="68"/>
      <c r="AS1048" s="68"/>
      <c r="AT1048" s="68"/>
      <c r="AU1048" s="68"/>
      <c r="AV1048" s="68"/>
      <c r="AW1048" s="68"/>
      <c r="AX1048" s="68"/>
      <c r="AY1048" s="68"/>
      <c r="BA1048">
        <f>IFERROR((($CI$761+$CM$761)/$AG$449),0)</f>
        <v>0.49709302325581395</v>
      </c>
      <c r="BB1048" s="3" t="s">
        <v>2425</v>
      </c>
    </row>
    <row r="1049" spans="1:57" ht="12.95" customHeight="1">
      <c r="A1049" s="14"/>
      <c r="B1049" s="73"/>
      <c r="C1049" s="74"/>
      <c r="D1049" s="1595"/>
      <c r="E1049" s="1596"/>
      <c r="F1049" s="1596"/>
      <c r="G1049" s="1596"/>
      <c r="H1049" s="1596"/>
      <c r="I1049" s="1596"/>
      <c r="J1049" s="1596"/>
      <c r="K1049" s="1596"/>
      <c r="L1049" s="1596"/>
      <c r="M1049" s="1596"/>
      <c r="N1049" s="1596"/>
      <c r="O1049" s="1596"/>
      <c r="P1049" s="1596"/>
      <c r="Q1049" s="1596"/>
      <c r="R1049" s="1596"/>
      <c r="S1049" s="1596"/>
      <c r="T1049" s="1596"/>
      <c r="U1049" s="1596"/>
      <c r="V1049" s="1596"/>
      <c r="W1049" s="1596"/>
      <c r="X1049" s="1596"/>
      <c r="Y1049" s="1596"/>
      <c r="Z1049" s="1596"/>
      <c r="AA1049" s="1596"/>
      <c r="AB1049" s="1596"/>
      <c r="AC1049" s="1596"/>
      <c r="AD1049" s="1596"/>
      <c r="AE1049" s="1597"/>
      <c r="AF1049" s="73"/>
      <c r="AG1049" s="14"/>
      <c r="AH1049" s="14"/>
      <c r="AI1049" s="83"/>
      <c r="AJ1049" s="1377"/>
      <c r="AK1049" s="1378"/>
      <c r="AL1049" s="1378"/>
      <c r="AM1049" s="1378"/>
      <c r="AN1049" s="1378"/>
      <c r="AO1049" s="1378"/>
      <c r="AP1049" s="1378"/>
      <c r="AQ1049" s="1379"/>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563" t="s">
        <v>1296</v>
      </c>
      <c r="E1050" s="1564"/>
      <c r="F1050" s="1564"/>
      <c r="G1050" s="1564"/>
      <c r="H1050" s="1564"/>
      <c r="I1050" s="1564"/>
      <c r="J1050" s="1564"/>
      <c r="K1050" s="1564"/>
      <c r="L1050" s="1564"/>
      <c r="M1050" s="1564"/>
      <c r="N1050" s="1564"/>
      <c r="O1050" s="1564"/>
      <c r="P1050" s="1564"/>
      <c r="Q1050" s="1564"/>
      <c r="R1050" s="1564"/>
      <c r="S1050" s="1564"/>
      <c r="T1050" s="1564"/>
      <c r="U1050" s="1564"/>
      <c r="V1050" s="1564"/>
      <c r="W1050" s="1564"/>
      <c r="X1050" s="1564"/>
      <c r="Y1050" s="1564"/>
      <c r="Z1050" s="1564"/>
      <c r="AA1050" s="1564"/>
      <c r="AB1050" s="1564"/>
      <c r="AC1050" s="1564"/>
      <c r="AD1050" s="1564"/>
      <c r="AE1050" s="1565"/>
      <c r="AF1050" s="79"/>
      <c r="AG1050" s="1582" t="s">
        <v>669</v>
      </c>
      <c r="AH1050" s="1583"/>
      <c r="AI1050" s="87"/>
      <c r="AJ1050" s="1374">
        <f>ROUND(IF(AG1050="yes",(AJ1001*0.1),0),0)</f>
        <v>0</v>
      </c>
      <c r="AK1050" s="1375"/>
      <c r="AL1050" s="1375"/>
      <c r="AM1050" s="1375"/>
      <c r="AN1050" s="1375"/>
      <c r="AO1050" s="1375"/>
      <c r="AP1050" s="1375"/>
      <c r="AQ1050" s="1376"/>
      <c r="AR1050" s="68"/>
      <c r="AS1050" s="68"/>
      <c r="AT1050" s="68"/>
      <c r="AU1050" s="68"/>
      <c r="AV1050" s="68"/>
      <c r="AW1050" s="68"/>
      <c r="AX1050" s="68"/>
      <c r="AY1050" s="68"/>
      <c r="BA1050">
        <f>Q212</f>
        <v>0</v>
      </c>
      <c r="BB1050" s="3" t="s">
        <v>2423</v>
      </c>
    </row>
    <row r="1051" spans="1:57" ht="12.95" customHeight="1">
      <c r="A1051" s="14"/>
      <c r="B1051" s="73"/>
      <c r="C1051" s="74"/>
      <c r="D1051" s="1573" t="s">
        <v>2100</v>
      </c>
      <c r="E1051" s="1574"/>
      <c r="F1051" s="1574"/>
      <c r="G1051" s="1574"/>
      <c r="H1051" s="1574"/>
      <c r="I1051" s="1574"/>
      <c r="J1051" s="1574"/>
      <c r="K1051" s="1574"/>
      <c r="L1051" s="1574"/>
      <c r="M1051" s="1574"/>
      <c r="N1051" s="1574"/>
      <c r="O1051" s="1574"/>
      <c r="P1051" s="1574"/>
      <c r="Q1051" s="1574"/>
      <c r="R1051" s="1574"/>
      <c r="S1051" s="1574"/>
      <c r="T1051" s="1574"/>
      <c r="U1051" s="1574"/>
      <c r="V1051" s="1574"/>
      <c r="W1051" s="1574"/>
      <c r="X1051" s="1574"/>
      <c r="Y1051" s="1574"/>
      <c r="Z1051" s="1574"/>
      <c r="AA1051" s="1574"/>
      <c r="AB1051" s="1574"/>
      <c r="AC1051" s="1574"/>
      <c r="AD1051" s="1574"/>
      <c r="AE1051" s="1575"/>
      <c r="AF1051" s="73"/>
      <c r="AG1051" s="14"/>
      <c r="AH1051" s="14"/>
      <c r="AI1051" s="83"/>
      <c r="AJ1051" s="1377"/>
      <c r="AK1051" s="1378"/>
      <c r="AL1051" s="1378"/>
      <c r="AM1051" s="1378"/>
      <c r="AN1051" s="1378"/>
      <c r="AO1051" s="1378"/>
      <c r="AP1051" s="1378"/>
      <c r="AQ1051" s="1379"/>
      <c r="AR1051" s="68"/>
      <c r="AS1051" s="68"/>
      <c r="AT1051" s="68"/>
      <c r="AU1051" s="68"/>
      <c r="AV1051" s="68"/>
      <c r="AW1051" s="68"/>
      <c r="AX1051" s="68"/>
      <c r="AY1051" s="68"/>
      <c r="BA1051" s="1177">
        <f>T212</f>
        <v>0</v>
      </c>
      <c r="BB1051" s="3" t="s">
        <v>2424</v>
      </c>
    </row>
    <row r="1052" spans="1:57" ht="12.95" customHeight="1">
      <c r="A1052" s="14"/>
      <c r="B1052" s="73"/>
      <c r="C1052" s="74"/>
      <c r="D1052" s="1573"/>
      <c r="E1052" s="1574"/>
      <c r="F1052" s="1574"/>
      <c r="G1052" s="1574"/>
      <c r="H1052" s="1574"/>
      <c r="I1052" s="1574"/>
      <c r="J1052" s="1574"/>
      <c r="K1052" s="1574"/>
      <c r="L1052" s="1574"/>
      <c r="M1052" s="1574"/>
      <c r="N1052" s="1574"/>
      <c r="O1052" s="1574"/>
      <c r="P1052" s="1574"/>
      <c r="Q1052" s="1574"/>
      <c r="R1052" s="1574"/>
      <c r="S1052" s="1574"/>
      <c r="T1052" s="1574"/>
      <c r="U1052" s="1574"/>
      <c r="V1052" s="1574"/>
      <c r="W1052" s="1574"/>
      <c r="X1052" s="1574"/>
      <c r="Y1052" s="1574"/>
      <c r="Z1052" s="1574"/>
      <c r="AA1052" s="1574"/>
      <c r="AB1052" s="1574"/>
      <c r="AC1052" s="1574"/>
      <c r="AD1052" s="1574"/>
      <c r="AE1052" s="1575"/>
      <c r="AF1052" s="73"/>
      <c r="AG1052" s="14"/>
      <c r="AH1052" s="14"/>
      <c r="AI1052" s="83"/>
      <c r="AJ1052" s="1377"/>
      <c r="AK1052" s="1378"/>
      <c r="AL1052" s="1378"/>
      <c r="AM1052" s="1378"/>
      <c r="AN1052" s="1378"/>
      <c r="AO1052" s="1378"/>
      <c r="AP1052" s="1378"/>
      <c r="AQ1052" s="1379"/>
      <c r="AR1052" s="68"/>
      <c r="AS1052" s="68"/>
      <c r="AT1052" s="68"/>
      <c r="AU1052" s="68"/>
      <c r="AV1052" s="68"/>
      <c r="AW1052" s="68"/>
      <c r="AX1052" s="68"/>
      <c r="AY1052" s="68"/>
    </row>
    <row r="1053" spans="1:57" ht="12.95" customHeight="1">
      <c r="A1053" s="14"/>
      <c r="B1053" s="73"/>
      <c r="C1053" s="74"/>
      <c r="D1053" s="1566"/>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8"/>
      <c r="AF1053" s="73"/>
      <c r="AG1053" s="14"/>
      <c r="AH1053" s="14"/>
      <c r="AI1053" s="83"/>
      <c r="AJ1053" s="1380"/>
      <c r="AK1053" s="1381"/>
      <c r="AL1053" s="1381"/>
      <c r="AM1053" s="1381"/>
      <c r="AN1053" s="1381"/>
      <c r="AO1053" s="1381"/>
      <c r="AP1053" s="1381"/>
      <c r="AQ1053" s="1382"/>
      <c r="AR1053" s="68"/>
      <c r="AS1053" s="68"/>
      <c r="AT1053" s="68"/>
      <c r="AU1053" s="68"/>
      <c r="AV1053" s="68"/>
      <c r="AW1053" s="68"/>
      <c r="AX1053" s="68"/>
      <c r="AY1053" s="68"/>
    </row>
    <row r="1054" spans="1:57" ht="12.95" customHeight="1">
      <c r="A1054" s="14"/>
      <c r="B1054" s="79"/>
      <c r="C1054" s="131" t="s">
        <v>1673</v>
      </c>
      <c r="D1054" s="1341" t="s">
        <v>1839</v>
      </c>
      <c r="E1054" s="1342"/>
      <c r="F1054" s="1342"/>
      <c r="G1054" s="1342"/>
      <c r="H1054" s="1342"/>
      <c r="I1054" s="1342"/>
      <c r="J1054" s="1342"/>
      <c r="K1054" s="1342"/>
      <c r="L1054" s="1342"/>
      <c r="M1054" s="1342"/>
      <c r="N1054" s="1342"/>
      <c r="O1054" s="1342"/>
      <c r="P1054" s="1342"/>
      <c r="Q1054" s="1342"/>
      <c r="R1054" s="1342"/>
      <c r="S1054" s="1342"/>
      <c r="T1054" s="1342"/>
      <c r="U1054" s="1342"/>
      <c r="V1054" s="1342"/>
      <c r="W1054" s="1342"/>
      <c r="X1054" s="1342"/>
      <c r="Y1054" s="1342"/>
      <c r="Z1054" s="1342"/>
      <c r="AA1054" s="1342"/>
      <c r="AB1054" s="1342"/>
      <c r="AC1054" s="1342"/>
      <c r="AD1054" s="1342"/>
      <c r="AE1054" s="1343"/>
      <c r="AF1054" s="79"/>
      <c r="AG1054" s="1580" t="str">
        <f>IF(X1057&gt;0,"Yes","No")</f>
        <v>Yes</v>
      </c>
      <c r="AH1054" s="1581"/>
      <c r="AI1054" s="87"/>
      <c r="AJ1054" s="1374">
        <f>IF((X1057=0),0,AY1014*AJ1001)</f>
        <v>42453010.079999998</v>
      </c>
      <c r="AK1054" s="1375"/>
      <c r="AL1054" s="1375"/>
      <c r="AM1054" s="1375"/>
      <c r="AN1054" s="1375"/>
      <c r="AO1054" s="1375"/>
      <c r="AP1054" s="1375"/>
      <c r="AQ1054" s="1376"/>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573" t="s">
        <v>1298</v>
      </c>
      <c r="E1055" s="1574"/>
      <c r="F1055" s="1574"/>
      <c r="G1055" s="1574"/>
      <c r="H1055" s="1574"/>
      <c r="I1055" s="1574"/>
      <c r="J1055" s="1574"/>
      <c r="K1055" s="1574"/>
      <c r="L1055" s="1574"/>
      <c r="M1055" s="1574"/>
      <c r="N1055" s="1574"/>
      <c r="O1055" s="1574"/>
      <c r="P1055" s="1574"/>
      <c r="Q1055" s="1574"/>
      <c r="R1055" s="1574"/>
      <c r="S1055" s="1574"/>
      <c r="T1055" s="1574"/>
      <c r="U1055" s="1574"/>
      <c r="V1055" s="1574"/>
      <c r="W1055" s="1574"/>
      <c r="X1055" s="1574"/>
      <c r="Y1055" s="1574"/>
      <c r="Z1055" s="1574"/>
      <c r="AA1055" s="1574"/>
      <c r="AB1055" s="1574"/>
      <c r="AC1055" s="1574"/>
      <c r="AD1055" s="1574"/>
      <c r="AE1055" s="1575"/>
      <c r="AF1055" s="73"/>
      <c r="AG1055" s="443"/>
      <c r="AH1055" s="443"/>
      <c r="AI1055" s="83"/>
      <c r="AJ1055" s="1377"/>
      <c r="AK1055" s="1378"/>
      <c r="AL1055" s="1378"/>
      <c r="AM1055" s="1378"/>
      <c r="AN1055" s="1378"/>
      <c r="AO1055" s="1378"/>
      <c r="AP1055" s="1378"/>
      <c r="AQ1055" s="1379"/>
      <c r="AR1055" s="68"/>
      <c r="AS1055" s="68"/>
      <c r="AT1055" s="68"/>
      <c r="AU1055" s="13"/>
      <c r="AV1055" s="68"/>
      <c r="AW1055" s="68"/>
      <c r="AX1055" s="68"/>
      <c r="AY1055" s="68"/>
      <c r="AZ1055" s="958">
        <f>'Sources and Uses Budget'!S97*BA1055</f>
        <v>16222420.5</v>
      </c>
      <c r="BA1055" s="1175">
        <f>IF(BA1049,20%,15%)</f>
        <v>0.15</v>
      </c>
      <c r="BB1055" s="3" t="s">
        <v>2411</v>
      </c>
      <c r="BC1055" s="3" t="s">
        <v>2412</v>
      </c>
      <c r="BD1055" s="3"/>
    </row>
    <row r="1056" spans="1:57" ht="12.95" customHeight="1">
      <c r="A1056" s="14"/>
      <c r="B1056" s="73"/>
      <c r="C1056" s="442"/>
      <c r="D1056" s="1573"/>
      <c r="E1056" s="1574"/>
      <c r="F1056" s="1574"/>
      <c r="G1056" s="1574"/>
      <c r="H1056" s="1574"/>
      <c r="I1056" s="1574"/>
      <c r="J1056" s="1574"/>
      <c r="K1056" s="1574"/>
      <c r="L1056" s="1574"/>
      <c r="M1056" s="1574"/>
      <c r="N1056" s="1574"/>
      <c r="O1056" s="1574"/>
      <c r="P1056" s="1574"/>
      <c r="Q1056" s="1574"/>
      <c r="R1056" s="1574"/>
      <c r="S1056" s="1574"/>
      <c r="T1056" s="1574"/>
      <c r="U1056" s="1574"/>
      <c r="V1056" s="1574"/>
      <c r="W1056" s="1574"/>
      <c r="X1056" s="1574"/>
      <c r="Y1056" s="1574"/>
      <c r="Z1056" s="1574"/>
      <c r="AA1056" s="1574"/>
      <c r="AB1056" s="1574"/>
      <c r="AC1056" s="1574"/>
      <c r="AD1056" s="1574"/>
      <c r="AE1056" s="1575"/>
      <c r="AF1056" s="73"/>
      <c r="AG1056" s="443"/>
      <c r="AH1056" s="443"/>
      <c r="AI1056" s="83"/>
      <c r="AJ1056" s="1377"/>
      <c r="AK1056" s="1378"/>
      <c r="AL1056" s="1378"/>
      <c r="AM1056" s="1378"/>
      <c r="AN1056" s="1378"/>
      <c r="AO1056" s="1378"/>
      <c r="AP1056" s="1378"/>
      <c r="AQ1056" s="1379"/>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578">
        <f>AY1012</f>
        <v>344</v>
      </c>
      <c r="J1057" s="1579"/>
      <c r="K1057" s="7"/>
      <c r="L1057" s="133"/>
      <c r="M1057" s="133"/>
      <c r="N1057" s="133"/>
      <c r="O1057" s="133"/>
      <c r="P1057" s="133"/>
      <c r="Q1057" s="133"/>
      <c r="R1057" s="133"/>
      <c r="S1057" s="133"/>
      <c r="T1057" s="133"/>
      <c r="U1057" s="133"/>
      <c r="V1057" s="134" t="s">
        <v>973</v>
      </c>
      <c r="W1057" s="48"/>
      <c r="X1057" s="1576">
        <f>CI761</f>
        <v>84</v>
      </c>
      <c r="Y1057" s="1577"/>
      <c r="Z1057" s="48"/>
      <c r="AA1057" s="48"/>
      <c r="AB1057" s="48"/>
      <c r="AC1057" s="48"/>
      <c r="AD1057" s="48"/>
      <c r="AE1057" s="49"/>
      <c r="AF1057" s="920"/>
      <c r="AG1057" s="921"/>
      <c r="AH1057" s="921"/>
      <c r="AI1057" s="922"/>
      <c r="AJ1057" s="1380"/>
      <c r="AK1057" s="1381"/>
      <c r="AL1057" s="1381"/>
      <c r="AM1057" s="1381"/>
      <c r="AN1057" s="1381"/>
      <c r="AO1057" s="1381"/>
      <c r="AP1057" s="1381"/>
      <c r="AQ1057" s="1382"/>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2411</v>
      </c>
      <c r="BC1057" s="3" t="s">
        <v>2414</v>
      </c>
      <c r="BD1057" s="3"/>
    </row>
    <row r="1058" spans="1:56" ht="12.95" customHeight="1">
      <c r="A1058" s="14"/>
      <c r="B1058" s="79"/>
      <c r="C1058" s="131" t="s">
        <v>1674</v>
      </c>
      <c r="D1058" s="1563" t="s">
        <v>2126</v>
      </c>
      <c r="E1058" s="1564"/>
      <c r="F1058" s="1564"/>
      <c r="G1058" s="1564"/>
      <c r="H1058" s="1564"/>
      <c r="I1058" s="1564"/>
      <c r="J1058" s="1564"/>
      <c r="K1058" s="1564"/>
      <c r="L1058" s="1564"/>
      <c r="M1058" s="1564"/>
      <c r="N1058" s="1564"/>
      <c r="O1058" s="1564"/>
      <c r="P1058" s="1564"/>
      <c r="Q1058" s="1564"/>
      <c r="R1058" s="1564"/>
      <c r="S1058" s="1564"/>
      <c r="T1058" s="1564"/>
      <c r="U1058" s="1564"/>
      <c r="V1058" s="1564"/>
      <c r="W1058" s="1564"/>
      <c r="X1058" s="1564"/>
      <c r="Y1058" s="1564"/>
      <c r="Z1058" s="1564"/>
      <c r="AA1058" s="1564"/>
      <c r="AB1058" s="1564"/>
      <c r="AC1058" s="1564"/>
      <c r="AD1058" s="1564"/>
      <c r="AE1058" s="1565"/>
      <c r="AF1058" s="73"/>
      <c r="AG1058" s="1580" t="str">
        <f>IF(X1061&gt;0,"Yes","No")</f>
        <v>Yes</v>
      </c>
      <c r="AH1058" s="1581"/>
      <c r="AI1058" s="83"/>
      <c r="AJ1058" s="1374">
        <f>IF((X1061=0),0,(2*AY1015)*AJ1001)</f>
        <v>88443771</v>
      </c>
      <c r="AK1058" s="1375"/>
      <c r="AL1058" s="1375"/>
      <c r="AM1058" s="1375"/>
      <c r="AN1058" s="1375"/>
      <c r="AO1058" s="1375"/>
      <c r="AP1058" s="1375"/>
      <c r="AQ1058" s="1376"/>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573" t="s">
        <v>1297</v>
      </c>
      <c r="E1059" s="1574"/>
      <c r="F1059" s="1574"/>
      <c r="G1059" s="1574"/>
      <c r="H1059" s="1574"/>
      <c r="I1059" s="1574"/>
      <c r="J1059" s="1574"/>
      <c r="K1059" s="1574"/>
      <c r="L1059" s="1574"/>
      <c r="M1059" s="1574"/>
      <c r="N1059" s="1574"/>
      <c r="O1059" s="1574"/>
      <c r="P1059" s="1574"/>
      <c r="Q1059" s="1574"/>
      <c r="R1059" s="1574"/>
      <c r="S1059" s="1574"/>
      <c r="T1059" s="1574"/>
      <c r="U1059" s="1574"/>
      <c r="V1059" s="1574"/>
      <c r="W1059" s="1574"/>
      <c r="X1059" s="1574"/>
      <c r="Y1059" s="1574"/>
      <c r="Z1059" s="1574"/>
      <c r="AA1059" s="1574"/>
      <c r="AB1059" s="1574"/>
      <c r="AC1059" s="1574"/>
      <c r="AD1059" s="1574"/>
      <c r="AE1059" s="1575"/>
      <c r="AF1059" s="73"/>
      <c r="AG1059" s="443"/>
      <c r="AH1059" s="443"/>
      <c r="AI1059" s="83"/>
      <c r="AJ1059" s="1377"/>
      <c r="AK1059" s="1378"/>
      <c r="AL1059" s="1378"/>
      <c r="AM1059" s="1378"/>
      <c r="AN1059" s="1378"/>
      <c r="AO1059" s="1378"/>
      <c r="AP1059" s="1378"/>
      <c r="AQ1059" s="1379"/>
      <c r="AR1059" s="68"/>
      <c r="AS1059" s="68"/>
      <c r="AT1059" s="68"/>
      <c r="AU1059" s="68"/>
      <c r="AV1059" s="68"/>
      <c r="AW1059" s="68"/>
      <c r="AX1059" s="68"/>
      <c r="AY1059" s="68"/>
      <c r="AZ1059" s="958"/>
      <c r="BA1059" s="3"/>
      <c r="BB1059" s="3"/>
      <c r="BC1059" s="3"/>
      <c r="BD1059" s="3"/>
    </row>
    <row r="1060" spans="1:56" ht="12.95" customHeight="1">
      <c r="A1060" s="14"/>
      <c r="B1060" s="73"/>
      <c r="C1060" s="83"/>
      <c r="D1060" s="1573"/>
      <c r="E1060" s="1574"/>
      <c r="F1060" s="1574"/>
      <c r="G1060" s="1574"/>
      <c r="H1060" s="1574"/>
      <c r="I1060" s="1574"/>
      <c r="J1060" s="1574"/>
      <c r="K1060" s="1574"/>
      <c r="L1060" s="1574"/>
      <c r="M1060" s="1574"/>
      <c r="N1060" s="1574"/>
      <c r="O1060" s="1574"/>
      <c r="P1060" s="1574"/>
      <c r="Q1060" s="1574"/>
      <c r="R1060" s="1574"/>
      <c r="S1060" s="1574"/>
      <c r="T1060" s="1574"/>
      <c r="U1060" s="1574"/>
      <c r="V1060" s="1574"/>
      <c r="W1060" s="1574"/>
      <c r="X1060" s="1574"/>
      <c r="Y1060" s="1574"/>
      <c r="Z1060" s="1574"/>
      <c r="AA1060" s="1574"/>
      <c r="AB1060" s="1574"/>
      <c r="AC1060" s="1574"/>
      <c r="AD1060" s="1574"/>
      <c r="AE1060" s="1575"/>
      <c r="AF1060" s="917"/>
      <c r="AG1060" s="918"/>
      <c r="AH1060" s="918"/>
      <c r="AI1060" s="919"/>
      <c r="AJ1060" s="1377"/>
      <c r="AK1060" s="1378"/>
      <c r="AL1060" s="1378"/>
      <c r="AM1060" s="1378"/>
      <c r="AN1060" s="1378"/>
      <c r="AO1060" s="1378"/>
      <c r="AP1060" s="1378"/>
      <c r="AQ1060" s="1379"/>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578">
        <f>AY1012</f>
        <v>344</v>
      </c>
      <c r="J1061" s="1579"/>
      <c r="K1061" s="14"/>
      <c r="L1061" s="133"/>
      <c r="M1061" s="133"/>
      <c r="N1061" s="133"/>
      <c r="O1061" s="133"/>
      <c r="P1061" s="133"/>
      <c r="Q1061" s="133"/>
      <c r="R1061" s="133"/>
      <c r="S1061" s="133"/>
      <c r="T1061" s="133"/>
      <c r="U1061" s="133"/>
      <c r="V1061" s="134" t="s">
        <v>974</v>
      </c>
      <c r="X1061" s="1576">
        <f>CM761</f>
        <v>87</v>
      </c>
      <c r="Y1061" s="1577"/>
      <c r="AF1061" s="920"/>
      <c r="AG1061" s="921"/>
      <c r="AH1061" s="921"/>
      <c r="AI1061" s="922"/>
      <c r="AJ1061" s="1380"/>
      <c r="AK1061" s="1381"/>
      <c r="AL1061" s="1381"/>
      <c r="AM1061" s="1381"/>
      <c r="AN1061" s="1381"/>
      <c r="AO1061" s="1381"/>
      <c r="AP1061" s="1381"/>
      <c r="AQ1061" s="1382"/>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571" t="s">
        <v>513</v>
      </c>
      <c r="E1062" s="1571"/>
      <c r="F1062" s="1571"/>
      <c r="G1062" s="1571"/>
      <c r="H1062" s="1571"/>
      <c r="I1062" s="1571"/>
      <c r="J1062" s="1571"/>
      <c r="K1062" s="1571"/>
      <c r="L1062" s="1571"/>
      <c r="M1062" s="1571"/>
      <c r="N1062" s="1571"/>
      <c r="O1062" s="1571"/>
      <c r="P1062" s="1571"/>
      <c r="Q1062" s="1571"/>
      <c r="R1062" s="1571"/>
      <c r="S1062" s="1571"/>
      <c r="T1062" s="1571"/>
      <c r="U1062" s="1571"/>
      <c r="V1062" s="1571"/>
      <c r="W1062" s="1571"/>
      <c r="X1062" s="1571"/>
      <c r="Y1062" s="1571"/>
      <c r="Z1062" s="1571"/>
      <c r="AA1062" s="1571"/>
      <c r="AB1062" s="1571"/>
      <c r="AC1062" s="1571"/>
      <c r="AD1062" s="1571"/>
      <c r="AE1062" s="1571"/>
      <c r="AF1062" s="1571"/>
      <c r="AG1062" s="1571"/>
      <c r="AH1062" s="1571"/>
      <c r="AI1062" s="1572"/>
      <c r="AJ1062" s="1590">
        <f>SUM(AJ1001:AQ1061)</f>
        <v>307784323.07999998</v>
      </c>
      <c r="AK1062" s="1591"/>
      <c r="AL1062" s="1591"/>
      <c r="AM1062" s="1591"/>
      <c r="AN1062" s="1591"/>
      <c r="AO1062" s="1591"/>
      <c r="AP1062" s="1591"/>
      <c r="AQ1062" s="1592"/>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3">
        <f>'Sources and Uses Budget'!S107+'Sources and Uses Budget'!T107</f>
        <v>124371890</v>
      </c>
      <c r="AB1065" s="1863"/>
      <c r="AC1065" s="1863"/>
      <c r="AD1065" s="1863"/>
      <c r="AE1065" s="1863"/>
      <c r="AF1065" s="1863"/>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16222420.5</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4">
        <f>IFERROR((AA1065-BA1068)/(AJ1062-AJ1054-AJ1058),"")</f>
        <v>0.62553568639672774</v>
      </c>
      <c r="AB1066" s="1865"/>
      <c r="AC1066" s="1865"/>
      <c r="AD1066" s="1865"/>
      <c r="AE1066" s="1865"/>
      <c r="AF1066" s="1866"/>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7"/>
      <c r="I1067" s="1867"/>
      <c r="J1067" s="1867"/>
      <c r="K1067" s="1867"/>
      <c r="L1067" s="1867"/>
      <c r="M1067" s="1867"/>
      <c r="N1067" s="1867"/>
      <c r="O1067" s="1867"/>
      <c r="P1067" s="1867"/>
      <c r="Q1067" s="1867"/>
      <c r="R1067" s="1867"/>
      <c r="S1067" s="1867"/>
      <c r="T1067" s="1867"/>
      <c r="U1067" s="1867"/>
      <c r="V1067" s="1867"/>
      <c r="W1067" s="1867"/>
      <c r="X1067" s="1867"/>
      <c r="Y1067" s="1867"/>
      <c r="Z1067" s="1867"/>
      <c r="AA1067" s="1867"/>
      <c r="AB1067" s="1867"/>
      <c r="AC1067" s="1867"/>
      <c r="AD1067" s="1867"/>
      <c r="AE1067" s="1867"/>
      <c r="AF1067" s="1867"/>
      <c r="AG1067" s="1867"/>
      <c r="AH1067" s="1867"/>
      <c r="AI1067" s="1867"/>
      <c r="AJ1067" s="1867"/>
      <c r="AK1067" s="1867"/>
      <c r="AL1067" s="1867"/>
      <c r="AM1067" s="1867"/>
      <c r="AN1067" s="1867"/>
      <c r="AO1067" s="68"/>
      <c r="AP1067" s="68"/>
      <c r="AQ1067" s="68"/>
      <c r="AR1067" s="68"/>
      <c r="AS1067" s="68"/>
      <c r="AT1067" s="68"/>
      <c r="AU1067" s="68"/>
      <c r="AV1067" s="14"/>
      <c r="AW1067" s="14"/>
      <c r="AX1067" s="14"/>
      <c r="AY1067" s="14"/>
      <c r="BA1067" s="1178">
        <f>'Sources and Uses Budget'!$S$104+'Sources and Uses Budget'!$T$104</f>
        <v>16222420</v>
      </c>
      <c r="BB1067" s="3" t="s">
        <v>2426</v>
      </c>
    </row>
    <row r="1068" spans="1:56" ht="12.95" customHeight="1">
      <c r="A1068" s="14"/>
      <c r="B1068" s="14"/>
      <c r="C1068" s="208"/>
      <c r="D1068" s="854"/>
      <c r="E1068" s="854"/>
      <c r="F1068" s="854"/>
      <c r="G1068" s="1867"/>
      <c r="H1068" s="1867"/>
      <c r="I1068" s="1867"/>
      <c r="J1068" s="1867"/>
      <c r="K1068" s="1867"/>
      <c r="L1068" s="1867"/>
      <c r="M1068" s="1867"/>
      <c r="N1068" s="1867"/>
      <c r="O1068" s="1867"/>
      <c r="P1068" s="1867"/>
      <c r="Q1068" s="1867"/>
      <c r="R1068" s="1867"/>
      <c r="S1068" s="1867"/>
      <c r="T1068" s="1867"/>
      <c r="U1068" s="1867"/>
      <c r="V1068" s="1867"/>
      <c r="W1068" s="1867"/>
      <c r="X1068" s="1867"/>
      <c r="Y1068" s="1867"/>
      <c r="Z1068" s="1867"/>
      <c r="AA1068" s="1867"/>
      <c r="AB1068" s="1867"/>
      <c r="AC1068" s="1867"/>
      <c r="AD1068" s="1867"/>
      <c r="AE1068" s="1867"/>
      <c r="AF1068" s="1867"/>
      <c r="AG1068" s="1867"/>
      <c r="AH1068" s="1867"/>
      <c r="AI1068" s="1867"/>
      <c r="AJ1068" s="1867"/>
      <c r="AK1068" s="1867"/>
      <c r="AL1068" s="1867"/>
      <c r="AM1068" s="1867"/>
      <c r="AN1068" s="1867"/>
      <c r="AO1068" s="68"/>
      <c r="AP1068" s="68"/>
      <c r="AQ1068" s="68"/>
      <c r="AR1068" s="68"/>
      <c r="AS1068" s="68"/>
      <c r="AT1068" s="68"/>
      <c r="AU1068" s="68"/>
      <c r="AV1068" s="14"/>
      <c r="AW1068" s="14"/>
      <c r="AX1068" s="14"/>
      <c r="AY1068" s="14"/>
      <c r="BA1068" s="1179">
        <f>MAX($BA$1067-$BA$1064,0)</f>
        <v>13722420</v>
      </c>
      <c r="BB1068" s="3" t="s">
        <v>2427</v>
      </c>
    </row>
    <row r="1069" spans="1:56" ht="12.95" customHeight="1">
      <c r="A1069" s="88"/>
      <c r="B1069" s="1165"/>
      <c r="C1069" s="1165"/>
      <c r="D1069" s="1165"/>
      <c r="E1069" s="1165"/>
      <c r="F1069" s="1165"/>
      <c r="G1069" s="1867"/>
      <c r="H1069" s="1867"/>
      <c r="I1069" s="1867"/>
      <c r="J1069" s="1867"/>
      <c r="K1069" s="1867"/>
      <c r="L1069" s="1867"/>
      <c r="M1069" s="1867"/>
      <c r="N1069" s="1867"/>
      <c r="O1069" s="1867"/>
      <c r="P1069" s="1867"/>
      <c r="Q1069" s="1867"/>
      <c r="R1069" s="1867"/>
      <c r="S1069" s="1867"/>
      <c r="T1069" s="1867"/>
      <c r="U1069" s="1867"/>
      <c r="V1069" s="1867"/>
      <c r="W1069" s="1867"/>
      <c r="X1069" s="1867"/>
      <c r="Y1069" s="1867"/>
      <c r="Z1069" s="1867"/>
      <c r="AA1069" s="1867"/>
      <c r="AB1069" s="1867"/>
      <c r="AC1069" s="1867"/>
      <c r="AD1069" s="1867"/>
      <c r="AE1069" s="1867"/>
      <c r="AF1069" s="1867"/>
      <c r="AG1069" s="1867"/>
      <c r="AH1069" s="1867"/>
      <c r="AI1069" s="1867"/>
      <c r="AJ1069" s="1867"/>
      <c r="AK1069" s="1867"/>
      <c r="AL1069" s="1867"/>
      <c r="AM1069" s="1867"/>
      <c r="AN1069" s="1867"/>
      <c r="AO1069" s="1165"/>
      <c r="AP1069" s="1165"/>
      <c r="AQ1069" s="68"/>
      <c r="AR1069" s="68"/>
      <c r="AS1069" s="68"/>
      <c r="AT1069" s="68"/>
      <c r="AU1069" s="68"/>
      <c r="AV1069" s="68"/>
      <c r="AW1069" s="68"/>
      <c r="AX1069" s="68"/>
      <c r="AY1069" s="68"/>
    </row>
    <row r="1070" spans="1:56" ht="12.95" customHeight="1">
      <c r="A1070" s="1351" t="s">
        <v>794</v>
      </c>
      <c r="B1070" s="1351"/>
      <c r="C1070" s="1351"/>
      <c r="D1070" s="1351"/>
      <c r="E1070" s="1351"/>
      <c r="F1070" s="1351"/>
      <c r="G1070" s="1351"/>
      <c r="H1070" s="1351"/>
      <c r="I1070" s="1351"/>
      <c r="J1070" s="1351"/>
      <c r="K1070" s="1351"/>
      <c r="L1070" s="1351"/>
      <c r="M1070" s="1351"/>
      <c r="N1070" s="1351"/>
      <c r="O1070" s="1351"/>
      <c r="P1070" s="1351"/>
      <c r="Q1070" s="1351"/>
      <c r="R1070" s="1351"/>
      <c r="S1070" s="1351"/>
      <c r="T1070" s="1351"/>
      <c r="U1070" s="1351"/>
      <c r="V1070" s="1351"/>
      <c r="W1070" s="1351"/>
      <c r="X1070" s="1351"/>
      <c r="Y1070" s="1351"/>
      <c r="Z1070" s="1351"/>
      <c r="AA1070" s="1351"/>
      <c r="AB1070" s="1351"/>
      <c r="AC1070" s="1351"/>
      <c r="AD1070" s="1351"/>
      <c r="AE1070" s="1351"/>
      <c r="AF1070" s="1351"/>
      <c r="AG1070" s="1351"/>
      <c r="AH1070" s="1351"/>
      <c r="AI1070" s="1351"/>
      <c r="AJ1070" s="1351"/>
      <c r="AK1070" s="1351"/>
      <c r="AL1070" s="1351"/>
      <c r="AM1070" s="1351"/>
      <c r="AN1070" s="1351"/>
      <c r="AO1070" s="1351"/>
      <c r="AP1070" s="1351"/>
      <c r="AQ1070" s="1351"/>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7" t="s">
        <v>591</v>
      </c>
      <c r="B1074" s="1347"/>
      <c r="C1074" s="1348">
        <v>1</v>
      </c>
      <c r="D1074" s="1348"/>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8"/>
      <c r="D1075" s="134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7" t="s">
        <v>591</v>
      </c>
      <c r="B1076" s="1347"/>
      <c r="C1076" s="1348">
        <v>2</v>
      </c>
      <c r="D1076" s="1348"/>
      <c r="E1076" s="1350" t="s">
        <v>2193</v>
      </c>
      <c r="F1076" s="1350"/>
      <c r="G1076" s="1350"/>
      <c r="H1076" s="1350"/>
      <c r="I1076" s="1350"/>
      <c r="J1076" s="1350"/>
      <c r="K1076" s="1350"/>
      <c r="L1076" s="1350"/>
      <c r="M1076" s="1350"/>
      <c r="N1076" s="1350"/>
      <c r="O1076" s="1350"/>
      <c r="P1076" s="1350"/>
      <c r="Q1076" s="1350"/>
      <c r="R1076" s="1350"/>
      <c r="S1076" s="1350"/>
      <c r="T1076" s="1350"/>
      <c r="U1076" s="1350"/>
      <c r="V1076" s="1350"/>
      <c r="W1076" s="1350"/>
      <c r="X1076" s="1350"/>
      <c r="Y1076" s="1350"/>
      <c r="Z1076" s="1350"/>
      <c r="AA1076" s="1350"/>
      <c r="AB1076" s="1350"/>
      <c r="AC1076" s="1350"/>
      <c r="AD1076" s="1350"/>
      <c r="AE1076" s="1350"/>
      <c r="AF1076" s="1350"/>
      <c r="AG1076" s="1350"/>
      <c r="AH1076" s="1350"/>
      <c r="AI1076" s="1350"/>
      <c r="AJ1076" s="1350"/>
      <c r="AK1076" s="1350"/>
      <c r="AL1076" s="1350"/>
      <c r="AM1076" s="1350"/>
      <c r="AN1076" s="1350"/>
      <c r="AO1076" s="1350"/>
      <c r="AP1076" s="1350"/>
      <c r="AQ1076" s="1350"/>
      <c r="AR1076" s="1350"/>
      <c r="AS1076" s="14"/>
      <c r="AT1076" s="14"/>
      <c r="AV1076" s="68"/>
      <c r="AW1076" s="68"/>
      <c r="AX1076" s="68"/>
      <c r="AY1076" s="68"/>
    </row>
    <row r="1077" spans="1:51" ht="12.95" customHeight="1">
      <c r="A1077" s="198"/>
      <c r="B1077" s="67"/>
      <c r="C1077" s="1348"/>
      <c r="D1077" s="1348"/>
      <c r="E1077" s="1350"/>
      <c r="F1077" s="1350"/>
      <c r="G1077" s="1350"/>
      <c r="H1077" s="1350"/>
      <c r="I1077" s="1350"/>
      <c r="J1077" s="1350"/>
      <c r="K1077" s="1350"/>
      <c r="L1077" s="1350"/>
      <c r="M1077" s="1350"/>
      <c r="N1077" s="1350"/>
      <c r="O1077" s="1350"/>
      <c r="P1077" s="1350"/>
      <c r="Q1077" s="1350"/>
      <c r="R1077" s="1350"/>
      <c r="S1077" s="1350"/>
      <c r="T1077" s="1350"/>
      <c r="U1077" s="1350"/>
      <c r="V1077" s="1350"/>
      <c r="W1077" s="1350"/>
      <c r="X1077" s="1350"/>
      <c r="Y1077" s="1350"/>
      <c r="Z1077" s="1350"/>
      <c r="AA1077" s="1350"/>
      <c r="AB1077" s="1350"/>
      <c r="AC1077" s="1350"/>
      <c r="AD1077" s="1350"/>
      <c r="AE1077" s="1350"/>
      <c r="AF1077" s="1350"/>
      <c r="AG1077" s="1350"/>
      <c r="AH1077" s="1350"/>
      <c r="AI1077" s="1350"/>
      <c r="AJ1077" s="1350"/>
      <c r="AK1077" s="1350"/>
      <c r="AL1077" s="1350"/>
      <c r="AM1077" s="1350"/>
      <c r="AN1077" s="1350"/>
      <c r="AO1077" s="1350"/>
      <c r="AP1077" s="1350"/>
      <c r="AQ1077" s="1350"/>
      <c r="AR1077" s="1350"/>
      <c r="AS1077" s="14"/>
      <c r="AT1077" s="14"/>
      <c r="AV1077" s="68"/>
      <c r="AW1077" s="68"/>
      <c r="AX1077" s="68"/>
      <c r="AY1077" s="68"/>
    </row>
    <row r="1078" spans="1:51" ht="12.95" customHeight="1">
      <c r="A1078" s="198"/>
      <c r="B1078" s="67"/>
      <c r="C1078" s="1348"/>
      <c r="D1078" s="134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7" t="s">
        <v>591</v>
      </c>
      <c r="B1079" s="1347"/>
      <c r="C1079" s="1349">
        <v>3</v>
      </c>
      <c r="D1079" s="1349"/>
      <c r="E1079" s="1303" t="s">
        <v>1080</v>
      </c>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c r="AL1079" s="1303"/>
      <c r="AM1079" s="1303"/>
      <c r="AN1079" s="1303"/>
      <c r="AO1079" s="1303"/>
      <c r="AP1079" s="1303"/>
      <c r="AQ1079" s="1303"/>
      <c r="AR1079" s="1303"/>
      <c r="AS1079" s="14"/>
      <c r="AT1079" s="68"/>
      <c r="AV1079" s="68"/>
      <c r="AW1079" s="68"/>
      <c r="AX1079" s="68"/>
      <c r="AY1079" s="68"/>
    </row>
    <row r="1080" spans="1:51" ht="12.95" customHeight="1">
      <c r="A1080" s="1"/>
      <c r="B1080" s="1"/>
      <c r="C1080" s="1349"/>
      <c r="D1080" s="1349"/>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c r="AL1080" s="1303"/>
      <c r="AM1080" s="1303"/>
      <c r="AN1080" s="1303"/>
      <c r="AO1080" s="1303"/>
      <c r="AP1080" s="1303"/>
      <c r="AQ1080" s="1303"/>
      <c r="AR1080" s="1303"/>
      <c r="AS1080" s="14"/>
      <c r="AT1080" s="68"/>
      <c r="AV1080" s="68"/>
      <c r="AW1080" s="68"/>
      <c r="AX1080" s="68"/>
      <c r="AY1080" s="68"/>
    </row>
    <row r="1081" spans="1:51" ht="12.95" customHeight="1">
      <c r="A1081" s="1"/>
      <c r="B1081" s="1"/>
      <c r="C1081" s="1349"/>
      <c r="D1081" s="1349"/>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c r="AL1081" s="1303"/>
      <c r="AM1081" s="1303"/>
      <c r="AN1081" s="1303"/>
      <c r="AO1081" s="1303"/>
      <c r="AP1081" s="1303"/>
      <c r="AQ1081" s="1303"/>
      <c r="AR1081" s="1303"/>
      <c r="AS1081" s="14"/>
      <c r="AT1081" s="68"/>
      <c r="AV1081" s="68"/>
      <c r="AW1081" s="68"/>
      <c r="AX1081" s="68"/>
      <c r="AY1081" s="68"/>
    </row>
    <row r="1082" spans="1:51" ht="12.95" customHeight="1">
      <c r="A1082" s="1"/>
      <c r="B1082" s="1"/>
      <c r="C1082" s="1349"/>
      <c r="D1082" s="1349"/>
      <c r="E1082" s="1303"/>
      <c r="F1082" s="1303"/>
      <c r="G1082" s="1303"/>
      <c r="H1082" s="1303"/>
      <c r="I1082" s="1303"/>
      <c r="J1082" s="1303"/>
      <c r="K1082" s="1303"/>
      <c r="L1082" s="1303"/>
      <c r="M1082" s="1303"/>
      <c r="N1082" s="1303"/>
      <c r="O1082" s="1303"/>
      <c r="P1082" s="1303"/>
      <c r="Q1082" s="1303"/>
      <c r="R1082" s="1303"/>
      <c r="S1082" s="1303"/>
      <c r="T1082" s="1303"/>
      <c r="U1082" s="1303"/>
      <c r="V1082" s="1303"/>
      <c r="W1082" s="1303"/>
      <c r="X1082" s="1303"/>
      <c r="Y1082" s="1303"/>
      <c r="Z1082" s="1303"/>
      <c r="AA1082" s="1303"/>
      <c r="AB1082" s="1303"/>
      <c r="AC1082" s="1303"/>
      <c r="AD1082" s="1303"/>
      <c r="AE1082" s="1303"/>
      <c r="AF1082" s="1303"/>
      <c r="AG1082" s="1303"/>
      <c r="AH1082" s="1303"/>
      <c r="AI1082" s="1303"/>
      <c r="AJ1082" s="1303"/>
      <c r="AK1082" s="1303"/>
      <c r="AL1082" s="1303"/>
      <c r="AM1082" s="1303"/>
      <c r="AN1082" s="1303"/>
      <c r="AO1082" s="1303"/>
      <c r="AP1082" s="1303"/>
      <c r="AQ1082" s="1303"/>
      <c r="AR1082" s="1303"/>
      <c r="AS1082" s="14"/>
      <c r="AT1082" s="68"/>
      <c r="AV1082" s="68"/>
      <c r="AW1082" s="68"/>
      <c r="AX1082" s="68"/>
      <c r="AY1082" s="68"/>
    </row>
    <row r="1083" spans="1:51" ht="12.95" customHeight="1">
      <c r="A1083" s="2"/>
      <c r="B1083" s="25"/>
      <c r="C1083" s="1349"/>
      <c r="D1083" s="134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7" t="s">
        <v>591</v>
      </c>
      <c r="B1084" s="1347"/>
      <c r="C1084" s="1349">
        <v>4</v>
      </c>
      <c r="D1084" s="1349"/>
      <c r="E1084" s="1303" t="s">
        <v>1079</v>
      </c>
      <c r="F1084" s="1303"/>
      <c r="G1084" s="1303"/>
      <c r="H1084" s="1303"/>
      <c r="I1084" s="1303"/>
      <c r="J1084" s="1303"/>
      <c r="K1084" s="1303"/>
      <c r="L1084" s="1303"/>
      <c r="M1084" s="1303"/>
      <c r="N1084" s="1303"/>
      <c r="O1084" s="1303"/>
      <c r="P1084" s="1303"/>
      <c r="Q1084" s="1303"/>
      <c r="R1084" s="1303"/>
      <c r="S1084" s="1303"/>
      <c r="T1084" s="1303"/>
      <c r="U1084" s="1303"/>
      <c r="V1084" s="1303"/>
      <c r="W1084" s="1303"/>
      <c r="X1084" s="1303"/>
      <c r="Y1084" s="1303"/>
      <c r="Z1084" s="1303"/>
      <c r="AA1084" s="1303"/>
      <c r="AB1084" s="1303"/>
      <c r="AC1084" s="1303"/>
      <c r="AD1084" s="1303"/>
      <c r="AE1084" s="1303"/>
      <c r="AF1084" s="1303"/>
      <c r="AG1084" s="1303"/>
      <c r="AH1084" s="1303"/>
      <c r="AI1084" s="1303"/>
      <c r="AJ1084" s="1303"/>
      <c r="AK1084" s="1303"/>
      <c r="AL1084" s="1303"/>
      <c r="AM1084" s="1303"/>
      <c r="AN1084" s="1303"/>
      <c r="AO1084" s="1303"/>
      <c r="AP1084" s="1303"/>
      <c r="AQ1084" s="1303"/>
      <c r="AR1084" s="1303"/>
      <c r="AS1084" s="14"/>
      <c r="AT1084" s="68"/>
    </row>
    <row r="1085" spans="1:51" ht="12.95" customHeight="1">
      <c r="A1085" s="1"/>
      <c r="B1085" s="1"/>
      <c r="C1085" s="1349"/>
      <c r="D1085" s="1349"/>
      <c r="E1085" s="1303"/>
      <c r="F1085" s="1303"/>
      <c r="G1085" s="1303"/>
      <c r="H1085" s="1303"/>
      <c r="I1085" s="1303"/>
      <c r="J1085" s="1303"/>
      <c r="K1085" s="1303"/>
      <c r="L1085" s="1303"/>
      <c r="M1085" s="1303"/>
      <c r="N1085" s="1303"/>
      <c r="O1085" s="1303"/>
      <c r="P1085" s="1303"/>
      <c r="Q1085" s="1303"/>
      <c r="R1085" s="1303"/>
      <c r="S1085" s="1303"/>
      <c r="T1085" s="1303"/>
      <c r="U1085" s="1303"/>
      <c r="V1085" s="1303"/>
      <c r="W1085" s="1303"/>
      <c r="X1085" s="1303"/>
      <c r="Y1085" s="1303"/>
      <c r="Z1085" s="1303"/>
      <c r="AA1085" s="1303"/>
      <c r="AB1085" s="1303"/>
      <c r="AC1085" s="1303"/>
      <c r="AD1085" s="1303"/>
      <c r="AE1085" s="1303"/>
      <c r="AF1085" s="1303"/>
      <c r="AG1085" s="1303"/>
      <c r="AH1085" s="1303"/>
      <c r="AI1085" s="1303"/>
      <c r="AJ1085" s="1303"/>
      <c r="AK1085" s="1303"/>
      <c r="AL1085" s="1303"/>
      <c r="AM1085" s="1303"/>
      <c r="AN1085" s="1303"/>
      <c r="AO1085" s="1303"/>
      <c r="AP1085" s="1303"/>
      <c r="AQ1085" s="1303"/>
      <c r="AR1085" s="1303"/>
      <c r="AS1085" s="14"/>
      <c r="AT1085" s="68"/>
    </row>
    <row r="1086" spans="1:51" ht="12.95" customHeight="1">
      <c r="A1086" s="1"/>
      <c r="B1086" s="1"/>
      <c r="C1086" s="1349"/>
      <c r="D1086" s="1349"/>
      <c r="E1086" s="1303"/>
      <c r="F1086" s="1303"/>
      <c r="G1086" s="1303"/>
      <c r="H1086" s="1303"/>
      <c r="I1086" s="1303"/>
      <c r="J1086" s="1303"/>
      <c r="K1086" s="1303"/>
      <c r="L1086" s="1303"/>
      <c r="M1086" s="1303"/>
      <c r="N1086" s="1303"/>
      <c r="O1086" s="1303"/>
      <c r="P1086" s="1303"/>
      <c r="Q1086" s="1303"/>
      <c r="R1086" s="1303"/>
      <c r="S1086" s="1303"/>
      <c r="T1086" s="1303"/>
      <c r="U1086" s="1303"/>
      <c r="V1086" s="1303"/>
      <c r="W1086" s="1303"/>
      <c r="X1086" s="1303"/>
      <c r="Y1086" s="1303"/>
      <c r="Z1086" s="1303"/>
      <c r="AA1086" s="1303"/>
      <c r="AB1086" s="1303"/>
      <c r="AC1086" s="1303"/>
      <c r="AD1086" s="1303"/>
      <c r="AE1086" s="1303"/>
      <c r="AF1086" s="1303"/>
      <c r="AG1086" s="1303"/>
      <c r="AH1086" s="1303"/>
      <c r="AI1086" s="1303"/>
      <c r="AJ1086" s="1303"/>
      <c r="AK1086" s="1303"/>
      <c r="AL1086" s="1303"/>
      <c r="AM1086" s="1303"/>
      <c r="AN1086" s="1303"/>
      <c r="AO1086" s="1303"/>
      <c r="AP1086" s="1303"/>
      <c r="AQ1086" s="1303"/>
      <c r="AR1086" s="1303"/>
      <c r="AS1086" s="14"/>
      <c r="AT1086" s="68"/>
    </row>
    <row r="1087" spans="1:51" ht="12.95" customHeight="1">
      <c r="A1087" s="1"/>
      <c r="B1087" s="1"/>
      <c r="C1087" s="1349"/>
      <c r="D1087" s="1349"/>
      <c r="E1087" s="1303"/>
      <c r="F1087" s="1303"/>
      <c r="G1087" s="1303"/>
      <c r="H1087" s="1303"/>
      <c r="I1087" s="1303"/>
      <c r="J1087" s="1303"/>
      <c r="K1087" s="1303"/>
      <c r="L1087" s="1303"/>
      <c r="M1087" s="1303"/>
      <c r="N1087" s="1303"/>
      <c r="O1087" s="1303"/>
      <c r="P1087" s="1303"/>
      <c r="Q1087" s="1303"/>
      <c r="R1087" s="1303"/>
      <c r="S1087" s="1303"/>
      <c r="T1087" s="1303"/>
      <c r="U1087" s="1303"/>
      <c r="V1087" s="1303"/>
      <c r="W1087" s="1303"/>
      <c r="X1087" s="1303"/>
      <c r="Y1087" s="1303"/>
      <c r="Z1087" s="1303"/>
      <c r="AA1087" s="1303"/>
      <c r="AB1087" s="1303"/>
      <c r="AC1087" s="1303"/>
      <c r="AD1087" s="1303"/>
      <c r="AE1087" s="1303"/>
      <c r="AF1087" s="1303"/>
      <c r="AG1087" s="1303"/>
      <c r="AH1087" s="1303"/>
      <c r="AI1087" s="1303"/>
      <c r="AJ1087" s="1303"/>
      <c r="AK1087" s="1303"/>
      <c r="AL1087" s="1303"/>
      <c r="AM1087" s="1303"/>
      <c r="AN1087" s="1303"/>
      <c r="AO1087" s="1303"/>
      <c r="AP1087" s="1303"/>
      <c r="AQ1087" s="1303"/>
      <c r="AR1087" s="1303"/>
      <c r="AS1087" s="14"/>
      <c r="AT1087" s="68"/>
    </row>
    <row r="1088" spans="1:51" ht="12.95" customHeight="1">
      <c r="A1088" s="1"/>
      <c r="B1088" s="1"/>
      <c r="C1088" s="1349"/>
      <c r="D1088" s="1349"/>
      <c r="E1088" s="1303"/>
      <c r="F1088" s="1303"/>
      <c r="G1088" s="1303"/>
      <c r="H1088" s="1303"/>
      <c r="I1088" s="1303"/>
      <c r="J1088" s="1303"/>
      <c r="K1088" s="1303"/>
      <c r="L1088" s="1303"/>
      <c r="M1088" s="1303"/>
      <c r="N1088" s="1303"/>
      <c r="O1088" s="1303"/>
      <c r="P1088" s="1303"/>
      <c r="Q1088" s="1303"/>
      <c r="R1088" s="1303"/>
      <c r="S1088" s="1303"/>
      <c r="T1088" s="1303"/>
      <c r="U1088" s="1303"/>
      <c r="V1088" s="1303"/>
      <c r="W1088" s="1303"/>
      <c r="X1088" s="1303"/>
      <c r="Y1088" s="1303"/>
      <c r="Z1088" s="1303"/>
      <c r="AA1088" s="1303"/>
      <c r="AB1088" s="1303"/>
      <c r="AC1088" s="1303"/>
      <c r="AD1088" s="1303"/>
      <c r="AE1088" s="1303"/>
      <c r="AF1088" s="1303"/>
      <c r="AG1088" s="1303"/>
      <c r="AH1088" s="1303"/>
      <c r="AI1088" s="1303"/>
      <c r="AJ1088" s="1303"/>
      <c r="AK1088" s="1303"/>
      <c r="AL1088" s="1303"/>
      <c r="AM1088" s="1303"/>
      <c r="AN1088" s="1303"/>
      <c r="AO1088" s="1303"/>
      <c r="AP1088" s="1303"/>
      <c r="AQ1088" s="1303"/>
      <c r="AR1088" s="1303"/>
      <c r="AS1088" s="14"/>
      <c r="AT1088" s="68"/>
    </row>
    <row r="1089" spans="1:45" ht="12.95" customHeight="1">
      <c r="A1089" s="1"/>
      <c r="B1089" s="1"/>
      <c r="C1089" s="1349"/>
      <c r="D1089" s="134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7" t="s">
        <v>591</v>
      </c>
      <c r="B1090" s="1347"/>
      <c r="C1090" s="1349">
        <v>5</v>
      </c>
      <c r="D1090" s="1349"/>
      <c r="E1090" s="1303" t="s">
        <v>2196</v>
      </c>
      <c r="F1090" s="1303"/>
      <c r="G1090" s="1303"/>
      <c r="H1090" s="1303"/>
      <c r="I1090" s="1303"/>
      <c r="J1090" s="1303"/>
      <c r="K1090" s="1303"/>
      <c r="L1090" s="1303"/>
      <c r="M1090" s="1303"/>
      <c r="N1090" s="1303"/>
      <c r="O1090" s="1303"/>
      <c r="P1090" s="1303"/>
      <c r="Q1090" s="1303"/>
      <c r="R1090" s="1303"/>
      <c r="S1090" s="1303"/>
      <c r="T1090" s="1303"/>
      <c r="U1090" s="1303"/>
      <c r="V1090" s="1303"/>
      <c r="W1090" s="1303"/>
      <c r="X1090" s="1303"/>
      <c r="Y1090" s="1303"/>
      <c r="Z1090" s="1303"/>
      <c r="AA1090" s="1303"/>
      <c r="AB1090" s="1303"/>
      <c r="AC1090" s="1303"/>
      <c r="AD1090" s="1303"/>
      <c r="AE1090" s="1303"/>
      <c r="AF1090" s="1303"/>
      <c r="AG1090" s="1303"/>
      <c r="AH1090" s="1303"/>
      <c r="AI1090" s="1303"/>
      <c r="AJ1090" s="1303"/>
      <c r="AK1090" s="1303"/>
      <c r="AL1090" s="1303"/>
      <c r="AM1090" s="1303"/>
      <c r="AN1090" s="1303"/>
      <c r="AO1090" s="1303"/>
      <c r="AP1090" s="1303"/>
      <c r="AQ1090" s="1303"/>
      <c r="AR1090" s="1303"/>
      <c r="AS1090" s="14"/>
    </row>
    <row r="1091" spans="1:45" ht="12.95" customHeight="1">
      <c r="A1091" s="4"/>
      <c r="B1091" s="4"/>
      <c r="C1091" s="1349"/>
      <c r="D1091" s="1349"/>
      <c r="E1091" s="1303"/>
      <c r="F1091" s="1303"/>
      <c r="G1091" s="1303"/>
      <c r="H1091" s="1303"/>
      <c r="I1091" s="1303"/>
      <c r="J1091" s="1303"/>
      <c r="K1091" s="1303"/>
      <c r="L1091" s="1303"/>
      <c r="M1091" s="1303"/>
      <c r="N1091" s="1303"/>
      <c r="O1091" s="1303"/>
      <c r="P1091" s="1303"/>
      <c r="Q1091" s="1303"/>
      <c r="R1091" s="1303"/>
      <c r="S1091" s="1303"/>
      <c r="T1091" s="1303"/>
      <c r="U1091" s="1303"/>
      <c r="V1091" s="1303"/>
      <c r="W1091" s="1303"/>
      <c r="X1091" s="1303"/>
      <c r="Y1091" s="1303"/>
      <c r="Z1091" s="1303"/>
      <c r="AA1091" s="1303"/>
      <c r="AB1091" s="1303"/>
      <c r="AC1091" s="1303"/>
      <c r="AD1091" s="1303"/>
      <c r="AE1091" s="1303"/>
      <c r="AF1091" s="1303"/>
      <c r="AG1091" s="1303"/>
      <c r="AH1091" s="1303"/>
      <c r="AI1091" s="1303"/>
      <c r="AJ1091" s="1303"/>
      <c r="AK1091" s="1303"/>
      <c r="AL1091" s="1303"/>
      <c r="AM1091" s="1303"/>
      <c r="AN1091" s="1303"/>
      <c r="AO1091" s="1303"/>
      <c r="AP1091" s="1303"/>
      <c r="AQ1091" s="1303"/>
      <c r="AR1091" s="1303"/>
      <c r="AS1091" s="14"/>
    </row>
    <row r="1092" spans="1:45" ht="12.95" customHeight="1">
      <c r="A1092" s="4"/>
      <c r="B1092" s="4"/>
      <c r="C1092" s="1349"/>
      <c r="D1092" s="1349"/>
      <c r="E1092" s="1303"/>
      <c r="F1092" s="1303"/>
      <c r="G1092" s="1303"/>
      <c r="H1092" s="1303"/>
      <c r="I1092" s="1303"/>
      <c r="J1092" s="1303"/>
      <c r="K1092" s="1303"/>
      <c r="L1092" s="1303"/>
      <c r="M1092" s="1303"/>
      <c r="N1092" s="1303"/>
      <c r="O1092" s="1303"/>
      <c r="P1092" s="1303"/>
      <c r="Q1092" s="1303"/>
      <c r="R1092" s="1303"/>
      <c r="S1092" s="1303"/>
      <c r="T1092" s="1303"/>
      <c r="U1092" s="1303"/>
      <c r="V1092" s="1303"/>
      <c r="W1092" s="1303"/>
      <c r="X1092" s="1303"/>
      <c r="Y1092" s="1303"/>
      <c r="Z1092" s="1303"/>
      <c r="AA1092" s="1303"/>
      <c r="AB1092" s="1303"/>
      <c r="AC1092" s="1303"/>
      <c r="AD1092" s="1303"/>
      <c r="AE1092" s="1303"/>
      <c r="AF1092" s="1303"/>
      <c r="AG1092" s="1303"/>
      <c r="AH1092" s="1303"/>
      <c r="AI1092" s="1303"/>
      <c r="AJ1092" s="1303"/>
      <c r="AK1092" s="1303"/>
      <c r="AL1092" s="1303"/>
      <c r="AM1092" s="1303"/>
      <c r="AN1092" s="1303"/>
      <c r="AO1092" s="1303"/>
      <c r="AP1092" s="1303"/>
      <c r="AQ1092" s="1303"/>
      <c r="AR1092" s="1303"/>
      <c r="AS1092" s="14"/>
    </row>
    <row r="1093" spans="1:45" ht="12.95" customHeight="1">
      <c r="A1093" s="35"/>
      <c r="B1093" s="25"/>
      <c r="C1093" s="1349"/>
      <c r="D1093" s="134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7" t="s">
        <v>591</v>
      </c>
      <c r="B1094" s="1347"/>
      <c r="C1094" s="1349">
        <v>6</v>
      </c>
      <c r="D1094" s="1349"/>
      <c r="E1094" s="1303" t="s">
        <v>2197</v>
      </c>
      <c r="F1094" s="1303"/>
      <c r="G1094" s="1303"/>
      <c r="H1094" s="1303"/>
      <c r="I1094" s="1303"/>
      <c r="J1094" s="1303"/>
      <c r="K1094" s="1303"/>
      <c r="L1094" s="1303"/>
      <c r="M1094" s="1303"/>
      <c r="N1094" s="1303"/>
      <c r="O1094" s="1303"/>
      <c r="P1094" s="1303"/>
      <c r="Q1094" s="1303"/>
      <c r="R1094" s="1303"/>
      <c r="S1094" s="1303"/>
      <c r="T1094" s="1303"/>
      <c r="U1094" s="1303"/>
      <c r="V1094" s="1303"/>
      <c r="W1094" s="1303"/>
      <c r="X1094" s="1303"/>
      <c r="Y1094" s="1303"/>
      <c r="Z1094" s="1303"/>
      <c r="AA1094" s="1303"/>
      <c r="AB1094" s="1303"/>
      <c r="AC1094" s="1303"/>
      <c r="AD1094" s="1303"/>
      <c r="AE1094" s="1303"/>
      <c r="AF1094" s="1303"/>
      <c r="AG1094" s="1303"/>
      <c r="AH1094" s="1303"/>
      <c r="AI1094" s="1303"/>
      <c r="AJ1094" s="1303"/>
      <c r="AK1094" s="1303"/>
      <c r="AL1094" s="1303"/>
      <c r="AM1094" s="1303"/>
      <c r="AN1094" s="1303"/>
      <c r="AO1094" s="1303"/>
      <c r="AP1094" s="1303"/>
      <c r="AQ1094" s="1303"/>
      <c r="AR1094" s="1303"/>
      <c r="AS1094" s="14"/>
    </row>
    <row r="1095" spans="1:45" ht="12.95" customHeight="1">
      <c r="A1095" s="1"/>
      <c r="B1095" s="1"/>
      <c r="C1095" s="1"/>
      <c r="D1095" s="1"/>
      <c r="E1095" s="1303"/>
      <c r="F1095" s="1303"/>
      <c r="G1095" s="1303"/>
      <c r="H1095" s="1303"/>
      <c r="I1095" s="1303"/>
      <c r="J1095" s="1303"/>
      <c r="K1095" s="1303"/>
      <c r="L1095" s="1303"/>
      <c r="M1095" s="1303"/>
      <c r="N1095" s="1303"/>
      <c r="O1095" s="1303"/>
      <c r="P1095" s="1303"/>
      <c r="Q1095" s="1303"/>
      <c r="R1095" s="1303"/>
      <c r="S1095" s="1303"/>
      <c r="T1095" s="1303"/>
      <c r="U1095" s="1303"/>
      <c r="V1095" s="1303"/>
      <c r="W1095" s="1303"/>
      <c r="X1095" s="1303"/>
      <c r="Y1095" s="1303"/>
      <c r="Z1095" s="1303"/>
      <c r="AA1095" s="1303"/>
      <c r="AB1095" s="1303"/>
      <c r="AC1095" s="1303"/>
      <c r="AD1095" s="1303"/>
      <c r="AE1095" s="1303"/>
      <c r="AF1095" s="1303"/>
      <c r="AG1095" s="1303"/>
      <c r="AH1095" s="1303"/>
      <c r="AI1095" s="1303"/>
      <c r="AJ1095" s="1303"/>
      <c r="AK1095" s="1303"/>
      <c r="AL1095" s="1303"/>
      <c r="AM1095" s="1303"/>
      <c r="AN1095" s="1303"/>
      <c r="AO1095" s="1303"/>
      <c r="AP1095" s="1303"/>
      <c r="AQ1095" s="1303"/>
      <c r="AR1095" s="1303"/>
      <c r="AS1095" s="14"/>
    </row>
    <row r="1096" spans="1:45" ht="12.95" customHeight="1">
      <c r="A1096" s="1"/>
      <c r="B1096" s="1"/>
      <c r="C1096" s="1349"/>
      <c r="D1096" s="1349"/>
      <c r="E1096" s="1303"/>
      <c r="F1096" s="1303"/>
      <c r="G1096" s="1303"/>
      <c r="H1096" s="1303"/>
      <c r="I1096" s="1303"/>
      <c r="J1096" s="1303"/>
      <c r="K1096" s="1303"/>
      <c r="L1096" s="1303"/>
      <c r="M1096" s="1303"/>
      <c r="N1096" s="1303"/>
      <c r="O1096" s="1303"/>
      <c r="P1096" s="1303"/>
      <c r="Q1096" s="1303"/>
      <c r="R1096" s="1303"/>
      <c r="S1096" s="1303"/>
      <c r="T1096" s="1303"/>
      <c r="U1096" s="1303"/>
      <c r="V1096" s="1303"/>
      <c r="W1096" s="1303"/>
      <c r="X1096" s="1303"/>
      <c r="Y1096" s="1303"/>
      <c r="Z1096" s="1303"/>
      <c r="AA1096" s="1303"/>
      <c r="AB1096" s="1303"/>
      <c r="AC1096" s="1303"/>
      <c r="AD1096" s="1303"/>
      <c r="AE1096" s="1303"/>
      <c r="AF1096" s="1303"/>
      <c r="AG1096" s="1303"/>
      <c r="AH1096" s="1303"/>
      <c r="AI1096" s="1303"/>
      <c r="AJ1096" s="1303"/>
      <c r="AK1096" s="1303"/>
      <c r="AL1096" s="1303"/>
      <c r="AM1096" s="1303"/>
      <c r="AN1096" s="1303"/>
      <c r="AO1096" s="1303"/>
      <c r="AP1096" s="1303"/>
      <c r="AQ1096" s="1303"/>
      <c r="AR1096" s="1303"/>
      <c r="AS1096" s="14"/>
    </row>
    <row r="1097" spans="1:45" ht="12.95" customHeight="1">
      <c r="A1097" s="35"/>
      <c r="B1097" s="25"/>
      <c r="C1097" s="1349"/>
      <c r="D1097" s="134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7" t="s">
        <v>591</v>
      </c>
      <c r="B1098" s="1347"/>
      <c r="C1098" s="1349">
        <v>7</v>
      </c>
      <c r="D1098" s="1349"/>
      <c r="E1098" s="1303" t="s">
        <v>2095</v>
      </c>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c r="AL1098" s="1303"/>
      <c r="AM1098" s="1303"/>
      <c r="AN1098" s="1303"/>
      <c r="AO1098" s="1303"/>
      <c r="AP1098" s="1303"/>
      <c r="AQ1098" s="1303"/>
      <c r="AR1098" s="1303"/>
      <c r="AS1098" s="14"/>
    </row>
    <row r="1099" spans="1:45" ht="12.95" customHeight="1">
      <c r="A1099" s="1"/>
      <c r="B1099" s="1"/>
      <c r="C1099" s="1349"/>
      <c r="D1099" s="1349"/>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c r="AL1099" s="1303"/>
      <c r="AM1099" s="1303"/>
      <c r="AN1099" s="1303"/>
      <c r="AO1099" s="1303"/>
      <c r="AP1099" s="1303"/>
      <c r="AQ1099" s="1303"/>
      <c r="AR1099" s="1303"/>
      <c r="AS1099" s="14"/>
    </row>
    <row r="1100" spans="1:45" ht="12.95" customHeight="1">
      <c r="A1100" s="1"/>
      <c r="B1100" s="1"/>
      <c r="C1100" s="1349"/>
      <c r="D1100" s="1349"/>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c r="AL1100" s="1303"/>
      <c r="AM1100" s="1303"/>
      <c r="AN1100" s="1303"/>
      <c r="AO1100" s="1303"/>
      <c r="AP1100" s="1303"/>
      <c r="AQ1100" s="1303"/>
      <c r="AR1100" s="1303"/>
      <c r="AS1100" s="14"/>
    </row>
    <row r="1101" spans="1:45" ht="12.95" customHeight="1">
      <c r="A1101" s="1"/>
      <c r="B1101" s="1"/>
      <c r="C1101" s="1349"/>
      <c r="D1101" s="134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9"/>
      <c r="D1102" s="134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7" t="s">
        <v>591</v>
      </c>
      <c r="B1103" s="1347"/>
      <c r="C1103" s="1349">
        <v>8</v>
      </c>
      <c r="D1103" s="1349"/>
      <c r="E1103" s="1303" t="s">
        <v>1073</v>
      </c>
      <c r="F1103" s="1303"/>
      <c r="G1103" s="1303"/>
      <c r="H1103" s="1303"/>
      <c r="I1103" s="1303"/>
      <c r="J1103" s="1303"/>
      <c r="K1103" s="1303"/>
      <c r="L1103" s="1303"/>
      <c r="M1103" s="1303"/>
      <c r="N1103" s="1303"/>
      <c r="O1103" s="1303"/>
      <c r="P1103" s="1303"/>
      <c r="Q1103" s="1303"/>
      <c r="R1103" s="1303"/>
      <c r="S1103" s="1303"/>
      <c r="T1103" s="1303"/>
      <c r="U1103" s="1303"/>
      <c r="V1103" s="1303"/>
      <c r="W1103" s="1303"/>
      <c r="X1103" s="1303"/>
      <c r="Y1103" s="1303"/>
      <c r="Z1103" s="1303"/>
      <c r="AA1103" s="1303"/>
      <c r="AB1103" s="1303"/>
      <c r="AC1103" s="1303"/>
      <c r="AD1103" s="1303"/>
      <c r="AE1103" s="1303"/>
      <c r="AF1103" s="1303"/>
      <c r="AG1103" s="1303"/>
      <c r="AH1103" s="1303"/>
      <c r="AI1103" s="1303"/>
      <c r="AJ1103" s="1303"/>
      <c r="AK1103" s="1303"/>
      <c r="AL1103" s="1303"/>
      <c r="AM1103" s="1303"/>
      <c r="AN1103" s="1303"/>
      <c r="AO1103" s="1303"/>
      <c r="AP1103" s="1303"/>
      <c r="AQ1103" s="1303"/>
      <c r="AR1103" s="1303"/>
    </row>
    <row r="1104" spans="1:45" ht="12.95" customHeight="1">
      <c r="A1104" s="35"/>
      <c r="B1104" s="25"/>
      <c r="C1104" s="1349"/>
      <c r="D1104" s="1349"/>
      <c r="E1104" s="1303"/>
      <c r="F1104" s="1303"/>
      <c r="G1104" s="1303"/>
      <c r="H1104" s="1303"/>
      <c r="I1104" s="1303"/>
      <c r="J1104" s="1303"/>
      <c r="K1104" s="1303"/>
      <c r="L1104" s="1303"/>
      <c r="M1104" s="1303"/>
      <c r="N1104" s="1303"/>
      <c r="O1104" s="1303"/>
      <c r="P1104" s="1303"/>
      <c r="Q1104" s="1303"/>
      <c r="R1104" s="1303"/>
      <c r="S1104" s="1303"/>
      <c r="T1104" s="1303"/>
      <c r="U1104" s="1303"/>
      <c r="V1104" s="1303"/>
      <c r="W1104" s="1303"/>
      <c r="X1104" s="1303"/>
      <c r="Y1104" s="1303"/>
      <c r="Z1104" s="1303"/>
      <c r="AA1104" s="1303"/>
      <c r="AB1104" s="1303"/>
      <c r="AC1104" s="1303"/>
      <c r="AD1104" s="1303"/>
      <c r="AE1104" s="1303"/>
      <c r="AF1104" s="1303"/>
      <c r="AG1104" s="1303"/>
      <c r="AH1104" s="1303"/>
      <c r="AI1104" s="1303"/>
      <c r="AJ1104" s="1303"/>
      <c r="AK1104" s="1303"/>
      <c r="AL1104" s="1303"/>
      <c r="AM1104" s="1303"/>
      <c r="AN1104" s="1303"/>
      <c r="AO1104" s="1303"/>
      <c r="AP1104" s="1303"/>
      <c r="AQ1104" s="1303"/>
      <c r="AR1104" s="1303"/>
    </row>
    <row r="1105" spans="1:44" ht="12.95" customHeight="1">
      <c r="A1105" s="35"/>
      <c r="B1105" s="25"/>
      <c r="C1105" s="1349"/>
      <c r="D1105" s="134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7" t="s">
        <v>591</v>
      </c>
      <c r="B1106" s="1347"/>
      <c r="C1106" s="1348">
        <v>9</v>
      </c>
      <c r="D1106" s="1348"/>
      <c r="E1106" s="1303" t="s">
        <v>1075</v>
      </c>
      <c r="F1106" s="1303"/>
      <c r="G1106" s="1303"/>
      <c r="H1106" s="1303"/>
      <c r="I1106" s="1303"/>
      <c r="J1106" s="1303"/>
      <c r="K1106" s="1303"/>
      <c r="L1106" s="1303"/>
      <c r="M1106" s="1303"/>
      <c r="N1106" s="1303"/>
      <c r="O1106" s="1303"/>
      <c r="P1106" s="1303"/>
      <c r="Q1106" s="1303"/>
      <c r="R1106" s="1303"/>
      <c r="S1106" s="1303"/>
      <c r="T1106" s="1303"/>
      <c r="U1106" s="1303"/>
      <c r="V1106" s="1303"/>
      <c r="W1106" s="1303"/>
      <c r="X1106" s="1303"/>
      <c r="Y1106" s="1303"/>
      <c r="Z1106" s="1303"/>
      <c r="AA1106" s="1303"/>
      <c r="AB1106" s="1303"/>
      <c r="AC1106" s="1303"/>
      <c r="AD1106" s="1303"/>
      <c r="AE1106" s="1303"/>
      <c r="AF1106" s="1303"/>
      <c r="AG1106" s="1303"/>
      <c r="AH1106" s="1303"/>
      <c r="AI1106" s="1303"/>
      <c r="AJ1106" s="1303"/>
      <c r="AK1106" s="1303"/>
      <c r="AL1106" s="1303"/>
      <c r="AM1106" s="1303"/>
      <c r="AN1106" s="1303"/>
      <c r="AO1106" s="1303"/>
      <c r="AP1106" s="1303"/>
      <c r="AQ1106" s="1303"/>
      <c r="AR1106" s="1303"/>
    </row>
    <row r="1107" spans="1:44" ht="12.95" customHeight="1">
      <c r="A1107" s="1"/>
      <c r="B1107" s="1"/>
      <c r="C1107" s="1348"/>
      <c r="D1107" s="1348"/>
      <c r="E1107" s="1303"/>
      <c r="F1107" s="1303"/>
      <c r="G1107" s="1303"/>
      <c r="H1107" s="1303"/>
      <c r="I1107" s="1303"/>
      <c r="J1107" s="1303"/>
      <c r="K1107" s="1303"/>
      <c r="L1107" s="1303"/>
      <c r="M1107" s="1303"/>
      <c r="N1107" s="1303"/>
      <c r="O1107" s="1303"/>
      <c r="P1107" s="1303"/>
      <c r="Q1107" s="1303"/>
      <c r="R1107" s="1303"/>
      <c r="S1107" s="1303"/>
      <c r="T1107" s="1303"/>
      <c r="U1107" s="1303"/>
      <c r="V1107" s="1303"/>
      <c r="W1107" s="1303"/>
      <c r="X1107" s="1303"/>
      <c r="Y1107" s="1303"/>
      <c r="Z1107" s="1303"/>
      <c r="AA1107" s="1303"/>
      <c r="AB1107" s="1303"/>
      <c r="AC1107" s="1303"/>
      <c r="AD1107" s="1303"/>
      <c r="AE1107" s="1303"/>
      <c r="AF1107" s="1303"/>
      <c r="AG1107" s="1303"/>
      <c r="AH1107" s="1303"/>
      <c r="AI1107" s="1303"/>
      <c r="AJ1107" s="1303"/>
      <c r="AK1107" s="1303"/>
      <c r="AL1107" s="1303"/>
      <c r="AM1107" s="1303"/>
      <c r="AN1107" s="1303"/>
      <c r="AO1107" s="1303"/>
      <c r="AP1107" s="1303"/>
      <c r="AQ1107" s="1303"/>
      <c r="AR1107" s="1303"/>
    </row>
    <row r="1108" spans="1:44" ht="12.95" customHeight="1">
      <c r="A1108" s="35"/>
      <c r="B1108" s="25"/>
      <c r="C1108" s="1348"/>
      <c r="D1108" s="134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7" t="s">
        <v>591</v>
      </c>
      <c r="B1109" s="1347"/>
      <c r="C1109" s="1348">
        <v>10</v>
      </c>
      <c r="D1109" s="1348"/>
      <c r="E1109" s="1305" t="s">
        <v>2194</v>
      </c>
      <c r="F1109" s="1305"/>
      <c r="G1109" s="1305"/>
      <c r="H1109" s="1305"/>
      <c r="I1109" s="1305"/>
      <c r="J1109" s="1305"/>
      <c r="K1109" s="1305"/>
      <c r="L1109" s="1305"/>
      <c r="M1109" s="1305"/>
      <c r="N1109" s="1305"/>
      <c r="O1109" s="1305"/>
      <c r="P1109" s="1305"/>
      <c r="Q1109" s="1305"/>
      <c r="R1109" s="1305"/>
      <c r="S1109" s="1305"/>
      <c r="T1109" s="1305"/>
      <c r="U1109" s="1305"/>
      <c r="V1109" s="1305"/>
      <c r="W1109" s="1305"/>
      <c r="X1109" s="1305"/>
      <c r="Y1109" s="1305"/>
      <c r="Z1109" s="1305"/>
      <c r="AA1109" s="1305"/>
      <c r="AB1109" s="1305"/>
      <c r="AC1109" s="1305"/>
      <c r="AD1109" s="1305"/>
      <c r="AE1109" s="1305"/>
      <c r="AF1109" s="1305"/>
      <c r="AG1109" s="1305"/>
      <c r="AH1109" s="1305"/>
      <c r="AI1109" s="1305"/>
      <c r="AJ1109" s="1305"/>
      <c r="AK1109" s="1305"/>
      <c r="AL1109" s="1305"/>
      <c r="AM1109" s="1305"/>
      <c r="AN1109" s="1305"/>
      <c r="AO1109" s="1305"/>
      <c r="AP1109" s="1305"/>
      <c r="AQ1109" s="1305"/>
      <c r="AR1109" s="1305"/>
    </row>
    <row r="1110" spans="1:44" ht="12.95" customHeight="1">
      <c r="A1110" s="1"/>
      <c r="B1110" s="1"/>
      <c r="C1110" s="199"/>
      <c r="D1110" s="1154"/>
      <c r="E1110" s="1305"/>
      <c r="F1110" s="1305"/>
      <c r="G1110" s="1305"/>
      <c r="H1110" s="1305"/>
      <c r="I1110" s="1305"/>
      <c r="J1110" s="1305"/>
      <c r="K1110" s="1305"/>
      <c r="L1110" s="1305"/>
      <c r="M1110" s="1305"/>
      <c r="N1110" s="1305"/>
      <c r="O1110" s="1305"/>
      <c r="P1110" s="1305"/>
      <c r="Q1110" s="1305"/>
      <c r="R1110" s="1305"/>
      <c r="S1110" s="1305"/>
      <c r="T1110" s="1305"/>
      <c r="U1110" s="1305"/>
      <c r="V1110" s="1305"/>
      <c r="W1110" s="1305"/>
      <c r="X1110" s="1305"/>
      <c r="Y1110" s="1305"/>
      <c r="Z1110" s="1305"/>
      <c r="AA1110" s="1305"/>
      <c r="AB1110" s="1305"/>
      <c r="AC1110" s="1305"/>
      <c r="AD1110" s="1305"/>
      <c r="AE1110" s="1305"/>
      <c r="AF1110" s="1305"/>
      <c r="AG1110" s="1305"/>
      <c r="AH1110" s="1305"/>
      <c r="AI1110" s="1305"/>
      <c r="AJ1110" s="1305"/>
      <c r="AK1110" s="1305"/>
      <c r="AL1110" s="1305"/>
      <c r="AM1110" s="1305"/>
      <c r="AN1110" s="1305"/>
      <c r="AO1110" s="1305"/>
      <c r="AP1110" s="1305"/>
      <c r="AQ1110" s="1305"/>
      <c r="AR1110" s="130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7" t="s">
        <v>591</v>
      </c>
      <c r="B1112" s="1347"/>
      <c r="C1112" s="1348">
        <v>11</v>
      </c>
      <c r="D1112" s="1348"/>
      <c r="E1112" s="1305" t="s">
        <v>2195</v>
      </c>
      <c r="F1112" s="1305"/>
      <c r="G1112" s="1305"/>
      <c r="H1112" s="1305"/>
      <c r="I1112" s="1305"/>
      <c r="J1112" s="1305"/>
      <c r="K1112" s="1305"/>
      <c r="L1112" s="1305"/>
      <c r="M1112" s="1305"/>
      <c r="N1112" s="1305"/>
      <c r="O1112" s="1305"/>
      <c r="P1112" s="1305"/>
      <c r="Q1112" s="1305"/>
      <c r="R1112" s="1305"/>
      <c r="S1112" s="1305"/>
      <c r="T1112" s="1305"/>
      <c r="U1112" s="1305"/>
      <c r="V1112" s="1305"/>
      <c r="W1112" s="1305"/>
      <c r="X1112" s="1305"/>
      <c r="Y1112" s="1305"/>
      <c r="Z1112" s="1305"/>
      <c r="AA1112" s="1305"/>
      <c r="AB1112" s="1305"/>
      <c r="AC1112" s="1305"/>
      <c r="AD1112" s="1305"/>
      <c r="AE1112" s="1305"/>
      <c r="AF1112" s="1305"/>
      <c r="AG1112" s="1305"/>
      <c r="AH1112" s="1305"/>
      <c r="AI1112" s="1305"/>
      <c r="AJ1112" s="1305"/>
      <c r="AK1112" s="1305"/>
      <c r="AL1112" s="1305"/>
      <c r="AM1112" s="1305"/>
      <c r="AN1112" s="1305"/>
      <c r="AO1112" s="1305"/>
      <c r="AP1112" s="1305"/>
      <c r="AQ1112" s="1305"/>
      <c r="AR1112" s="1305"/>
    </row>
    <row r="1113" spans="1:44" ht="12.95" customHeight="1">
      <c r="A1113" s="1"/>
      <c r="B1113" s="1"/>
      <c r="C1113" s="199"/>
      <c r="D1113" s="1154"/>
      <c r="E1113" s="1305"/>
      <c r="F1113" s="1305"/>
      <c r="G1113" s="1305"/>
      <c r="H1113" s="1305"/>
      <c r="I1113" s="1305"/>
      <c r="J1113" s="1305"/>
      <c r="K1113" s="1305"/>
      <c r="L1113" s="1305"/>
      <c r="M1113" s="1305"/>
      <c r="N1113" s="1305"/>
      <c r="O1113" s="1305"/>
      <c r="P1113" s="1305"/>
      <c r="Q1113" s="1305"/>
      <c r="R1113" s="1305"/>
      <c r="S1113" s="1305"/>
      <c r="T1113" s="1305"/>
      <c r="U1113" s="1305"/>
      <c r="V1113" s="1305"/>
      <c r="W1113" s="1305"/>
      <c r="X1113" s="1305"/>
      <c r="Y1113" s="1305"/>
      <c r="Z1113" s="1305"/>
      <c r="AA1113" s="1305"/>
      <c r="AB1113" s="1305"/>
      <c r="AC1113" s="1305"/>
      <c r="AD1113" s="1305"/>
      <c r="AE1113" s="1305"/>
      <c r="AF1113" s="1305"/>
      <c r="AG1113" s="1305"/>
      <c r="AH1113" s="1305"/>
      <c r="AI1113" s="1305"/>
      <c r="AJ1113" s="1305"/>
      <c r="AK1113" s="1305"/>
      <c r="AL1113" s="1305"/>
      <c r="AM1113" s="1305"/>
      <c r="AN1113" s="1305"/>
      <c r="AO1113" s="1305"/>
      <c r="AP1113" s="1305"/>
      <c r="AQ1113" s="1305"/>
      <c r="AR1113" s="130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7" t="s">
        <v>591</v>
      </c>
      <c r="B1134" s="1347"/>
      <c r="C1134" s="199">
        <v>9</v>
      </c>
      <c r="D1134" s="1270" t="s">
        <v>1074</v>
      </c>
      <c r="E1134" s="1270"/>
      <c r="F1134" s="1270"/>
      <c r="G1134" s="1270"/>
      <c r="H1134" s="1270"/>
      <c r="I1134" s="1270"/>
      <c r="J1134" s="1270"/>
      <c r="K1134" s="1270"/>
      <c r="L1134" s="1270"/>
      <c r="M1134" s="1270"/>
      <c r="N1134" s="1270"/>
      <c r="O1134" s="1270"/>
      <c r="P1134" s="1270"/>
      <c r="Q1134" s="1270"/>
      <c r="R1134" s="1270"/>
      <c r="S1134" s="1270"/>
      <c r="T1134" s="1270"/>
      <c r="U1134" s="1270"/>
      <c r="V1134" s="1270"/>
      <c r="W1134" s="1270"/>
      <c r="X1134" s="1270"/>
      <c r="Y1134" s="1270"/>
      <c r="Z1134" s="1270"/>
      <c r="AA1134" s="1270"/>
      <c r="AB1134" s="1270"/>
      <c r="AC1134" s="1270"/>
      <c r="AD1134" s="1270"/>
      <c r="AE1134" s="1270"/>
      <c r="AF1134" s="1270"/>
      <c r="AG1134" s="1270"/>
      <c r="AH1134" s="1270"/>
      <c r="AI1134" s="1270"/>
      <c r="AJ1134" s="1270"/>
      <c r="AK1134" s="1270"/>
    </row>
    <row r="1135" spans="1:37" ht="0" hidden="1" customHeight="1">
      <c r="A1135" s="35"/>
      <c r="B1135" s="25"/>
      <c r="C1135" s="199"/>
      <c r="D1135" s="1270"/>
      <c r="E1135" s="1270"/>
      <c r="F1135" s="1270"/>
      <c r="G1135" s="1270"/>
      <c r="H1135" s="1270"/>
      <c r="I1135" s="1270"/>
      <c r="J1135" s="1270"/>
      <c r="K1135" s="1270"/>
      <c r="L1135" s="1270"/>
      <c r="M1135" s="1270"/>
      <c r="N1135" s="1270"/>
      <c r="O1135" s="1270"/>
      <c r="P1135" s="1270"/>
      <c r="Q1135" s="1270"/>
      <c r="R1135" s="1270"/>
      <c r="S1135" s="1270"/>
      <c r="T1135" s="1270"/>
      <c r="U1135" s="1270"/>
      <c r="V1135" s="1270"/>
      <c r="W1135" s="1270"/>
      <c r="X1135" s="1270"/>
      <c r="Y1135" s="1270"/>
      <c r="Z1135" s="1270"/>
      <c r="AA1135" s="1270"/>
      <c r="AB1135" s="1270"/>
      <c r="AC1135" s="1270"/>
      <c r="AD1135" s="1270"/>
      <c r="AE1135" s="1270"/>
      <c r="AF1135" s="1270"/>
      <c r="AG1135" s="1270"/>
      <c r="AH1135" s="1270"/>
      <c r="AI1135" s="1270"/>
      <c r="AJ1135" s="1270"/>
      <c r="AK1135" s="1270"/>
    </row>
    <row r="1136" spans="1:37" ht="0" hidden="1" customHeight="1">
      <c r="D1136" s="1270"/>
      <c r="E1136" s="1270"/>
      <c r="F1136" s="1270"/>
      <c r="G1136" s="1270"/>
      <c r="H1136" s="1270"/>
      <c r="I1136" s="1270"/>
      <c r="J1136" s="1270"/>
      <c r="K1136" s="1270"/>
      <c r="L1136" s="1270"/>
      <c r="M1136" s="1270"/>
      <c r="N1136" s="1270"/>
      <c r="O1136" s="1270"/>
      <c r="P1136" s="1270"/>
      <c r="Q1136" s="1270"/>
      <c r="R1136" s="1270"/>
      <c r="S1136" s="1270"/>
      <c r="T1136" s="1270"/>
      <c r="U1136" s="1270"/>
      <c r="V1136" s="1270"/>
      <c r="W1136" s="1270"/>
      <c r="X1136" s="1270"/>
      <c r="Y1136" s="1270"/>
      <c r="Z1136" s="1270"/>
      <c r="AA1136" s="1270"/>
      <c r="AB1136" s="1270"/>
      <c r="AC1136" s="1270"/>
      <c r="AD1136" s="1270"/>
      <c r="AE1136" s="1270"/>
      <c r="AF1136" s="1270"/>
      <c r="AG1136" s="1270"/>
      <c r="AH1136" s="1270"/>
      <c r="AI1136" s="1270"/>
      <c r="AJ1136" s="1270"/>
      <c r="AK1136" s="1270"/>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5" priority="8">
      <formula>0=$B$1069</formula>
    </cfRule>
  </conditionalFormatting>
  <conditionalFormatting sqref="C563:C573 Q563:AS573 Q636:Z646 AC636:AS646">
    <cfRule type="expression" dxfId="104" priority="25">
      <formula>$AT563="!"</formula>
    </cfRule>
  </conditionalFormatting>
  <conditionalFormatting sqref="C636:C646">
    <cfRule type="expression" dxfId="103" priority="24">
      <formula>$AT636="!"</formula>
    </cfRule>
  </conditionalFormatting>
  <conditionalFormatting sqref="C903:T904">
    <cfRule type="expression" dxfId="102" priority="10">
      <formula>AND(AC903&lt;&gt;"",OR(C903="Other (Specify):",C903=""))</formula>
    </cfRule>
  </conditionalFormatting>
  <conditionalFormatting sqref="D213">
    <cfRule type="expression" dxfId="101" priority="266">
      <formula>AND($Q$212&gt;0,$T$212&lt;75%)</formula>
    </cfRule>
  </conditionalFormatting>
  <conditionalFormatting sqref="D216">
    <cfRule type="expression" dxfId="100" priority="33">
      <formula>NOT($D$211="At-Risk")</formula>
    </cfRule>
  </conditionalFormatting>
  <conditionalFormatting sqref="D215:U215">
    <cfRule type="expression" dxfId="99" priority="37">
      <formula>NOT(OR($D$214="Seniors",$D$211="Seniors"))</formula>
    </cfRule>
  </conditionalFormatting>
  <conditionalFormatting sqref="D214:Z214">
    <cfRule type="expression" dxfId="98" priority="267">
      <formula>AND($Q$212&gt;0,$T$212&lt;75%)</formula>
    </cfRule>
  </conditionalFormatting>
  <conditionalFormatting sqref="E715:AK715">
    <cfRule type="expression" dxfId="97" priority="23">
      <formula>AND($W$714="Other",OR($E$715="(specify here)",$E$715=""))</formula>
    </cfRule>
  </conditionalFormatting>
  <conditionalFormatting sqref="F839:L839">
    <cfRule type="expression" dxfId="96" priority="18">
      <formula>AND(OR(M839&lt;&gt;"",$Q$819&lt;&gt;"",$U$819&lt;&gt;"",$Y$819&lt;&gt;"",$AC$819&lt;&gt;"",$AG$819&lt;&gt;"",SUM($M$839:$AJ$839)&gt;0),OR(F839="(specify here)",F839=""))</formula>
    </cfRule>
  </conditionalFormatting>
  <conditionalFormatting sqref="F466:AB466">
    <cfRule type="expression" dxfId="95" priority="7">
      <formula>$AC$463=""</formula>
    </cfRule>
  </conditionalFormatting>
  <conditionalFormatting sqref="G1064:AN1069">
    <cfRule type="expression" dxfId="94" priority="4">
      <formula>OR($Z$205="15% set-aside",$Z$205="15% set-aside with qualifying low value rehab")</formula>
    </cfRule>
  </conditionalFormatting>
  <conditionalFormatting sqref="L516:X516">
    <cfRule type="expression" dxfId="93" priority="32">
      <formula>AND(NOT(AC516="N/A"),AH516&lt;&gt;"",OR(L516="(specify here)",L516=""))</formula>
    </cfRule>
  </conditionalFormatting>
  <conditionalFormatting sqref="M854:V854">
    <cfRule type="expression" dxfId="92" priority="17">
      <formula>AND(W854&lt;&gt;"",OR(M854="(specify here)",M854=""))</formula>
    </cfRule>
  </conditionalFormatting>
  <conditionalFormatting sqref="M869:V869">
    <cfRule type="expression" dxfId="91" priority="16">
      <formula>AND(W869&lt;&gt;"",OR(M869="(specify here)",M869=""))</formula>
    </cfRule>
  </conditionalFormatting>
  <conditionalFormatting sqref="M880:V880">
    <cfRule type="expression" dxfId="90" priority="15">
      <formula>AND(W880&lt;&gt;"",OR(M880="(specify here)",M880=""))</formula>
    </cfRule>
  </conditionalFormatting>
  <conditionalFormatting sqref="M883:V887">
    <cfRule type="expression" dxfId="89" priority="14">
      <formula>AND(W883&lt;&gt;"",OR(M883="(specify here)",M883=""))</formula>
    </cfRule>
  </conditionalFormatting>
  <conditionalFormatting sqref="O528:AA528">
    <cfRule type="expression" dxfId="88" priority="31">
      <formula>AND(OR(AND(NOT(AC528="N/A"),AH528&lt;&gt;""),AND(NOT(AC529="N/A"),AH529&lt;&gt;""),AND(NOT(AC530="N/A"),AH530&lt;&gt;"")),OR(O528="(specify here)",O528=""))</formula>
    </cfRule>
  </conditionalFormatting>
  <conditionalFormatting sqref="O531:AA531">
    <cfRule type="expression" dxfId="87" priority="30">
      <formula>AND(OR(AND(NOT(AC531="N/A"),AH531&lt;&gt;""),AND(NOT(AC532="N/A"),AH532&lt;&gt;""),AND(NOT(AC533="N/A"),AH533&lt;&gt;"")),OR(O531="(specify here)",O531=""))</formula>
    </cfRule>
  </conditionalFormatting>
  <conditionalFormatting sqref="O534:AA534">
    <cfRule type="expression" dxfId="86" priority="29">
      <formula>AND(OR(AND(NOT(AC534="N/A"),AH534&lt;&gt;""),AND(NOT(AC535="N/A"),AH535&lt;&gt;""),AND(NOT(AC536="N/A"),AH536&lt;&gt;"")),OR(O534="(specify here)",O534=""))</formula>
    </cfRule>
  </conditionalFormatting>
  <conditionalFormatting sqref="O537:AA537">
    <cfRule type="expression" dxfId="85" priority="28">
      <formula>AND(OR(AND(NOT(AC537="N/A"),AH537&lt;&gt;""),AND(NOT(AC538="N/A"),AH538&lt;&gt;""),AND(NOT(AC539="N/A"),AH539&lt;&gt;"")),OR(O537="(specify here)",O537=""))</formula>
    </cfRule>
  </conditionalFormatting>
  <conditionalFormatting sqref="O540:AA540">
    <cfRule type="expression" dxfId="84" priority="27">
      <formula>AND(OR(AND(NOT(AC540="N/A"),AH540&lt;&gt;""),AND(NOT(AC541="N/A"),AH541&lt;&gt;""),AND(NOT(AC542="N/A"),AH542&lt;&gt;"")),OR(O540="(specify here)",O540=""))</formula>
    </cfRule>
  </conditionalFormatting>
  <conditionalFormatting sqref="O543:AA543">
    <cfRule type="expression" dxfId="83" priority="26">
      <formula>AND(OR(AND(NOT(AC543="N/A"),AH543&lt;&gt;""),AND(NOT(AC544="N/A"),AH544&lt;&gt;""),AND(NOT(AC545="N/A"),AH545&lt;&gt;"")),OR(O543="(specify here)",O543=""))</formula>
    </cfRule>
  </conditionalFormatting>
  <conditionalFormatting sqref="P824:Y824">
    <cfRule type="expression" dxfId="82" priority="19">
      <formula>AND(Z824&lt;&gt;"",OR(P824="(specify here)",P824=""))</formula>
    </cfRule>
  </conditionalFormatting>
  <conditionalFormatting sqref="T212:U212">
    <cfRule type="expression" dxfId="81" priority="6">
      <formula>AND($T$212=0,$Q$212="")</formula>
    </cfRule>
  </conditionalFormatting>
  <conditionalFormatting sqref="U903:U904">
    <cfRule type="expression" dxfId="80" priority="263">
      <formula>AND(AU887&lt;&gt;"",OR(U903="Other (Specify):",U903=""))</formula>
    </cfRule>
  </conditionalFormatting>
  <conditionalFormatting sqref="V903:AB904">
    <cfRule type="expression" dxfId="79" priority="264">
      <formula>AND(AV897&lt;&gt;"",OR(V903="Other (Specify):",V903=""))</formula>
    </cfRule>
  </conditionalFormatting>
  <conditionalFormatting sqref="W983:AG983">
    <cfRule type="expression" dxfId="78" priority="9">
      <formula>AND($AA$962&lt;&gt;"",OR($W$961="",$W$961="(specify here)"))</formula>
    </cfRule>
  </conditionalFormatting>
  <conditionalFormatting sqref="Y224">
    <cfRule type="expression" dxfId="77" priority="1">
      <formula>$AC$463=""</formula>
    </cfRule>
  </conditionalFormatting>
  <conditionalFormatting sqref="Y516:AB516">
    <cfRule type="expression" dxfId="76" priority="265">
      <formula>AND(NOT(AP516="N/A"),AU515&lt;&gt;"",OR(Y516="(specify here)",Y516=""))</formula>
    </cfRule>
  </conditionalFormatting>
  <conditionalFormatting sqref="AA927:AF927">
    <cfRule type="expression" dxfId="75" priority="3">
      <formula>NOT($AA$927=$AW$927)</formula>
    </cfRule>
  </conditionalFormatting>
  <conditionalFormatting sqref="AA1066:AF1066">
    <cfRule type="expression" dxfId="74" priority="5">
      <formula>OR($Z$205="15% set-aside",$Z$205="15% set-aside with qualifying low value rehab")</formula>
    </cfRule>
  </conditionalFormatting>
  <conditionalFormatting sqref="AA215:AO215">
    <cfRule type="expression" dxfId="73" priority="38">
      <formula>NOT(OR($D$214="Seniors",$D$211="Seniors"))</formula>
    </cfRule>
  </conditionalFormatting>
  <conditionalFormatting sqref="AB216:AM216">
    <cfRule type="expression" dxfId="72" priority="34">
      <formula>NOT($D$211="At-Risk")</formula>
    </cfRule>
  </conditionalFormatting>
  <conditionalFormatting sqref="AF1030">
    <cfRule type="cellIs" dxfId="71" priority="44" stopIfTrue="1" operator="equal">
      <formula>"Please Enter Amount:"</formula>
    </cfRule>
  </conditionalFormatting>
  <conditionalFormatting sqref="AF1035">
    <cfRule type="cellIs" dxfId="70" priority="41" stopIfTrue="1" operator="equal">
      <formula>"Please Enter Amount:"</formula>
    </cfRule>
  </conditionalFormatting>
  <conditionalFormatting sqref="AF1042">
    <cfRule type="cellIs" dxfId="69" priority="42" stopIfTrue="1" operator="equal">
      <formula>"Please Enter Amount:"</formula>
    </cfRule>
  </conditionalFormatting>
  <conditionalFormatting sqref="AG450:AJ450">
    <cfRule type="expression" dxfId="68" priority="48" stopIfTrue="1">
      <formula>"iserror(d31)"</formula>
    </cfRule>
  </conditionalFormatting>
  <conditionalFormatting sqref="AJ1054">
    <cfRule type="cellIs" dxfId="67" priority="47" stopIfTrue="1" operator="equal">
      <formula>"#DIV/0!"</formula>
    </cfRule>
  </conditionalFormatting>
  <conditionalFormatting sqref="AX305:BT306">
    <cfRule type="expression" dxfId="66"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 zoomScale="90" zoomScaleNormal="90" workbookViewId="0">
      <selection activeCell="S47" sqref="S4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Application!B635&amp;Application!C635</f>
        <v>1)Citi Community Capital - Perm Loan</v>
      </c>
      <c r="G2" s="139" t="str">
        <f>Application!B636&amp;Application!C636</f>
        <v>2)HCD AHSC-AHD</v>
      </c>
      <c r="H2" s="139" t="str">
        <f>Application!B637&amp;Application!C637</f>
        <v>3)NOI</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7622500</v>
      </c>
      <c r="C4" s="147">
        <v>7622500</v>
      </c>
      <c r="D4" s="147"/>
      <c r="E4" s="147">
        <f>C4-SUM(F4:Q4)</f>
        <v>7622500</v>
      </c>
      <c r="F4" s="147"/>
      <c r="G4" s="147"/>
      <c r="H4" s="147"/>
      <c r="I4" s="147"/>
      <c r="J4" s="147"/>
      <c r="K4" s="147"/>
      <c r="L4" s="147"/>
      <c r="M4" s="147"/>
      <c r="N4" s="147"/>
      <c r="O4" s="147"/>
      <c r="P4" s="147"/>
      <c r="Q4" s="147"/>
      <c r="R4" s="516">
        <f>SUM(E4:Q4)</f>
        <v>7622500</v>
      </c>
      <c r="S4" s="148"/>
      <c r="T4" s="148"/>
      <c r="U4" s="143"/>
    </row>
    <row r="5" spans="1:21" s="144" customFormat="1">
      <c r="A5" s="145" t="s">
        <v>28</v>
      </c>
      <c r="B5" s="146">
        <f>SUM(C5+D5)</f>
        <v>0</v>
      </c>
      <c r="C5" s="147"/>
      <c r="D5" s="147"/>
      <c r="E5" s="147">
        <f t="shared" ref="E5:E7" si="0">C5-SUM(F5:Q5)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7622500</v>
      </c>
      <c r="C8" s="146">
        <f t="shared" ref="C8:Q8" si="1">SUM(C4:C7)</f>
        <v>7622500</v>
      </c>
      <c r="D8" s="146">
        <f t="shared" si="1"/>
        <v>0</v>
      </c>
      <c r="E8" s="146">
        <f t="shared" si="1"/>
        <v>7622500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7622500</v>
      </c>
      <c r="S8" s="148"/>
      <c r="T8" s="148"/>
      <c r="U8" s="143"/>
    </row>
    <row r="9" spans="1:21" s="144" customFormat="1">
      <c r="A9" s="145" t="s">
        <v>594</v>
      </c>
      <c r="B9" s="146">
        <f>SUM(C9+D9)</f>
        <v>0</v>
      </c>
      <c r="C9" s="147"/>
      <c r="D9" s="147"/>
      <c r="E9" s="147">
        <f t="shared" ref="E9:E10" si="2">C9-SUM(F9:Q9)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2280187</v>
      </c>
      <c r="C10" s="147">
        <v>2280187</v>
      </c>
      <c r="D10" s="147"/>
      <c r="E10" s="147">
        <f t="shared" si="2"/>
        <v>2280187</v>
      </c>
      <c r="F10" s="147"/>
      <c r="G10" s="147"/>
      <c r="H10" s="147"/>
      <c r="I10" s="147"/>
      <c r="J10" s="147"/>
      <c r="K10" s="147"/>
      <c r="L10" s="147"/>
      <c r="M10" s="147"/>
      <c r="N10" s="147"/>
      <c r="O10" s="147"/>
      <c r="P10" s="147"/>
      <c r="Q10" s="147"/>
      <c r="R10" s="516">
        <f>SUM(E10:Q10)</f>
        <v>2280187</v>
      </c>
      <c r="S10" s="147">
        <f>C10</f>
        <v>2280187</v>
      </c>
      <c r="T10" s="147"/>
      <c r="U10" s="143"/>
    </row>
    <row r="11" spans="1:21" s="144" customFormat="1">
      <c r="A11" s="149" t="s">
        <v>596</v>
      </c>
      <c r="B11" s="146">
        <f>SUM(C11:D11)</f>
        <v>2280187</v>
      </c>
      <c r="C11" s="146">
        <f t="shared" ref="C11:Q11" si="3">SUM(C9:C10)</f>
        <v>2280187</v>
      </c>
      <c r="D11" s="146">
        <f t="shared" si="3"/>
        <v>0</v>
      </c>
      <c r="E11" s="146">
        <f>SUM(E9:E10)</f>
        <v>2280187</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2280187</v>
      </c>
      <c r="S11" s="148"/>
      <c r="T11" s="150">
        <f>SUM(T9:T10)</f>
        <v>0</v>
      </c>
      <c r="U11" s="143"/>
    </row>
    <row r="12" spans="1:21" s="144" customFormat="1">
      <c r="A12" s="149" t="s">
        <v>84</v>
      </c>
      <c r="B12" s="146">
        <f t="shared" ref="B12:Q12" si="4">SUM(B8+B11)</f>
        <v>9902687</v>
      </c>
      <c r="C12" s="146">
        <f t="shared" si="4"/>
        <v>9902687</v>
      </c>
      <c r="D12" s="146">
        <f t="shared" si="4"/>
        <v>0</v>
      </c>
      <c r="E12" s="146">
        <f t="shared" si="4"/>
        <v>9902687</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9902687</v>
      </c>
      <c r="S12" s="148"/>
      <c r="T12" s="148"/>
      <c r="U12" s="143"/>
    </row>
    <row r="13" spans="1:21" s="144" customFormat="1">
      <c r="A13" s="287" t="s">
        <v>902</v>
      </c>
      <c r="B13" s="146">
        <f>SUM(C13+D13)</f>
        <v>571077</v>
      </c>
      <c r="C13" s="147">
        <v>571077</v>
      </c>
      <c r="D13" s="147"/>
      <c r="E13" s="147">
        <f t="shared" ref="E13:E15" si="5">C13-SUM(F13:Q13)</f>
        <v>571077</v>
      </c>
      <c r="F13" s="147"/>
      <c r="G13" s="147"/>
      <c r="H13" s="147"/>
      <c r="I13" s="147"/>
      <c r="J13" s="147"/>
      <c r="K13" s="147"/>
      <c r="L13" s="147"/>
      <c r="M13" s="147"/>
      <c r="N13" s="147"/>
      <c r="O13" s="147"/>
      <c r="P13" s="147"/>
      <c r="Q13" s="147"/>
      <c r="R13" s="516">
        <f>SUM(E13:Q13)</f>
        <v>571077</v>
      </c>
      <c r="S13" s="147"/>
      <c r="T13" s="147"/>
      <c r="U13" s="143"/>
    </row>
    <row r="14" spans="1:21" s="144" customFormat="1" ht="24">
      <c r="A14" s="288" t="s">
        <v>1632</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f t="shared" ref="E17:E25" si="7">C17-SUM(F17:Q17)</f>
        <v>0</v>
      </c>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1629</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3"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C27-SUM(F27:Q27)</f>
        <v>0</v>
      </c>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0">SUM(C29+D29)</f>
        <v>7826858</v>
      </c>
      <c r="C29" s="147">
        <v>7826858</v>
      </c>
      <c r="D29" s="147"/>
      <c r="E29" s="147">
        <f t="shared" ref="E29:E37" si="11">C29-SUM(F29:Q29)</f>
        <v>7826858</v>
      </c>
      <c r="F29" s="147"/>
      <c r="G29" s="147"/>
      <c r="H29" s="147"/>
      <c r="I29" s="147"/>
      <c r="J29" s="147"/>
      <c r="K29" s="147"/>
      <c r="L29" s="147"/>
      <c r="M29" s="147"/>
      <c r="N29" s="147"/>
      <c r="O29" s="147"/>
      <c r="P29" s="147"/>
      <c r="Q29" s="147"/>
      <c r="R29" s="516">
        <f t="shared" ref="R29:R37" si="12">SUM(E29:Q29)</f>
        <v>7826858</v>
      </c>
      <c r="S29" s="147">
        <f>C29</f>
        <v>7826858</v>
      </c>
      <c r="T29" s="147"/>
      <c r="U29" s="143"/>
    </row>
    <row r="30" spans="1:21" s="144" customFormat="1">
      <c r="A30" s="145" t="s">
        <v>599</v>
      </c>
      <c r="B30" s="146">
        <f t="shared" si="10"/>
        <v>62996337</v>
      </c>
      <c r="C30" s="147">
        <v>62996337</v>
      </c>
      <c r="D30" s="147"/>
      <c r="E30" s="147">
        <f t="shared" si="11"/>
        <v>2617459</v>
      </c>
      <c r="F30" s="147">
        <f>F108-F45</f>
        <v>25503203</v>
      </c>
      <c r="G30" s="147">
        <f>G108</f>
        <v>34875675</v>
      </c>
      <c r="H30" s="147"/>
      <c r="I30" s="147"/>
      <c r="J30" s="147"/>
      <c r="K30" s="147"/>
      <c r="L30" s="147"/>
      <c r="M30" s="147"/>
      <c r="N30" s="147"/>
      <c r="O30" s="147"/>
      <c r="P30" s="147"/>
      <c r="Q30" s="147"/>
      <c r="R30" s="516">
        <f t="shared" si="12"/>
        <v>62996337</v>
      </c>
      <c r="S30" s="147">
        <f>C30</f>
        <v>62996337</v>
      </c>
      <c r="T30" s="147"/>
      <c r="U30" s="143"/>
    </row>
    <row r="31" spans="1:21" s="144" customFormat="1">
      <c r="A31" s="145" t="s">
        <v>600</v>
      </c>
      <c r="B31" s="146">
        <f t="shared" si="10"/>
        <v>4103251</v>
      </c>
      <c r="C31" s="147">
        <v>4103251</v>
      </c>
      <c r="D31" s="147"/>
      <c r="E31" s="147">
        <f t="shared" si="11"/>
        <v>4103251</v>
      </c>
      <c r="F31" s="147"/>
      <c r="G31" s="147"/>
      <c r="H31" s="147"/>
      <c r="I31" s="147"/>
      <c r="J31" s="147"/>
      <c r="K31" s="147"/>
      <c r="L31" s="147"/>
      <c r="M31" s="147"/>
      <c r="N31" s="147"/>
      <c r="O31" s="147"/>
      <c r="P31" s="147"/>
      <c r="Q31" s="147"/>
      <c r="R31" s="516">
        <f t="shared" si="12"/>
        <v>4103251</v>
      </c>
      <c r="S31" s="147">
        <f>C31</f>
        <v>4103251</v>
      </c>
      <c r="T31" s="147"/>
      <c r="U31" s="143"/>
    </row>
    <row r="32" spans="1:21" s="144" customFormat="1">
      <c r="A32" s="145" t="s">
        <v>137</v>
      </c>
      <c r="B32" s="146">
        <f t="shared" si="10"/>
        <v>1544133</v>
      </c>
      <c r="C32" s="147">
        <v>1544133</v>
      </c>
      <c r="D32" s="147"/>
      <c r="E32" s="147">
        <f t="shared" si="11"/>
        <v>1544133</v>
      </c>
      <c r="F32" s="147"/>
      <c r="G32" s="147"/>
      <c r="H32" s="147"/>
      <c r="I32" s="147"/>
      <c r="J32" s="147"/>
      <c r="K32" s="147"/>
      <c r="L32" s="147"/>
      <c r="M32" s="147"/>
      <c r="N32" s="147"/>
      <c r="O32" s="147"/>
      <c r="P32" s="147"/>
      <c r="Q32" s="147"/>
      <c r="R32" s="516">
        <f t="shared" si="12"/>
        <v>1544133</v>
      </c>
      <c r="S32" s="147">
        <f>C32</f>
        <v>1544133</v>
      </c>
      <c r="T32" s="147"/>
      <c r="U32" s="143"/>
    </row>
    <row r="33" spans="1:21" s="144" customFormat="1">
      <c r="A33" s="145" t="s">
        <v>138</v>
      </c>
      <c r="B33" s="146">
        <f t="shared" si="10"/>
        <v>4931231</v>
      </c>
      <c r="C33" s="147">
        <f>6475364-C32</f>
        <v>4931231</v>
      </c>
      <c r="D33" s="147"/>
      <c r="E33" s="147">
        <f t="shared" si="11"/>
        <v>4931231</v>
      </c>
      <c r="F33" s="147"/>
      <c r="G33" s="147"/>
      <c r="H33" s="147"/>
      <c r="I33" s="147"/>
      <c r="J33" s="147"/>
      <c r="K33" s="147"/>
      <c r="L33" s="147"/>
      <c r="M33" s="147"/>
      <c r="N33" s="147"/>
      <c r="O33" s="147"/>
      <c r="P33" s="147"/>
      <c r="Q33" s="147"/>
      <c r="R33" s="516">
        <f t="shared" si="12"/>
        <v>4931231</v>
      </c>
      <c r="S33" s="147">
        <f>C33</f>
        <v>4931231</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c r="T34" s="147"/>
      <c r="U34" s="143"/>
    </row>
    <row r="35" spans="1:21" s="144" customFormat="1">
      <c r="A35" s="145" t="s">
        <v>140</v>
      </c>
      <c r="B35" s="146">
        <f t="shared" si="10"/>
        <v>1258849</v>
      </c>
      <c r="C35" s="147">
        <v>1258849</v>
      </c>
      <c r="D35" s="147"/>
      <c r="E35" s="147">
        <f t="shared" si="11"/>
        <v>1258849</v>
      </c>
      <c r="F35" s="147"/>
      <c r="G35" s="147"/>
      <c r="H35" s="147"/>
      <c r="I35" s="147"/>
      <c r="J35" s="147"/>
      <c r="K35" s="147"/>
      <c r="L35" s="147"/>
      <c r="M35" s="147"/>
      <c r="N35" s="147"/>
      <c r="O35" s="147"/>
      <c r="P35" s="147"/>
      <c r="Q35" s="147"/>
      <c r="R35" s="516">
        <f t="shared" si="12"/>
        <v>1258849</v>
      </c>
      <c r="S35" s="147">
        <f>C35</f>
        <v>1258849</v>
      </c>
      <c r="T35" s="147"/>
      <c r="U35" s="143"/>
    </row>
    <row r="36" spans="1:21" s="144" customFormat="1">
      <c r="A36" s="283" t="s">
        <v>1629</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c r="T36" s="147"/>
      <c r="U36" s="143"/>
    </row>
    <row r="37" spans="1:21" s="144" customFormat="1">
      <c r="A37" s="1143"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c r="T37" s="147"/>
      <c r="U37" s="143"/>
    </row>
    <row r="38" spans="1:21" s="144" customFormat="1">
      <c r="A38" s="149" t="s">
        <v>143</v>
      </c>
      <c r="B38" s="146">
        <f t="shared" si="10"/>
        <v>82660659</v>
      </c>
      <c r="C38" s="146">
        <f>SUM(C29:C37)</f>
        <v>82660659</v>
      </c>
      <c r="D38" s="146">
        <f t="shared" ref="D38:Q38" si="13">SUM(D29:D37)</f>
        <v>0</v>
      </c>
      <c r="E38" s="146">
        <f t="shared" si="13"/>
        <v>22281781</v>
      </c>
      <c r="F38" s="146">
        <f t="shared" si="13"/>
        <v>25503203</v>
      </c>
      <c r="G38" s="146">
        <f t="shared" si="13"/>
        <v>34875675</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82660659</v>
      </c>
      <c r="S38" s="150">
        <f>SUM(S29:S37)</f>
        <v>82660659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951050</v>
      </c>
      <c r="C40" s="147">
        <v>951050</v>
      </c>
      <c r="D40" s="147"/>
      <c r="E40" s="147">
        <f t="shared" ref="E40:E41" si="14">C40-SUM(F40:Q40)</f>
        <v>951050</v>
      </c>
      <c r="F40" s="147"/>
      <c r="G40" s="147"/>
      <c r="H40" s="147"/>
      <c r="I40" s="147"/>
      <c r="J40" s="147"/>
      <c r="K40" s="147"/>
      <c r="L40" s="147"/>
      <c r="M40" s="147"/>
      <c r="N40" s="147"/>
      <c r="O40" s="147"/>
      <c r="P40" s="147"/>
      <c r="Q40" s="147"/>
      <c r="R40" s="516">
        <f>SUM(E40:Q40)</f>
        <v>951050</v>
      </c>
      <c r="S40" s="147">
        <f>C40</f>
        <v>951050</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951050</v>
      </c>
      <c r="C42" s="146">
        <f>SUM(C39:C41)</f>
        <v>951050</v>
      </c>
      <c r="D42" s="146">
        <f>SUM(D39:D41)</f>
        <v>0</v>
      </c>
      <c r="E42" s="146">
        <f t="shared" ref="E42:T42" si="15">SUM(E40:E41)</f>
        <v>951050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951050</v>
      </c>
      <c r="S42" s="150">
        <f t="shared" si="15"/>
        <v>951050</v>
      </c>
      <c r="T42" s="150">
        <f t="shared" si="15"/>
        <v>0</v>
      </c>
      <c r="U42" s="143"/>
    </row>
    <row r="43" spans="1:21" s="144" customFormat="1">
      <c r="A43" s="149" t="s">
        <v>148</v>
      </c>
      <c r="B43" s="146">
        <f>SUM(C43:D43)</f>
        <v>1153475</v>
      </c>
      <c r="C43" s="147">
        <v>1153475</v>
      </c>
      <c r="D43" s="147"/>
      <c r="E43" s="147">
        <f>C43-SUM(F43:Q43)</f>
        <v>1153475</v>
      </c>
      <c r="F43" s="147"/>
      <c r="G43" s="147"/>
      <c r="H43" s="147"/>
      <c r="I43" s="147"/>
      <c r="J43" s="147"/>
      <c r="K43" s="147"/>
      <c r="L43" s="147"/>
      <c r="M43" s="147"/>
      <c r="N43" s="147"/>
      <c r="O43" s="147"/>
      <c r="P43" s="147"/>
      <c r="Q43" s="147"/>
      <c r="R43" s="516">
        <f>SUM(E43:Q43)</f>
        <v>1153475</v>
      </c>
      <c r="S43" s="147">
        <f>C43</f>
        <v>1153475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13847637</v>
      </c>
      <c r="C45" s="147">
        <f>13847636+1</f>
        <v>13847637</v>
      </c>
      <c r="D45" s="147"/>
      <c r="E45" s="147">
        <f t="shared" ref="E45:E53" si="17">C45-SUM(F45:Q45)</f>
        <v>0</v>
      </c>
      <c r="F45" s="147">
        <f>C45</f>
        <v>13847637</v>
      </c>
      <c r="G45" s="147"/>
      <c r="H45" s="147"/>
      <c r="I45" s="147"/>
      <c r="J45" s="147"/>
      <c r="K45" s="147"/>
      <c r="L45" s="147"/>
      <c r="M45" s="147"/>
      <c r="N45" s="147"/>
      <c r="O45" s="147"/>
      <c r="P45" s="147"/>
      <c r="Q45" s="147"/>
      <c r="R45" s="516">
        <f t="shared" ref="R45:R51" si="18">SUM(E45:Q45)</f>
        <v>13847637</v>
      </c>
      <c r="S45" s="147">
        <f>6640762+1</f>
        <v>6640763</v>
      </c>
      <c r="T45" s="147"/>
      <c r="U45" s="143"/>
    </row>
    <row r="46" spans="1:21" s="144" customFormat="1">
      <c r="A46" s="145" t="s">
        <v>151</v>
      </c>
      <c r="B46" s="146">
        <f t="shared" si="16"/>
        <v>1010418</v>
      </c>
      <c r="C46" s="147">
        <v>1010418</v>
      </c>
      <c r="D46" s="147"/>
      <c r="E46" s="147">
        <f t="shared" si="17"/>
        <v>1010418</v>
      </c>
      <c r="F46" s="147"/>
      <c r="G46" s="147"/>
      <c r="H46" s="147"/>
      <c r="I46" s="147"/>
      <c r="J46" s="147"/>
      <c r="K46" s="147"/>
      <c r="L46" s="147"/>
      <c r="M46" s="147"/>
      <c r="N46" s="147"/>
      <c r="O46" s="147"/>
      <c r="P46" s="147"/>
      <c r="Q46" s="147"/>
      <c r="R46" s="516">
        <f t="shared" si="18"/>
        <v>1010418</v>
      </c>
      <c r="S46" s="147">
        <f>484555</f>
        <v>484555</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6"/>
        <v>163000</v>
      </c>
      <c r="C49" s="147">
        <v>163000</v>
      </c>
      <c r="D49" s="147"/>
      <c r="E49" s="147">
        <f t="shared" si="17"/>
        <v>163000</v>
      </c>
      <c r="F49" s="147"/>
      <c r="G49" s="147"/>
      <c r="H49" s="147"/>
      <c r="I49" s="147"/>
      <c r="J49" s="147"/>
      <c r="K49" s="147"/>
      <c r="L49" s="147"/>
      <c r="M49" s="147"/>
      <c r="N49" s="147"/>
      <c r="O49" s="147"/>
      <c r="P49" s="147"/>
      <c r="Q49" s="147"/>
      <c r="R49" s="516">
        <f t="shared" si="18"/>
        <v>163000</v>
      </c>
      <c r="S49" s="147">
        <f>C49</f>
        <v>163000</v>
      </c>
      <c r="T49" s="147"/>
      <c r="U49" s="143"/>
    </row>
    <row r="50" spans="1:21" s="144" customFormat="1">
      <c r="A50" s="145" t="s">
        <v>156</v>
      </c>
      <c r="B50" s="146">
        <f t="shared" si="16"/>
        <v>25000</v>
      </c>
      <c r="C50" s="147">
        <v>25000</v>
      </c>
      <c r="D50" s="147"/>
      <c r="E50" s="147">
        <f t="shared" si="17"/>
        <v>25000</v>
      </c>
      <c r="F50" s="147"/>
      <c r="G50" s="147"/>
      <c r="H50" s="147"/>
      <c r="I50" s="147"/>
      <c r="J50" s="147"/>
      <c r="K50" s="147"/>
      <c r="L50" s="147"/>
      <c r="M50" s="147"/>
      <c r="N50" s="147"/>
      <c r="O50" s="147"/>
      <c r="P50" s="147"/>
      <c r="Q50" s="147"/>
      <c r="R50" s="516">
        <f t="shared" si="18"/>
        <v>25000</v>
      </c>
      <c r="S50" s="147">
        <f>C50</f>
        <v>25000</v>
      </c>
      <c r="T50" s="147"/>
      <c r="U50" s="143"/>
    </row>
    <row r="51" spans="1:21" s="144" customFormat="1">
      <c r="A51" s="283" t="s">
        <v>154</v>
      </c>
      <c r="B51" s="146">
        <f t="shared" si="16"/>
        <v>97594</v>
      </c>
      <c r="C51" s="147">
        <v>97594</v>
      </c>
      <c r="D51" s="147"/>
      <c r="E51" s="147">
        <f t="shared" si="17"/>
        <v>97594</v>
      </c>
      <c r="F51" s="147"/>
      <c r="G51" s="147"/>
      <c r="H51" s="147"/>
      <c r="I51" s="147"/>
      <c r="J51" s="147"/>
      <c r="K51" s="147"/>
      <c r="L51" s="147"/>
      <c r="M51" s="147"/>
      <c r="N51" s="147"/>
      <c r="O51" s="147"/>
      <c r="P51" s="147"/>
      <c r="Q51" s="147"/>
      <c r="R51" s="516">
        <f t="shared" si="18"/>
        <v>97594</v>
      </c>
      <c r="S51" s="147">
        <f>C51</f>
        <v>97594</v>
      </c>
      <c r="T51" s="147"/>
      <c r="U51" s="143"/>
    </row>
    <row r="52" spans="1:21" s="144" customFormat="1">
      <c r="A52" s="145" t="s">
        <v>155</v>
      </c>
      <c r="B52" s="146">
        <f t="shared" si="16"/>
        <v>0</v>
      </c>
      <c r="C52" s="147"/>
      <c r="D52" s="147"/>
      <c r="E52" s="1266">
        <f t="shared" si="17"/>
        <v>0</v>
      </c>
      <c r="F52" s="147"/>
      <c r="G52" s="147"/>
      <c r="H52" s="147"/>
      <c r="I52" s="147"/>
      <c r="J52" s="147"/>
      <c r="K52" s="147"/>
      <c r="L52" s="147"/>
      <c r="M52" s="147"/>
      <c r="N52" s="147"/>
      <c r="O52" s="147"/>
      <c r="P52" s="147"/>
      <c r="Q52" s="147"/>
      <c r="R52" s="516">
        <f>SUM(E52:Q52)</f>
        <v>0</v>
      </c>
      <c r="S52" s="147">
        <f>C52</f>
        <v>0</v>
      </c>
      <c r="T52" s="147"/>
      <c r="U52" s="143"/>
    </row>
    <row r="53" spans="1:21" s="144" customFormat="1">
      <c r="A53" s="1143" t="s">
        <v>34</v>
      </c>
      <c r="B53" s="146">
        <f t="shared" si="16"/>
        <v>0</v>
      </c>
      <c r="C53" s="147"/>
      <c r="D53" s="147"/>
      <c r="E53" s="1266">
        <f t="shared" si="17"/>
        <v>0</v>
      </c>
      <c r="F53" s="147"/>
      <c r="G53" s="147"/>
      <c r="H53" s="147"/>
      <c r="I53" s="147"/>
      <c r="J53" s="147"/>
      <c r="K53" s="147"/>
      <c r="L53" s="147"/>
      <c r="M53" s="147"/>
      <c r="N53" s="147"/>
      <c r="O53" s="147"/>
      <c r="P53" s="147"/>
      <c r="Q53" s="147"/>
      <c r="R53" s="516">
        <f>SUM(E53:Q53)</f>
        <v>0</v>
      </c>
      <c r="S53" s="147">
        <f>C53</f>
        <v>0</v>
      </c>
      <c r="T53" s="147"/>
      <c r="U53" s="143"/>
    </row>
    <row r="54" spans="1:21" s="153" customFormat="1">
      <c r="A54" s="149" t="s">
        <v>157</v>
      </c>
      <c r="B54" s="150">
        <f>SUM(C54:D54)</f>
        <v>15143649</v>
      </c>
      <c r="C54" s="150">
        <f t="shared" ref="C54:T54" si="19">SUM(C45:C53)</f>
        <v>15143649</v>
      </c>
      <c r="D54" s="150">
        <f t="shared" si="19"/>
        <v>0</v>
      </c>
      <c r="E54" s="150">
        <f>SUM(E45:E53)</f>
        <v>1296012</v>
      </c>
      <c r="F54" s="150">
        <f t="shared" si="19"/>
        <v>13847637</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15143649</v>
      </c>
      <c r="S54" s="150">
        <f t="shared" si="19"/>
        <v>7410912</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98109</v>
      </c>
      <c r="C56" s="147">
        <v>98109</v>
      </c>
      <c r="D56" s="147"/>
      <c r="E56" s="147">
        <f t="shared" ref="E56:E61" si="21">C56-SUM(F56:Q56)</f>
        <v>98109</v>
      </c>
      <c r="F56" s="147"/>
      <c r="G56" s="147"/>
      <c r="H56" s="147"/>
      <c r="I56" s="147"/>
      <c r="J56" s="147"/>
      <c r="K56" s="147"/>
      <c r="L56" s="147"/>
      <c r="M56" s="147"/>
      <c r="N56" s="147"/>
      <c r="O56" s="147"/>
      <c r="P56" s="147"/>
      <c r="Q56" s="147"/>
      <c r="R56" s="516">
        <f t="shared" ref="R56:R61" si="22">SUM(E56:Q56)</f>
        <v>98109</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0</v>
      </c>
      <c r="C58" s="147"/>
      <c r="D58" s="147"/>
      <c r="E58" s="147">
        <f t="shared" si="21"/>
        <v>0</v>
      </c>
      <c r="F58" s="147"/>
      <c r="G58" s="147"/>
      <c r="H58" s="147"/>
      <c r="I58" s="147"/>
      <c r="J58" s="147"/>
      <c r="K58" s="147"/>
      <c r="L58" s="147"/>
      <c r="M58" s="147"/>
      <c r="N58" s="147"/>
      <c r="O58" s="147"/>
      <c r="P58" s="147"/>
      <c r="Q58" s="147"/>
      <c r="R58" s="516">
        <f t="shared" si="22"/>
        <v>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3" t="s">
        <v>34</v>
      </c>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 customHeight="1">
      <c r="A62" s="149" t="s">
        <v>301</v>
      </c>
      <c r="B62" s="146">
        <f>SUM(C62:D62)</f>
        <v>98109</v>
      </c>
      <c r="C62" s="146">
        <f t="shared" ref="C62:R62" si="23">SUM(C56:C61)</f>
        <v>98109</v>
      </c>
      <c r="D62" s="146">
        <f t="shared" si="23"/>
        <v>0</v>
      </c>
      <c r="E62" s="146">
        <f t="shared" si="23"/>
        <v>98109</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98109</v>
      </c>
      <c r="S62" s="148"/>
      <c r="T62" s="148"/>
      <c r="U62" s="143"/>
    </row>
    <row r="63" spans="1:21" s="144" customFormat="1">
      <c r="A63" s="154" t="s">
        <v>302</v>
      </c>
      <c r="B63" s="146">
        <f t="shared" ref="B63:R63" si="24">SUM(B8+B11+B13+B14+B15+B26+B27+B38+B42+B43+B54+B62)</f>
        <v>110480706</v>
      </c>
      <c r="C63" s="146">
        <f t="shared" si="24"/>
        <v>110480706</v>
      </c>
      <c r="D63" s="146">
        <f t="shared" si="24"/>
        <v>0</v>
      </c>
      <c r="E63" s="146">
        <f>SUM(E8+E11+E13+E14+E15+E26+E27+E38+E42+E43+E54+E62)</f>
        <v>36254191</v>
      </c>
      <c r="F63" s="146">
        <f t="shared" si="24"/>
        <v>39350840</v>
      </c>
      <c r="G63" s="146">
        <f t="shared" si="24"/>
        <v>34875675</v>
      </c>
      <c r="H63" s="146">
        <f t="shared" si="24"/>
        <v>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110480706</v>
      </c>
      <c r="S63" s="146">
        <f>SUM(S10+S13+S14+S15+S26+S27+S38+S42+S43+S54)</f>
        <v>94456283</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475000</v>
      </c>
      <c r="C65" s="147">
        <f>225000+150000+100000</f>
        <v>475000</v>
      </c>
      <c r="D65" s="147"/>
      <c r="E65" s="147">
        <f t="shared" ref="E65:E69" si="25">C65-SUM(F65:Q65)</f>
        <v>475000</v>
      </c>
      <c r="F65" s="147"/>
      <c r="G65" s="147"/>
      <c r="H65" s="147"/>
      <c r="I65" s="147"/>
      <c r="J65" s="147"/>
      <c r="K65" s="147"/>
      <c r="L65" s="147"/>
      <c r="M65" s="147"/>
      <c r="N65" s="147"/>
      <c r="O65" s="147"/>
      <c r="P65" s="147"/>
      <c r="Q65" s="147"/>
      <c r="R65" s="516">
        <f>SUM(E65:Q65)</f>
        <v>475000</v>
      </c>
      <c r="S65" s="147">
        <v>375000</v>
      </c>
      <c r="T65" s="147"/>
      <c r="U65" s="143"/>
    </row>
    <row r="66" spans="1:21" s="144" customFormat="1" ht="24" customHeight="1">
      <c r="A66" s="283" t="s">
        <v>1630</v>
      </c>
      <c r="B66" s="146">
        <f>SUM(C66+D66)</f>
        <v>0</v>
      </c>
      <c r="C66" s="147"/>
      <c r="D66" s="147"/>
      <c r="E66" s="147">
        <f t="shared" si="25"/>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f t="shared" si="25"/>
        <v>0</v>
      </c>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475000</v>
      </c>
      <c r="C70" s="146">
        <f>SUM(C65:C69)</f>
        <v>475000</v>
      </c>
      <c r="D70" s="146">
        <f>SUM(D65:D69)</f>
        <v>0</v>
      </c>
      <c r="E70" s="146">
        <f t="shared" ref="E70:T70" si="26">SUM(E65:E69)</f>
        <v>475000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475000</v>
      </c>
      <c r="S70" s="150">
        <f t="shared" si="26"/>
        <v>375000</v>
      </c>
      <c r="T70" s="150">
        <f t="shared" si="26"/>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7">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1187970</v>
      </c>
      <c r="C75" s="147">
        <v>1187970</v>
      </c>
      <c r="D75" s="147"/>
      <c r="E75" s="147">
        <f t="shared" si="27"/>
        <v>587970</v>
      </c>
      <c r="F75" s="147"/>
      <c r="G75" s="147"/>
      <c r="H75" s="147">
        <f>H108</f>
        <v>600000</v>
      </c>
      <c r="I75" s="147"/>
      <c r="J75" s="147"/>
      <c r="K75" s="147"/>
      <c r="L75" s="147"/>
      <c r="M75" s="147"/>
      <c r="N75" s="147"/>
      <c r="O75" s="147"/>
      <c r="P75" s="147"/>
      <c r="Q75" s="147"/>
      <c r="R75" s="516">
        <f>SUM(E75:Q75)</f>
        <v>1187970</v>
      </c>
      <c r="S75" s="148"/>
      <c r="T75" s="148"/>
      <c r="U75" s="143"/>
    </row>
    <row r="76" spans="1:21" s="144" customFormat="1">
      <c r="A76" s="1143"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1187970</v>
      </c>
      <c r="C77" s="146">
        <f>SUM(C72:C76)</f>
        <v>1187970</v>
      </c>
      <c r="D77" s="146">
        <f>SUM(D72:D76)</f>
        <v>0</v>
      </c>
      <c r="E77" s="146">
        <f t="shared" ref="E77:Q77" si="28">SUM(E72:E76)</f>
        <v>587970</v>
      </c>
      <c r="F77" s="146">
        <f t="shared" si="28"/>
        <v>0</v>
      </c>
      <c r="G77" s="146">
        <f t="shared" si="28"/>
        <v>0</v>
      </c>
      <c r="H77" s="146">
        <f t="shared" si="28"/>
        <v>600000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1187970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4196164</v>
      </c>
      <c r="C79" s="147">
        <v>4196164</v>
      </c>
      <c r="D79" s="147"/>
      <c r="E79" s="147">
        <f t="shared" ref="E79" si="29">C79-SUM(F79:Q79)</f>
        <v>4196164</v>
      </c>
      <c r="F79" s="147"/>
      <c r="G79" s="147"/>
      <c r="H79" s="147"/>
      <c r="I79" s="147"/>
      <c r="J79" s="147"/>
      <c r="K79" s="147"/>
      <c r="L79" s="147"/>
      <c r="M79" s="147"/>
      <c r="N79" s="147"/>
      <c r="O79" s="147"/>
      <c r="P79" s="147"/>
      <c r="Q79" s="147"/>
      <c r="R79" s="516">
        <f>SUM(E79:Q79)</f>
        <v>4196164</v>
      </c>
      <c r="S79" s="147">
        <f>C79</f>
        <v>4196164</v>
      </c>
      <c r="T79" s="147"/>
      <c r="U79" s="143"/>
    </row>
    <row r="80" spans="1:21" s="144" customFormat="1">
      <c r="A80" s="283" t="s">
        <v>58</v>
      </c>
      <c r="B80" s="146">
        <f>SUM(C80:D80)</f>
        <v>439997</v>
      </c>
      <c r="C80" s="147">
        <v>439997</v>
      </c>
      <c r="D80" s="147"/>
      <c r="E80" s="147">
        <f t="shared" ref="E80" si="30">C80-SUM(F80:Q80)</f>
        <v>439997</v>
      </c>
      <c r="F80" s="147"/>
      <c r="G80" s="147"/>
      <c r="H80" s="147"/>
      <c r="I80" s="147"/>
      <c r="J80" s="147"/>
      <c r="K80" s="147"/>
      <c r="L80" s="147"/>
      <c r="M80" s="147"/>
      <c r="N80" s="147"/>
      <c r="O80" s="147"/>
      <c r="P80" s="147"/>
      <c r="Q80" s="147"/>
      <c r="R80" s="516">
        <f>SUM(E80:Q80)</f>
        <v>439997</v>
      </c>
      <c r="S80" s="147">
        <v>415881</v>
      </c>
      <c r="T80" s="147"/>
      <c r="U80" s="143"/>
    </row>
    <row r="81" spans="1:21" s="144" customFormat="1">
      <c r="A81" s="149" t="s">
        <v>1209</v>
      </c>
      <c r="B81" s="146">
        <f>SUM(C81:D81)</f>
        <v>4636161</v>
      </c>
      <c r="C81" s="509">
        <f>SUM(C79:C80)</f>
        <v>4636161</v>
      </c>
      <c r="D81" s="509">
        <f t="shared" ref="D81:T81" si="31">SUM(D79:D80)</f>
        <v>0</v>
      </c>
      <c r="E81" s="509">
        <f t="shared" si="31"/>
        <v>4636161</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4636161</v>
      </c>
      <c r="S81" s="509">
        <f t="shared" si="31"/>
        <v>4612045</v>
      </c>
      <c r="T81" s="509">
        <f t="shared" si="3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32">SUM(C83+D83)</f>
        <v>420833</v>
      </c>
      <c r="C83" s="147">
        <f>1500+64673+240800+100000+1200+12659+1</f>
        <v>420833</v>
      </c>
      <c r="D83" s="147"/>
      <c r="E83" s="147">
        <f t="shared" ref="E83:E95" si="33">C83-SUM(F83:Q83)</f>
        <v>420833</v>
      </c>
      <c r="F83" s="147"/>
      <c r="G83" s="147"/>
      <c r="H83" s="147"/>
      <c r="I83" s="147"/>
      <c r="J83" s="147"/>
      <c r="K83" s="147"/>
      <c r="L83" s="147"/>
      <c r="M83" s="147"/>
      <c r="N83" s="147"/>
      <c r="O83" s="147"/>
      <c r="P83" s="147"/>
      <c r="Q83" s="147"/>
      <c r="R83" s="516">
        <f t="shared" ref="R83:R95" si="34">SUM(E83:Q83)</f>
        <v>420833</v>
      </c>
      <c r="S83" s="148"/>
      <c r="T83" s="148"/>
      <c r="U83" s="143"/>
    </row>
    <row r="84" spans="1:21" s="144" customFormat="1">
      <c r="A84" s="145" t="s">
        <v>767</v>
      </c>
      <c r="B84" s="146">
        <f t="shared" si="32"/>
        <v>1345320</v>
      </c>
      <c r="C84" s="147">
        <v>1345320</v>
      </c>
      <c r="D84" s="147"/>
      <c r="E84" s="147">
        <f t="shared" si="33"/>
        <v>1345320</v>
      </c>
      <c r="F84" s="147"/>
      <c r="G84" s="147"/>
      <c r="H84" s="147"/>
      <c r="I84" s="147"/>
      <c r="J84" s="147"/>
      <c r="K84" s="147"/>
      <c r="L84" s="147"/>
      <c r="M84" s="147"/>
      <c r="N84" s="147"/>
      <c r="O84" s="147"/>
      <c r="P84" s="147"/>
      <c r="Q84" s="147"/>
      <c r="R84" s="516">
        <f t="shared" si="34"/>
        <v>1345320</v>
      </c>
      <c r="S84" s="147">
        <f>C84</f>
        <v>1345320</v>
      </c>
      <c r="T84" s="147"/>
      <c r="U84" s="143"/>
    </row>
    <row r="85" spans="1:21" s="144" customFormat="1">
      <c r="A85" s="145" t="s">
        <v>768</v>
      </c>
      <c r="B85" s="146">
        <f t="shared" si="32"/>
        <v>0</v>
      </c>
      <c r="C85" s="147"/>
      <c r="D85" s="147"/>
      <c r="E85" s="147">
        <f t="shared" si="33"/>
        <v>0</v>
      </c>
      <c r="F85" s="147"/>
      <c r="G85" s="147"/>
      <c r="H85" s="147"/>
      <c r="I85" s="147"/>
      <c r="J85" s="147"/>
      <c r="K85" s="147"/>
      <c r="L85" s="147"/>
      <c r="M85" s="147"/>
      <c r="N85" s="147"/>
      <c r="O85" s="147"/>
      <c r="P85" s="147"/>
      <c r="Q85" s="147"/>
      <c r="R85" s="516">
        <f t="shared" si="34"/>
        <v>0</v>
      </c>
      <c r="S85" s="147"/>
      <c r="T85" s="147"/>
      <c r="U85" s="143"/>
    </row>
    <row r="86" spans="1:21" s="144" customFormat="1">
      <c r="A86" s="145" t="s">
        <v>769</v>
      </c>
      <c r="B86" s="146">
        <f t="shared" si="32"/>
        <v>7145258</v>
      </c>
      <c r="C86" s="147">
        <v>7145258</v>
      </c>
      <c r="D86" s="147"/>
      <c r="E86" s="147">
        <f t="shared" si="33"/>
        <v>7145258</v>
      </c>
      <c r="F86" s="147"/>
      <c r="G86" s="147"/>
      <c r="H86" s="147"/>
      <c r="I86" s="147"/>
      <c r="J86" s="147"/>
      <c r="K86" s="147"/>
      <c r="L86" s="147"/>
      <c r="M86" s="147"/>
      <c r="N86" s="147"/>
      <c r="O86" s="147"/>
      <c r="P86" s="147"/>
      <c r="Q86" s="147"/>
      <c r="R86" s="516">
        <f t="shared" si="34"/>
        <v>7145258</v>
      </c>
      <c r="S86" s="147">
        <f>C86</f>
        <v>7145258</v>
      </c>
      <c r="T86" s="147"/>
      <c r="U86" s="143"/>
    </row>
    <row r="87" spans="1:21" s="144" customFormat="1">
      <c r="A87" s="145" t="s">
        <v>770</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c r="A88" s="145" t="s">
        <v>771</v>
      </c>
      <c r="B88" s="146">
        <f t="shared" si="32"/>
        <v>579600</v>
      </c>
      <c r="C88" s="147">
        <f>579600</f>
        <v>579600</v>
      </c>
      <c r="D88" s="147"/>
      <c r="E88" s="147">
        <f t="shared" si="33"/>
        <v>579600</v>
      </c>
      <c r="F88" s="147"/>
      <c r="G88" s="147"/>
      <c r="H88" s="147"/>
      <c r="I88" s="147"/>
      <c r="J88" s="147"/>
      <c r="K88" s="147"/>
      <c r="L88" s="147"/>
      <c r="M88" s="147"/>
      <c r="N88" s="147"/>
      <c r="O88" s="147"/>
      <c r="P88" s="147"/>
      <c r="Q88" s="147"/>
      <c r="R88" s="516">
        <f t="shared" si="34"/>
        <v>579600</v>
      </c>
      <c r="S88" s="148"/>
      <c r="T88" s="148"/>
      <c r="U88" s="143"/>
    </row>
    <row r="89" spans="1:21" s="144" customFormat="1">
      <c r="A89" s="145" t="s">
        <v>772</v>
      </c>
      <c r="B89" s="146">
        <f t="shared" si="32"/>
        <v>155564</v>
      </c>
      <c r="C89" s="147">
        <v>155564</v>
      </c>
      <c r="D89" s="147"/>
      <c r="E89" s="147">
        <f t="shared" si="33"/>
        <v>155564</v>
      </c>
      <c r="F89" s="147"/>
      <c r="G89" s="147"/>
      <c r="H89" s="147"/>
      <c r="I89" s="147"/>
      <c r="J89" s="147"/>
      <c r="K89" s="147"/>
      <c r="L89" s="147"/>
      <c r="M89" s="147"/>
      <c r="N89" s="147"/>
      <c r="O89" s="147"/>
      <c r="P89" s="147"/>
      <c r="Q89" s="147"/>
      <c r="R89" s="516">
        <f t="shared" si="34"/>
        <v>155564</v>
      </c>
      <c r="S89" s="147">
        <f>C89</f>
        <v>155564</v>
      </c>
      <c r="T89" s="147"/>
      <c r="U89" s="143"/>
    </row>
    <row r="90" spans="1:21" s="144" customFormat="1">
      <c r="A90" s="145" t="s">
        <v>773</v>
      </c>
      <c r="B90" s="146">
        <f t="shared" si="32"/>
        <v>15000</v>
      </c>
      <c r="C90" s="147">
        <v>15000</v>
      </c>
      <c r="D90" s="147"/>
      <c r="E90" s="147">
        <f t="shared" si="33"/>
        <v>15000</v>
      </c>
      <c r="F90" s="147"/>
      <c r="G90" s="147"/>
      <c r="H90" s="147"/>
      <c r="I90" s="147"/>
      <c r="J90" s="147"/>
      <c r="K90" s="147"/>
      <c r="L90" s="147"/>
      <c r="M90" s="147"/>
      <c r="N90" s="147"/>
      <c r="O90" s="147"/>
      <c r="P90" s="147"/>
      <c r="Q90" s="147"/>
      <c r="R90" s="516">
        <f t="shared" si="34"/>
        <v>15000</v>
      </c>
      <c r="S90" s="147">
        <f>C90</f>
        <v>15000</v>
      </c>
      <c r="T90" s="147"/>
      <c r="U90" s="143"/>
    </row>
    <row r="91" spans="1:21" s="144" customFormat="1">
      <c r="A91" s="145" t="s">
        <v>372</v>
      </c>
      <c r="B91" s="146">
        <f t="shared" si="32"/>
        <v>45000</v>
      </c>
      <c r="C91" s="147">
        <v>45000</v>
      </c>
      <c r="D91" s="147"/>
      <c r="E91" s="147">
        <f t="shared" si="33"/>
        <v>45000</v>
      </c>
      <c r="F91" s="147"/>
      <c r="G91" s="147"/>
      <c r="H91" s="147"/>
      <c r="I91" s="147"/>
      <c r="J91" s="147"/>
      <c r="K91" s="147"/>
      <c r="L91" s="147"/>
      <c r="M91" s="147"/>
      <c r="N91" s="147"/>
      <c r="O91" s="147"/>
      <c r="P91" s="147"/>
      <c r="Q91" s="147"/>
      <c r="R91" s="516">
        <f t="shared" si="34"/>
        <v>45000</v>
      </c>
      <c r="S91" s="147">
        <f>C91</f>
        <v>45000</v>
      </c>
      <c r="T91" s="147"/>
      <c r="U91" s="143"/>
    </row>
    <row r="92" spans="1:21" s="144" customFormat="1">
      <c r="A92" s="283" t="s">
        <v>1211</v>
      </c>
      <c r="B92" s="146">
        <f t="shared" si="32"/>
        <v>0</v>
      </c>
      <c r="C92" s="147"/>
      <c r="D92" s="147"/>
      <c r="E92" s="147">
        <f t="shared" si="33"/>
        <v>0</v>
      </c>
      <c r="F92" s="147"/>
      <c r="G92" s="147"/>
      <c r="H92" s="147"/>
      <c r="I92" s="147"/>
      <c r="J92" s="147"/>
      <c r="K92" s="147"/>
      <c r="L92" s="147"/>
      <c r="M92" s="147"/>
      <c r="N92" s="147"/>
      <c r="O92" s="147"/>
      <c r="P92" s="147"/>
      <c r="Q92" s="147"/>
      <c r="R92" s="516">
        <f t="shared" si="34"/>
        <v>0</v>
      </c>
      <c r="S92" s="147"/>
      <c r="T92" s="147"/>
      <c r="U92" s="143"/>
    </row>
    <row r="93" spans="1:21" s="144" customFormat="1">
      <c r="A93" s="1143" t="s">
        <v>34</v>
      </c>
      <c r="B93" s="146">
        <f t="shared" si="32"/>
        <v>0</v>
      </c>
      <c r="C93" s="147"/>
      <c r="D93" s="147"/>
      <c r="E93" s="147">
        <f t="shared" si="33"/>
        <v>0</v>
      </c>
      <c r="F93" s="147"/>
      <c r="G93" s="147"/>
      <c r="H93" s="147"/>
      <c r="I93" s="147"/>
      <c r="J93" s="147"/>
      <c r="K93" s="147"/>
      <c r="L93" s="147"/>
      <c r="M93" s="147"/>
      <c r="N93" s="147"/>
      <c r="O93" s="147"/>
      <c r="P93" s="147"/>
      <c r="Q93" s="147"/>
      <c r="R93" s="516">
        <f t="shared" si="34"/>
        <v>0</v>
      </c>
      <c r="S93" s="147"/>
      <c r="T93" s="147"/>
      <c r="U93" s="143"/>
    </row>
    <row r="94" spans="1:21" s="144" customFormat="1">
      <c r="A94" s="1143"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c r="A95" s="1143"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c r="A96" s="149" t="s">
        <v>774</v>
      </c>
      <c r="B96" s="146">
        <f>SUM(C96:D96)</f>
        <v>9706575</v>
      </c>
      <c r="C96" s="146">
        <f t="shared" ref="C96:R96" si="35">SUM(C83:C95)</f>
        <v>9706575</v>
      </c>
      <c r="D96" s="146">
        <f t="shared" si="35"/>
        <v>0</v>
      </c>
      <c r="E96" s="146">
        <f t="shared" si="35"/>
        <v>9706575</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9706575</v>
      </c>
      <c r="S96" s="150">
        <f>SUM(S84:S87,S89:S95)</f>
        <v>8706142</v>
      </c>
      <c r="T96" s="146">
        <f>SUM(T84:T87,T89:T95)</f>
        <v>0</v>
      </c>
      <c r="U96" s="143"/>
    </row>
    <row r="97" spans="1:21" s="144" customFormat="1">
      <c r="A97" s="149" t="s">
        <v>775</v>
      </c>
      <c r="B97" s="146">
        <f>SUM(C97:D97)</f>
        <v>126486412</v>
      </c>
      <c r="C97" s="146">
        <f t="shared" ref="C97:R97" si="36">SUM(C63+C70+C77+C81+C96)</f>
        <v>126486412</v>
      </c>
      <c r="D97" s="146">
        <f t="shared" si="36"/>
        <v>0</v>
      </c>
      <c r="E97" s="146">
        <f t="shared" si="36"/>
        <v>51659897</v>
      </c>
      <c r="F97" s="146">
        <f t="shared" si="36"/>
        <v>39350840</v>
      </c>
      <c r="G97" s="146">
        <f t="shared" si="36"/>
        <v>34875675</v>
      </c>
      <c r="H97" s="146">
        <f t="shared" si="36"/>
        <v>600000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126486412</v>
      </c>
      <c r="S97" s="146">
        <f>SUM(S63+S70+S81+S96)</f>
        <v>108149470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16222420</v>
      </c>
      <c r="C99" s="974">
        <v>16222420</v>
      </c>
      <c r="D99" s="974"/>
      <c r="E99" s="974">
        <f t="shared" ref="E99:E103" si="37">C99-SUM(F99:Q99)</f>
        <v>2660310</v>
      </c>
      <c r="F99" s="147"/>
      <c r="G99" s="147"/>
      <c r="H99" s="147"/>
      <c r="I99" s="147">
        <f>I108</f>
        <v>13562110</v>
      </c>
      <c r="J99" s="147"/>
      <c r="K99" s="147"/>
      <c r="L99" s="147"/>
      <c r="M99" s="147"/>
      <c r="N99" s="147"/>
      <c r="O99" s="147"/>
      <c r="P99" s="147"/>
      <c r="Q99" s="147"/>
      <c r="R99" s="516">
        <f>SUM(E99:Q99)</f>
        <v>16222420</v>
      </c>
      <c r="S99" s="147">
        <f>C99</f>
        <v>16222420</v>
      </c>
      <c r="T99" s="147"/>
      <c r="U99" s="143"/>
    </row>
    <row r="100" spans="1:21" s="144" customFormat="1">
      <c r="A100" s="283" t="s">
        <v>1635</v>
      </c>
      <c r="B100" s="146">
        <f>SUM(C100+D100)</f>
        <v>0</v>
      </c>
      <c r="C100" s="147"/>
      <c r="D100" s="147"/>
      <c r="E100" s="147">
        <f t="shared" si="37"/>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7"/>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f t="shared" si="37"/>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f t="shared" si="37"/>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16222420</v>
      </c>
      <c r="C104" s="146">
        <f>SUM(C99:C103)</f>
        <v>16222420</v>
      </c>
      <c r="D104" s="146">
        <f t="shared" ref="D104:S104" si="38">SUM(D99:D103)</f>
        <v>0</v>
      </c>
      <c r="E104" s="146">
        <f t="shared" si="38"/>
        <v>2660310</v>
      </c>
      <c r="F104" s="146">
        <f t="shared" si="38"/>
        <v>0</v>
      </c>
      <c r="G104" s="146">
        <f t="shared" si="38"/>
        <v>0</v>
      </c>
      <c r="H104" s="146">
        <f t="shared" si="38"/>
        <v>0</v>
      </c>
      <c r="I104" s="146">
        <f t="shared" si="38"/>
        <v>13562110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16222420</v>
      </c>
      <c r="S104" s="150">
        <f t="shared" si="38"/>
        <v>16222420</v>
      </c>
      <c r="T104" s="150">
        <f>SUM(T99:T103)</f>
        <v>0</v>
      </c>
      <c r="U104" s="143"/>
    </row>
    <row r="105" spans="1:21" s="144" customFormat="1">
      <c r="A105" s="149" t="s">
        <v>780</v>
      </c>
      <c r="B105" s="150">
        <f>SUM(C105:D105)</f>
        <v>142708832</v>
      </c>
      <c r="C105" s="150">
        <f t="shared" ref="C105:R105" si="39">SUM(C97+C104)</f>
        <v>142708832</v>
      </c>
      <c r="D105" s="150">
        <f t="shared" si="39"/>
        <v>0</v>
      </c>
      <c r="E105" s="150">
        <f t="shared" si="39"/>
        <v>54320207</v>
      </c>
      <c r="F105" s="150">
        <f t="shared" si="39"/>
        <v>39350840</v>
      </c>
      <c r="G105" s="150">
        <f t="shared" si="39"/>
        <v>34875675</v>
      </c>
      <c r="H105" s="150">
        <f t="shared" si="39"/>
        <v>600000</v>
      </c>
      <c r="I105" s="150">
        <f t="shared" si="39"/>
        <v>13562110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142708832</v>
      </c>
      <c r="S105" s="150">
        <f>S97+S104</f>
        <v>124371890</v>
      </c>
      <c r="T105" s="150">
        <f>T97+T104</f>
        <v>0</v>
      </c>
      <c r="U105" s="143"/>
    </row>
    <row r="106" spans="1:21">
      <c r="A106" s="514" t="s">
        <v>1020</v>
      </c>
      <c r="B106" s="157"/>
      <c r="C106" s="157"/>
      <c r="D106" s="157"/>
      <c r="H106" s="159" t="s">
        <v>92</v>
      </c>
      <c r="I106" s="159"/>
      <c r="J106" s="159"/>
      <c r="R106" s="160" t="s">
        <v>93</v>
      </c>
      <c r="S106" s="147"/>
      <c r="T106" s="1267"/>
    </row>
    <row r="107" spans="1:21">
      <c r="A107" s="157" t="s">
        <v>184</v>
      </c>
      <c r="C107" s="157"/>
      <c r="D107" s="157"/>
      <c r="I107" s="162" t="s">
        <v>350</v>
      </c>
      <c r="J107" s="162"/>
      <c r="R107" s="160" t="s">
        <v>94</v>
      </c>
      <c r="S107" s="150">
        <f>S105+S106</f>
        <v>124371890</v>
      </c>
      <c r="T107" s="150">
        <f>T105+T103</f>
        <v>0</v>
      </c>
    </row>
    <row r="108" spans="1:21" s="189" customFormat="1">
      <c r="A108" s="162" t="s">
        <v>879</v>
      </c>
      <c r="B108" s="157"/>
      <c r="C108" s="157"/>
      <c r="D108" s="157"/>
      <c r="E108" s="301">
        <f>Application!AO648</f>
        <v>54320207</v>
      </c>
      <c r="F108" s="301">
        <f>Application!AO635</f>
        <v>39350840</v>
      </c>
      <c r="G108" s="301">
        <f>Application!AO636</f>
        <v>34875675</v>
      </c>
      <c r="H108" s="301">
        <f>Application!AO637</f>
        <v>600000</v>
      </c>
      <c r="I108" s="301">
        <f>Application!AO638</f>
        <v>13562110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7" t="s">
        <v>990</v>
      </c>
      <c r="E122" s="1877"/>
      <c r="F122" s="187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9" t="s">
        <v>1224</v>
      </c>
      <c r="E123" s="1795"/>
      <c r="F123" s="1795"/>
      <c r="G123" s="1795"/>
      <c r="H123" s="1795"/>
      <c r="I123" s="1795"/>
      <c r="J123" s="1795"/>
      <c r="K123" s="1795"/>
      <c r="L123" s="1795"/>
      <c r="M123" s="1795"/>
      <c r="N123" s="1795"/>
      <c r="O123" s="1795"/>
      <c r="P123" s="1795"/>
      <c r="Q123" s="1795"/>
      <c r="R123" s="1795"/>
      <c r="S123" s="1795"/>
      <c r="T123" s="324"/>
      <c r="U123" s="326"/>
    </row>
    <row r="124" spans="1:21" ht="12.75">
      <c r="A124" s="117" t="s">
        <v>992</v>
      </c>
      <c r="B124" s="333"/>
      <c r="C124" s="117"/>
      <c r="D124" s="1795"/>
      <c r="E124" s="1795"/>
      <c r="F124" s="1795"/>
      <c r="G124" s="1795"/>
      <c r="H124" s="1795"/>
      <c r="I124" s="1795"/>
      <c r="J124" s="1795"/>
      <c r="K124" s="1795"/>
      <c r="L124" s="1795"/>
      <c r="M124" s="1795"/>
      <c r="N124" s="1795"/>
      <c r="O124" s="1795"/>
      <c r="P124" s="1795"/>
      <c r="Q124" s="1795"/>
      <c r="R124" s="1795"/>
      <c r="S124" s="1795"/>
      <c r="T124" s="324"/>
      <c r="U124" s="326"/>
    </row>
    <row r="125" spans="1:21" ht="12.75">
      <c r="A125" s="117" t="s">
        <v>993</v>
      </c>
      <c r="B125" s="333"/>
      <c r="C125" s="117"/>
      <c r="D125" s="1795"/>
      <c r="E125" s="1795"/>
      <c r="F125" s="1795"/>
      <c r="G125" s="1795"/>
      <c r="H125" s="1795"/>
      <c r="I125" s="1795"/>
      <c r="J125" s="1795"/>
      <c r="K125" s="1795"/>
      <c r="L125" s="1795"/>
      <c r="M125" s="1795"/>
      <c r="N125" s="1795"/>
      <c r="O125" s="1795"/>
      <c r="P125" s="1795"/>
      <c r="Q125" s="1795"/>
      <c r="R125" s="1795"/>
      <c r="S125" s="1795"/>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4"/>
      <c r="E128" s="1874"/>
      <c r="F128" s="1874"/>
      <c r="G128" s="1874"/>
      <c r="H128" s="1874"/>
      <c r="I128" s="117"/>
      <c r="J128" s="1875"/>
      <c r="K128" s="1875"/>
      <c r="L128" s="117"/>
      <c r="M128" s="117"/>
      <c r="N128" s="117"/>
      <c r="O128" s="117"/>
      <c r="P128" s="117"/>
      <c r="Q128" s="117"/>
      <c r="R128" s="117"/>
      <c r="S128" s="117"/>
      <c r="T128" s="324"/>
      <c r="U128" s="326"/>
    </row>
    <row r="129" spans="1:21" ht="12.75">
      <c r="A129" s="117" t="s">
        <v>300</v>
      </c>
      <c r="B129" s="333"/>
      <c r="C129" s="117"/>
      <c r="D129" s="1876" t="s">
        <v>997</v>
      </c>
      <c r="E129" s="1876"/>
      <c r="F129" s="1876"/>
      <c r="G129" s="1876"/>
      <c r="H129" s="187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80" t="s">
        <v>1000</v>
      </c>
      <c r="E132" s="1880"/>
      <c r="F132" s="1880"/>
      <c r="G132" s="1880"/>
      <c r="H132" s="1880"/>
      <c r="I132" s="117"/>
      <c r="J132" s="1880" t="s">
        <v>1001</v>
      </c>
      <c r="K132" s="1880"/>
      <c r="L132" s="1880"/>
      <c r="M132" s="188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1"/>
      <c r="B138" s="1874"/>
      <c r="C138" s="1874"/>
      <c r="D138" s="328"/>
      <c r="E138" s="1875"/>
      <c r="F138" s="1875"/>
      <c r="G138" s="117"/>
      <c r="H138" s="117"/>
      <c r="I138" s="117"/>
      <c r="J138" s="117"/>
      <c r="K138" s="117"/>
      <c r="L138" s="117"/>
      <c r="M138" s="117"/>
      <c r="N138" s="117"/>
      <c r="O138" s="117"/>
      <c r="P138" s="117"/>
      <c r="Q138" s="117"/>
      <c r="R138" s="117"/>
      <c r="S138" s="117"/>
      <c r="T138" s="330"/>
      <c r="U138" s="331"/>
    </row>
    <row r="139" spans="1:21" ht="12.75">
      <c r="A139" s="1878" t="s">
        <v>1004</v>
      </c>
      <c r="B139" s="1878"/>
      <c r="C139" s="187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F33">
    <cfRule type="expression" dxfId="55" priority="273" stopIfTrue="1">
      <formula>(S103+F33)&gt;C103</formula>
    </cfRule>
  </conditionalFormatting>
  <conditionalFormatting sqref="R4:R15">
    <cfRule type="cellIs" dxfId="5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6" priority="213" stopIfTrue="1" operator="notEqual">
      <formula>$B79</formula>
    </cfRule>
  </conditionalFormatting>
  <conditionalFormatting sqref="R83:R96">
    <cfRule type="cellIs" dxfId="4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4" priority="210" stopIfTrue="1" operator="notEqual">
      <formula>$B99</formula>
    </cfRule>
  </conditionalFormatting>
  <conditionalFormatting sqref="R104:R105">
    <cfRule type="cellIs" priority="211" stopIfTrue="1" operator="notEqual">
      <formula>$B104</formula>
    </cfRule>
  </conditionalFormatting>
  <conditionalFormatting sqref="S10 S29:S37 S45:S53 S99:S102">
    <cfRule type="expression" dxfId="43" priority="253" stopIfTrue="1">
      <formula>(S10+T10)&gt;C10</formula>
    </cfRule>
  </conditionalFormatting>
  <conditionalFormatting sqref="S13:S14">
    <cfRule type="expression" dxfId="42" priority="202" stopIfTrue="1">
      <formula>(S13+T13)&gt;C13</formula>
    </cfRule>
  </conditionalFormatting>
  <conditionalFormatting sqref="S17:S25">
    <cfRule type="expression" dxfId="41" priority="186" stopIfTrue="1">
      <formula>(S17+T17)&gt;C17</formula>
    </cfRule>
  </conditionalFormatting>
  <conditionalFormatting sqref="S27">
    <cfRule type="expression" dxfId="40" priority="179" stopIfTrue="1">
      <formula>(S27+T27)&gt;C27</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65:S69">
    <cfRule type="expression" dxfId="37" priority="131" stopIfTrue="1">
      <formula>(S65+T65)&gt;C65</formula>
    </cfRule>
  </conditionalFormatting>
  <conditionalFormatting sqref="S79:S80">
    <cfRule type="expression" dxfId="36" priority="127" stopIfTrue="1">
      <formula>(S79+T79)&gt;C79</formula>
    </cfRule>
  </conditionalFormatting>
  <conditionalFormatting sqref="S84:S87">
    <cfRule type="expression" dxfId="35" priority="121" stopIfTrue="1">
      <formula>(S84+T84)&gt;C84</formula>
    </cfRule>
  </conditionalFormatting>
  <conditionalFormatting sqref="S89:S95">
    <cfRule type="expression" dxfId="34" priority="110" stopIfTrue="1">
      <formula>(S89+T89)&gt;C89</formula>
    </cfRule>
  </conditionalFormatting>
  <conditionalFormatting sqref="S103">
    <cfRule type="expression" dxfId="33" priority="270" stopIfTrue="1">
      <formula>(S103+F33)&gt;C103</formula>
    </cfRule>
  </conditionalFormatting>
  <conditionalFormatting sqref="T9">
    <cfRule type="expression" dxfId="32" priority="254" stopIfTrue="1">
      <formula>T9&gt;C9</formula>
    </cfRule>
  </conditionalFormatting>
  <conditionalFormatting sqref="T10 T29:T37 T45:T53 T99:T102">
    <cfRule type="expression" dxfId="31" priority="83" stopIfTrue="1">
      <formula>(S10+T10)&gt;C10</formula>
    </cfRule>
  </conditionalFormatting>
  <conditionalFormatting sqref="T13:T14">
    <cfRule type="expression" dxfId="30" priority="80" stopIfTrue="1">
      <formula>(S13+T13)&gt;C13</formula>
    </cfRule>
  </conditionalFormatting>
  <conditionalFormatting sqref="T17:T25">
    <cfRule type="expression" dxfId="29" priority="56" stopIfTrue="1">
      <formula>(S17+T17)&gt;C17</formula>
    </cfRule>
  </conditionalFormatting>
  <conditionalFormatting sqref="T27">
    <cfRule type="expression" dxfId="28" priority="54" stopIfTrue="1">
      <formula>(S27+T27)&gt;C27</formula>
    </cfRule>
  </conditionalFormatting>
  <conditionalFormatting sqref="T40:T41">
    <cfRule type="expression" dxfId="27" priority="43" stopIfTrue="1">
      <formula>(S40+T40)&gt;C40</formula>
    </cfRule>
  </conditionalFormatting>
  <conditionalFormatting sqref="T43">
    <cfRule type="expression" dxfId="26" priority="42" stopIfTrue="1">
      <formula>(S43+T43)&gt;C43</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E53 B52:D53 F52:XFD53 B1:XFD51 B54:XFD103 A104:XFD105 A107:XFD1048576 A106:S106 U106:XFD10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90" zoomScaleNormal="9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4" t="s">
        <v>1227</v>
      </c>
      <c r="B1" s="1885"/>
      <c r="C1" s="1885"/>
      <c r="D1" s="1885"/>
      <c r="E1" s="1885"/>
      <c r="F1" s="1885"/>
      <c r="G1" s="1885"/>
      <c r="H1" s="1885"/>
      <c r="I1" s="1885"/>
      <c r="J1" s="188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7622500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7622500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2280187</v>
      </c>
      <c r="C10" s="362"/>
      <c r="D10" s="362"/>
      <c r="E10" s="361">
        <f>'Sources and Uses Budget'!S10</f>
        <v>2280187</v>
      </c>
      <c r="F10" s="362"/>
      <c r="G10" s="362"/>
      <c r="H10" s="361">
        <f>'Sources and Uses Budget'!T10</f>
        <v>0</v>
      </c>
      <c r="I10" s="362"/>
      <c r="J10" s="362"/>
      <c r="K10" s="359"/>
    </row>
    <row r="11" spans="1:11" s="360" customFormat="1">
      <c r="A11" s="365" t="s">
        <v>596</v>
      </c>
      <c r="B11" s="361">
        <f>'Sources and Uses Budget'!C11</f>
        <v>2280187</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9902687</v>
      </c>
      <c r="C12" s="361">
        <f>SUM(C8+C11)</f>
        <v>0</v>
      </c>
      <c r="D12" s="361">
        <f>SUM(D8+D11)</f>
        <v>0</v>
      </c>
      <c r="E12" s="363"/>
      <c r="F12" s="363"/>
      <c r="G12" s="363"/>
      <c r="H12" s="363"/>
      <c r="I12" s="363"/>
      <c r="J12" s="363"/>
      <c r="K12" s="359"/>
    </row>
    <row r="13" spans="1:11" s="360" customFormat="1">
      <c r="A13" s="366" t="s">
        <v>902</v>
      </c>
      <c r="B13" s="361">
        <f>'Sources and Uses Budget'!C13</f>
        <v>571077</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7826858</v>
      </c>
      <c r="C29" s="362"/>
      <c r="D29" s="362"/>
      <c r="E29" s="361">
        <f>'Sources and Uses Budget'!S29</f>
        <v>7826858</v>
      </c>
      <c r="F29" s="362"/>
      <c r="G29" s="362"/>
      <c r="H29" s="361">
        <f>'Sources and Uses Budget'!T29</f>
        <v>0</v>
      </c>
      <c r="I29" s="362"/>
      <c r="J29" s="362"/>
      <c r="K29" s="359"/>
    </row>
    <row r="30" spans="1:11" s="360" customFormat="1">
      <c r="A30" s="145" t="s">
        <v>599</v>
      </c>
      <c r="B30" s="361">
        <f>'Sources and Uses Budget'!C30</f>
        <v>62996337</v>
      </c>
      <c r="C30" s="362"/>
      <c r="D30" s="362"/>
      <c r="E30" s="361">
        <f>'Sources and Uses Budget'!S30</f>
        <v>62996337</v>
      </c>
      <c r="F30" s="362"/>
      <c r="G30" s="362"/>
      <c r="H30" s="361">
        <f>'Sources and Uses Budget'!T30</f>
        <v>0</v>
      </c>
      <c r="I30" s="362"/>
      <c r="J30" s="362"/>
      <c r="K30" s="359"/>
    </row>
    <row r="31" spans="1:11" s="360" customFormat="1">
      <c r="A31" s="145" t="s">
        <v>600</v>
      </c>
      <c r="B31" s="361">
        <f>'Sources and Uses Budget'!C31</f>
        <v>4103251</v>
      </c>
      <c r="C31" s="362"/>
      <c r="D31" s="362"/>
      <c r="E31" s="361">
        <f>'Sources and Uses Budget'!S31</f>
        <v>4103251</v>
      </c>
      <c r="F31" s="362"/>
      <c r="G31" s="362"/>
      <c r="H31" s="361">
        <f>'Sources and Uses Budget'!T31</f>
        <v>0</v>
      </c>
      <c r="I31" s="362"/>
      <c r="J31" s="362"/>
      <c r="K31" s="359"/>
    </row>
    <row r="32" spans="1:11" s="360" customFormat="1">
      <c r="A32" s="145" t="s">
        <v>137</v>
      </c>
      <c r="B32" s="361">
        <f>'Sources and Uses Budget'!C32</f>
        <v>1544133</v>
      </c>
      <c r="C32" s="362"/>
      <c r="D32" s="362"/>
      <c r="E32" s="361">
        <f>'Sources and Uses Budget'!S32</f>
        <v>1544133</v>
      </c>
      <c r="F32" s="362"/>
      <c r="G32" s="362"/>
      <c r="H32" s="361">
        <f>'Sources and Uses Budget'!T32</f>
        <v>0</v>
      </c>
      <c r="I32" s="362"/>
      <c r="J32" s="362"/>
      <c r="K32" s="359"/>
    </row>
    <row r="33" spans="1:11" s="360" customFormat="1">
      <c r="A33" s="145" t="s">
        <v>138</v>
      </c>
      <c r="B33" s="361">
        <f>'Sources and Uses Budget'!C33</f>
        <v>4931231</v>
      </c>
      <c r="C33" s="362"/>
      <c r="D33" s="362"/>
      <c r="E33" s="361">
        <f>'Sources and Uses Budget'!S33</f>
        <v>4931231</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1258849</v>
      </c>
      <c r="C35" s="362"/>
      <c r="D35" s="362"/>
      <c r="E35" s="361">
        <f>'Sources and Uses Budget'!S35</f>
        <v>1258849</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82660659</v>
      </c>
      <c r="C38" s="361">
        <f>SUM(C29:C37)</f>
        <v>0</v>
      </c>
      <c r="D38" s="361">
        <f>SUM(D29:D37)</f>
        <v>0</v>
      </c>
      <c r="E38" s="361">
        <f>'Sources and Uses Budget'!S38</f>
        <v>82660659</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951050</v>
      </c>
      <c r="C40" s="362"/>
      <c r="D40" s="362"/>
      <c r="E40" s="361">
        <f>'Sources and Uses Budget'!S40</f>
        <v>951050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951050</v>
      </c>
      <c r="C42" s="361">
        <f>SUM(C39:C41)</f>
        <v>0</v>
      </c>
      <c r="D42" s="361">
        <f>SUM(D39:D41)</f>
        <v>0</v>
      </c>
      <c r="E42" s="361">
        <f>'Sources and Uses Budget'!S42</f>
        <v>951050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1153475</v>
      </c>
      <c r="C43" s="362"/>
      <c r="D43" s="362"/>
      <c r="E43" s="361">
        <f>'Sources and Uses Budget'!S43</f>
        <v>1153475</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13847637</v>
      </c>
      <c r="C45" s="362"/>
      <c r="D45" s="362"/>
      <c r="E45" s="361">
        <f>'Sources and Uses Budget'!S45</f>
        <v>6640763</v>
      </c>
      <c r="F45" s="362"/>
      <c r="G45" s="362"/>
      <c r="H45" s="361">
        <f>'Sources and Uses Budget'!T45</f>
        <v>0</v>
      </c>
      <c r="I45" s="362"/>
      <c r="J45" s="362"/>
      <c r="K45" s="359"/>
    </row>
    <row r="46" spans="1:11" s="360" customFormat="1">
      <c r="A46" s="364" t="s">
        <v>151</v>
      </c>
      <c r="B46" s="361">
        <f>'Sources and Uses Budget'!C46</f>
        <v>1010418</v>
      </c>
      <c r="C46" s="362"/>
      <c r="D46" s="362"/>
      <c r="E46" s="361">
        <f>'Sources and Uses Budget'!S46</f>
        <v>484555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163000</v>
      </c>
      <c r="C49" s="362"/>
      <c r="D49" s="362"/>
      <c r="E49" s="361">
        <f>'Sources and Uses Budget'!S49</f>
        <v>163000</v>
      </c>
      <c r="F49" s="362"/>
      <c r="G49" s="362"/>
      <c r="H49" s="361">
        <f>'Sources and Uses Budget'!T49</f>
        <v>0</v>
      </c>
      <c r="I49" s="362"/>
      <c r="J49" s="362"/>
      <c r="K49" s="359"/>
    </row>
    <row r="50" spans="1:11" s="360" customFormat="1">
      <c r="A50" s="364" t="s">
        <v>156</v>
      </c>
      <c r="B50" s="361">
        <f>'Sources and Uses Budget'!C50</f>
        <v>25000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97594</v>
      </c>
      <c r="C51" s="362"/>
      <c r="D51" s="362"/>
      <c r="E51" s="361">
        <f>'Sources and Uses Budget'!S51</f>
        <v>97594</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15143649</v>
      </c>
      <c r="C54" s="367">
        <f>SUM(C45:C53)</f>
        <v>0</v>
      </c>
      <c r="D54" s="367">
        <f>SUM(D45:D53)</f>
        <v>0</v>
      </c>
      <c r="E54" s="361">
        <f>'Sources and Uses Budget'!S54</f>
        <v>7410912</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98109</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98109</v>
      </c>
      <c r="C62" s="361">
        <f>SUM(C56:C61)</f>
        <v>0</v>
      </c>
      <c r="D62" s="361">
        <f>SUM(D56:D61)</f>
        <v>0</v>
      </c>
      <c r="E62" s="363"/>
      <c r="F62" s="363"/>
      <c r="G62" s="363"/>
      <c r="H62" s="363"/>
      <c r="I62" s="363"/>
      <c r="J62" s="363"/>
      <c r="K62" s="359"/>
    </row>
    <row r="63" spans="1:11" s="360" customFormat="1">
      <c r="A63" s="370" t="s">
        <v>302</v>
      </c>
      <c r="B63" s="361">
        <f>'Sources and Uses Budget'!C63</f>
        <v>110480706</v>
      </c>
      <c r="C63" s="361">
        <f>SUM(C8+C11+C13+C14+C15+C26+C27+C38+C42+C43+C54+C62)</f>
        <v>0</v>
      </c>
      <c r="D63" s="361">
        <f>SUM(D8+D11+D13+D14+D15+D26+D27+D38+D42+D43+D54+D62)</f>
        <v>0</v>
      </c>
      <c r="E63" s="361">
        <f>'Sources and Uses Budget'!S63</f>
        <v>94456283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475000</v>
      </c>
      <c r="C65" s="362"/>
      <c r="D65" s="362"/>
      <c r="E65" s="361">
        <f>'Sources and Uses Budget'!S65</f>
        <v>375000</v>
      </c>
      <c r="F65" s="362"/>
      <c r="G65" s="362"/>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475000</v>
      </c>
      <c r="C70" s="361">
        <f>SUM(C64:C69)</f>
        <v>0</v>
      </c>
      <c r="D70" s="361">
        <f>SUM(D64:D69)</f>
        <v>0</v>
      </c>
      <c r="E70" s="361">
        <f>'Sources and Uses Budget'!S70</f>
        <v>375000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1187970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1187970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4196164</v>
      </c>
      <c r="C79" s="362"/>
      <c r="D79" s="362"/>
      <c r="E79" s="361">
        <f>'Sources and Uses Budget'!S79</f>
        <v>4196164</v>
      </c>
      <c r="F79" s="362"/>
      <c r="G79" s="362"/>
      <c r="H79" s="361">
        <f>'Sources and Uses Budget'!T79</f>
        <v>0</v>
      </c>
      <c r="I79" s="362"/>
      <c r="J79" s="362"/>
      <c r="K79" s="359"/>
    </row>
    <row r="80" spans="1:11" s="360" customFormat="1">
      <c r="A80" s="364" t="s">
        <v>58</v>
      </c>
      <c r="B80" s="361">
        <f>'Sources and Uses Budget'!C80</f>
        <v>439997</v>
      </c>
      <c r="C80" s="362"/>
      <c r="D80" s="362"/>
      <c r="E80" s="361">
        <f>'Sources and Uses Budget'!S80</f>
        <v>415881</v>
      </c>
      <c r="F80" s="362"/>
      <c r="G80" s="362"/>
      <c r="H80" s="361">
        <f>'Sources and Uses Budget'!T80</f>
        <v>0</v>
      </c>
      <c r="I80" s="362"/>
      <c r="J80" s="362"/>
      <c r="K80" s="359"/>
    </row>
    <row r="81" spans="1:11" s="360" customFormat="1">
      <c r="A81" s="365" t="s">
        <v>1209</v>
      </c>
      <c r="B81" s="361">
        <f>'Sources and Uses Budget'!C81</f>
        <v>4636161</v>
      </c>
      <c r="C81" s="361">
        <f>SUM(C79:C80)</f>
        <v>0</v>
      </c>
      <c r="D81" s="361">
        <f>SUM(D79:D80)</f>
        <v>0</v>
      </c>
      <c r="E81" s="361">
        <f>'Sources and Uses Budget'!S81</f>
        <v>4612045</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420833</v>
      </c>
      <c r="C83" s="362"/>
      <c r="D83" s="362"/>
      <c r="E83" s="363"/>
      <c r="F83" s="363"/>
      <c r="G83" s="363"/>
      <c r="H83" s="363"/>
      <c r="I83" s="363"/>
      <c r="J83" s="363"/>
      <c r="K83" s="359"/>
    </row>
    <row r="84" spans="1:11" s="360" customFormat="1">
      <c r="A84" s="145" t="s">
        <v>767</v>
      </c>
      <c r="B84" s="361">
        <f>'Sources and Uses Budget'!C84</f>
        <v>1345320</v>
      </c>
      <c r="C84" s="362"/>
      <c r="D84" s="362"/>
      <c r="E84" s="361">
        <f>'Sources and Uses Budget'!S84</f>
        <v>1345320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7145258</v>
      </c>
      <c r="C86" s="362"/>
      <c r="D86" s="362"/>
      <c r="E86" s="361">
        <f>'Sources and Uses Budget'!S86</f>
        <v>7145258</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579600</v>
      </c>
      <c r="C88" s="362"/>
      <c r="D88" s="362"/>
      <c r="E88" s="363"/>
      <c r="F88" s="363"/>
      <c r="G88" s="363"/>
      <c r="H88" s="363"/>
      <c r="I88" s="363"/>
      <c r="J88" s="363"/>
      <c r="K88" s="359"/>
    </row>
    <row r="89" spans="1:11" s="360" customFormat="1">
      <c r="A89" s="145" t="s">
        <v>772</v>
      </c>
      <c r="B89" s="361">
        <f>'Sources and Uses Budget'!C89</f>
        <v>155564</v>
      </c>
      <c r="C89" s="362"/>
      <c r="D89" s="362"/>
      <c r="E89" s="361">
        <f>'Sources and Uses Budget'!S89</f>
        <v>155564</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372</v>
      </c>
      <c r="B91" s="361">
        <f>'Sources and Uses Budget'!C91</f>
        <v>45000</v>
      </c>
      <c r="C91" s="362"/>
      <c r="D91" s="362"/>
      <c r="E91" s="361">
        <f>'Sources and Uses Budget'!S91</f>
        <v>45000</v>
      </c>
      <c r="F91" s="362"/>
      <c r="G91" s="362"/>
      <c r="H91" s="361">
        <f>'Sources and Uses Budget'!T91</f>
        <v>0</v>
      </c>
      <c r="I91" s="362"/>
      <c r="J91" s="362"/>
      <c r="K91" s="359"/>
    </row>
    <row r="92" spans="1:11" s="360" customFormat="1">
      <c r="A92" s="508" t="s">
        <v>1211</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9706575</v>
      </c>
      <c r="C96" s="361">
        <f>SUM(C83:C95)</f>
        <v>0</v>
      </c>
      <c r="D96" s="361">
        <f>SUM(D83:D95)</f>
        <v>0</v>
      </c>
      <c r="E96" s="361">
        <f>'Sources and Uses Budget'!S96</f>
        <v>8706142</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126486412</v>
      </c>
      <c r="C97" s="361">
        <f>SUM(C63+C70+C77+C81+C96)</f>
        <v>0</v>
      </c>
      <c r="D97" s="361">
        <f>SUM(D63+D70+D77+D81+D96)</f>
        <v>0</v>
      </c>
      <c r="E97" s="361">
        <f>'Sources and Uses Budget'!S97</f>
        <v>108149470</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16222420</v>
      </c>
      <c r="C99" s="362"/>
      <c r="D99" s="362"/>
      <c r="E99" s="361">
        <f>'Sources and Uses Budget'!S99</f>
        <v>16222420</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Budget'!F33</f>
        <v>0</v>
      </c>
      <c r="I103" s="362"/>
      <c r="J103" s="362"/>
      <c r="K103" s="359"/>
    </row>
    <row r="104" spans="1:11" s="360" customFormat="1">
      <c r="A104" s="365" t="s">
        <v>779</v>
      </c>
      <c r="B104" s="361">
        <f>'Sources and Uses Budget'!C104</f>
        <v>16222420</v>
      </c>
      <c r="C104" s="361">
        <f>SUM(C99:C103)</f>
        <v>0</v>
      </c>
      <c r="D104" s="361">
        <f>SUM(D99:D103)</f>
        <v>0</v>
      </c>
      <c r="E104" s="361">
        <f>'Sources and Uses Budget'!S104</f>
        <v>16222420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142708832</v>
      </c>
      <c r="C105" s="367">
        <f>SUM(C97+C104)</f>
        <v>0</v>
      </c>
      <c r="D105" s="367">
        <f>SUM(D97+D104)</f>
        <v>0</v>
      </c>
      <c r="E105" s="361">
        <f>'Sources and Uses Budget'!S105</f>
        <v>124371890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Budget'!T103</f>
        <v>0</v>
      </c>
      <c r="I106" s="362"/>
      <c r="J106" s="362"/>
      <c r="K106" s="359"/>
    </row>
    <row r="107" spans="1:11" s="360" customFormat="1">
      <c r="A107" s="373"/>
      <c r="B107" s="374"/>
      <c r="C107" s="372"/>
      <c r="D107" s="454" t="s">
        <v>375</v>
      </c>
      <c r="E107" s="361">
        <f>'Sources and Uses Budget'!S107</f>
        <v>124371890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2"/>
      <c r="E124" s="1325"/>
      <c r="F124" s="1325"/>
      <c r="G124" s="1325"/>
      <c r="H124" s="1325"/>
      <c r="I124" s="1325"/>
      <c r="J124" s="376"/>
      <c r="K124" s="359"/>
    </row>
    <row r="125" spans="1:11" s="360" customFormat="1" ht="12.75">
      <c r="A125" s="385"/>
      <c r="B125" s="384"/>
      <c r="C125" s="385"/>
      <c r="D125" s="1325"/>
      <c r="E125" s="1325"/>
      <c r="F125" s="1325"/>
      <c r="G125" s="1325"/>
      <c r="H125" s="1325"/>
      <c r="I125" s="1325"/>
      <c r="J125" s="376"/>
      <c r="K125" s="359"/>
    </row>
    <row r="126" spans="1:11" s="360" customFormat="1" ht="12.75">
      <c r="A126" s="385"/>
      <c r="B126" s="384"/>
      <c r="C126" s="385"/>
      <c r="D126" s="1325"/>
      <c r="E126" s="1325"/>
      <c r="F126" s="1325"/>
      <c r="G126" s="1325"/>
      <c r="H126" s="1325"/>
      <c r="I126" s="132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3"/>
      <c r="B139" s="1325"/>
      <c r="C139" s="1325"/>
      <c r="D139" s="356"/>
      <c r="E139" s="385"/>
      <c r="F139" s="385"/>
      <c r="G139" s="385"/>
    </row>
    <row r="140" spans="1:11" ht="12" customHeight="1">
      <c r="A140" s="1308"/>
      <c r="B140" s="1308"/>
      <c r="C140" s="130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zoomScale="70" zoomScaleNormal="70" workbookViewId="0">
      <selection activeCell="AP8" sqref="AP8:AU8"/>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5" t="s">
        <v>2391</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c r="AT1" s="1896"/>
      <c r="AU1" s="1896"/>
      <c r="AV1" s="1896"/>
      <c r="AW1" s="1896"/>
      <c r="AX1" s="1896"/>
      <c r="AY1" s="1896"/>
      <c r="AZ1" s="1896"/>
      <c r="BA1" s="1896"/>
      <c r="BB1" s="1896"/>
      <c r="BC1" s="1896"/>
      <c r="BD1" s="1896"/>
      <c r="BE1" s="1897"/>
    </row>
    <row r="2" spans="1:65" ht="15.75" customHeight="1">
      <c r="A2" s="1898" t="s">
        <v>2390</v>
      </c>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1899"/>
      <c r="AZ2" s="1899"/>
      <c r="BA2" s="1899"/>
      <c r="BB2" s="1899"/>
      <c r="BC2" s="1899"/>
      <c r="BD2" s="1899"/>
      <c r="BE2" s="190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1" t="s">
        <v>2595</v>
      </c>
      <c r="AY3" s="1902"/>
      <c r="AZ3" s="1902"/>
      <c r="BA3" s="1903"/>
      <c r="BB3" s="1901" t="s">
        <v>2596</v>
      </c>
      <c r="BC3" s="1902"/>
      <c r="BD3" s="1902"/>
      <c r="BE3" s="1903"/>
    </row>
    <row r="4" spans="1:65" ht="15.75" customHeight="1" thickBot="1">
      <c r="A4" s="1207"/>
      <c r="B4" s="1209" t="s">
        <v>656</v>
      </c>
      <c r="C4" s="1209"/>
      <c r="D4" s="1209"/>
      <c r="E4" s="1209"/>
      <c r="F4" s="1209"/>
      <c r="G4" s="1208"/>
      <c r="H4" s="1208"/>
      <c r="I4" s="1208"/>
      <c r="J4" s="1208"/>
      <c r="K4" s="1208"/>
      <c r="L4" s="1890" t="str">
        <f>IF(Application!H18="","",Application!H18)</f>
        <v xml:space="preserve">Clover Apartments </v>
      </c>
      <c r="M4" s="1891"/>
      <c r="N4" s="1891"/>
      <c r="O4" s="1891"/>
      <c r="P4" s="1891"/>
      <c r="Q4" s="1891"/>
      <c r="R4" s="1891"/>
      <c r="S4" s="1891"/>
      <c r="T4" s="1891"/>
      <c r="U4" s="1891"/>
      <c r="V4" s="1891"/>
      <c r="W4" s="1891"/>
      <c r="X4" s="1891"/>
      <c r="Y4" s="1891"/>
      <c r="Z4" s="1891"/>
      <c r="AA4" s="1891"/>
      <c r="AB4" s="1891"/>
      <c r="AC4" s="1892"/>
      <c r="AD4" s="1208"/>
      <c r="AE4" s="1208"/>
      <c r="AF4" s="1904" t="s">
        <v>2389</v>
      </c>
      <c r="AG4" s="1904"/>
      <c r="AH4" s="1904"/>
      <c r="AI4" s="1904"/>
      <c r="AJ4" s="1904"/>
      <c r="AK4" s="1904"/>
      <c r="AL4" s="1904"/>
      <c r="AM4" s="1904"/>
      <c r="AN4" s="1904"/>
      <c r="AO4" s="1904"/>
      <c r="AP4" s="1905"/>
      <c r="AQ4" s="1906"/>
      <c r="AR4" s="1906"/>
      <c r="AS4" s="1906"/>
      <c r="AT4" s="1906"/>
      <c r="AU4" s="1906"/>
      <c r="AV4" s="1208"/>
      <c r="AW4" s="1208"/>
      <c r="AX4" s="1887" t="s">
        <v>2597</v>
      </c>
      <c r="AY4" s="1888"/>
      <c r="AZ4" s="1888"/>
      <c r="BA4" s="1889"/>
      <c r="BB4" s="1210">
        <f t="array" ref="BB4">ROUNDDOWN(SUM(IF((B19:I27&gt;0)*(B19:I27&lt;=30%),J19:O27,0))/J29,2)</f>
        <v>0.25</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4" t="s">
        <v>2388</v>
      </c>
      <c r="AG5" s="1904"/>
      <c r="AH5" s="1904"/>
      <c r="AI5" s="1904"/>
      <c r="AJ5" s="1904"/>
      <c r="AK5" s="1904"/>
      <c r="AL5" s="1904"/>
      <c r="AM5" s="1904"/>
      <c r="AN5" s="1904"/>
      <c r="AO5" s="1904"/>
      <c r="AP5" s="1905"/>
      <c r="AQ5" s="1906"/>
      <c r="AR5" s="1906"/>
      <c r="AS5" s="1906"/>
      <c r="AT5" s="1906"/>
      <c r="AU5" s="1906"/>
      <c r="AV5" s="1208"/>
      <c r="AW5" s="1208"/>
      <c r="AX5" s="1887" t="s">
        <v>2598</v>
      </c>
      <c r="AY5" s="1888"/>
      <c r="AZ5" s="1888"/>
      <c r="BA5" s="1889"/>
      <c r="BB5" s="1210">
        <f t="array" ref="BB5">ROUNDDOWN(SUM(IF((B19:I27&gt;0%)*(B19:I27&lt;=50%),J19:O27,0))/J29,2)</f>
        <v>0.49</v>
      </c>
      <c r="BC5" s="1211"/>
      <c r="BD5" s="1211"/>
      <c r="BE5" s="1212"/>
    </row>
    <row r="6" spans="1:65" ht="15.75" customHeight="1" thickBot="1">
      <c r="A6" s="1207"/>
      <c r="B6" s="1209" t="s">
        <v>2387</v>
      </c>
      <c r="C6" s="1208"/>
      <c r="D6" s="1208"/>
      <c r="E6" s="1208"/>
      <c r="F6" s="1208"/>
      <c r="G6" s="1208"/>
      <c r="H6" s="1208"/>
      <c r="I6" s="1208"/>
      <c r="J6" s="1208"/>
      <c r="K6" s="1208"/>
      <c r="L6" s="1890" t="str">
        <f>IF(Application!H16="","",Application!H16)</f>
        <v xml:space="preserve">AMCAL Clover Fund, LP </v>
      </c>
      <c r="M6" s="1891"/>
      <c r="N6" s="1891"/>
      <c r="O6" s="1891"/>
      <c r="P6" s="1891"/>
      <c r="Q6" s="1891"/>
      <c r="R6" s="1891"/>
      <c r="S6" s="1891"/>
      <c r="T6" s="1891"/>
      <c r="U6" s="1891"/>
      <c r="V6" s="1891"/>
      <c r="W6" s="1891"/>
      <c r="X6" s="1891"/>
      <c r="Y6" s="1891"/>
      <c r="Z6" s="1891"/>
      <c r="AA6" s="1891"/>
      <c r="AB6" s="1891"/>
      <c r="AC6" s="1892"/>
      <c r="AD6" s="1208"/>
      <c r="AE6" s="1208"/>
      <c r="AF6" s="1893" t="s">
        <v>2386</v>
      </c>
      <c r="AG6" s="1893"/>
      <c r="AH6" s="1893"/>
      <c r="AI6" s="1893"/>
      <c r="AJ6" s="1893"/>
      <c r="AK6" s="1893"/>
      <c r="AL6" s="1893"/>
      <c r="AM6" s="1893"/>
      <c r="AN6" s="1893"/>
      <c r="AO6" s="1893"/>
      <c r="AP6" s="1894"/>
      <c r="AQ6" s="1894"/>
      <c r="AR6" s="1894"/>
      <c r="AS6" s="1894"/>
      <c r="AT6" s="1894"/>
      <c r="AU6" s="1894"/>
      <c r="AV6" s="1208"/>
      <c r="AW6" s="1208"/>
      <c r="AX6" s="1887" t="s">
        <v>2599</v>
      </c>
      <c r="AY6" s="1888"/>
      <c r="AZ6" s="1888"/>
      <c r="BA6" s="1889"/>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3" t="s">
        <v>2385</v>
      </c>
      <c r="AG7" s="1893"/>
      <c r="AH7" s="1893"/>
      <c r="AI7" s="1893"/>
      <c r="AJ7" s="1893"/>
      <c r="AK7" s="1893"/>
      <c r="AL7" s="1893"/>
      <c r="AM7" s="1893"/>
      <c r="AN7" s="1893"/>
      <c r="AO7" s="1893"/>
      <c r="AP7" s="1894"/>
      <c r="AQ7" s="1894"/>
      <c r="AR7" s="1894"/>
      <c r="AS7" s="1894"/>
      <c r="AT7" s="1894"/>
      <c r="AU7" s="1894"/>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7" t="str">
        <f>Application!T197</f>
        <v>No</v>
      </c>
      <c r="AC8" s="1908"/>
      <c r="AD8" s="1909"/>
      <c r="AE8" s="1208"/>
      <c r="AF8" s="1893" t="s">
        <v>2384</v>
      </c>
      <c r="AG8" s="1893"/>
      <c r="AH8" s="1893"/>
      <c r="AI8" s="1893"/>
      <c r="AJ8" s="1893"/>
      <c r="AK8" s="1893"/>
      <c r="AL8" s="1893"/>
      <c r="AM8" s="1893"/>
      <c r="AN8" s="1893"/>
      <c r="AO8" s="1893"/>
      <c r="AP8" s="1894" t="s">
        <v>2055</v>
      </c>
      <c r="AQ8" s="1894"/>
      <c r="AR8" s="1894"/>
      <c r="AS8" s="1894"/>
      <c r="AT8" s="1894"/>
      <c r="AU8" s="1894"/>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4" t="s">
        <v>2383</v>
      </c>
      <c r="AG9" s="1904"/>
      <c r="AH9" s="1904"/>
      <c r="AI9" s="1904"/>
      <c r="AJ9" s="1904"/>
      <c r="AK9" s="1904"/>
      <c r="AL9" s="1904"/>
      <c r="AM9" s="1904"/>
      <c r="AN9" s="1904"/>
      <c r="AO9" s="1904"/>
      <c r="AP9" s="1905"/>
      <c r="AQ9" s="1906"/>
      <c r="AR9" s="1906"/>
      <c r="AS9" s="1906"/>
      <c r="AT9" s="1906"/>
      <c r="AU9" s="1906"/>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1922">
        <f>Application!AO635</f>
        <v>39350840</v>
      </c>
      <c r="O10" s="1922"/>
      <c r="P10" s="1922"/>
      <c r="Q10" s="1922"/>
      <c r="R10" s="1922"/>
      <c r="S10" s="1922"/>
      <c r="T10" s="1922"/>
      <c r="U10" s="1208"/>
      <c r="V10" s="1208"/>
      <c r="W10" s="1208"/>
      <c r="X10" s="1214"/>
      <c r="Y10" s="1214"/>
      <c r="Z10" s="1214"/>
      <c r="AA10" s="1214"/>
      <c r="AB10" s="1214"/>
      <c r="AC10" s="1214"/>
      <c r="AD10" s="1214"/>
      <c r="AE10" s="1214"/>
      <c r="AF10" s="1904" t="s">
        <v>2380</v>
      </c>
      <c r="AG10" s="1904"/>
      <c r="AH10" s="1904"/>
      <c r="AI10" s="1904"/>
      <c r="AJ10" s="1904"/>
      <c r="AK10" s="1904"/>
      <c r="AL10" s="1904"/>
      <c r="AM10" s="1904"/>
      <c r="AN10" s="1904"/>
      <c r="AO10" s="1904"/>
      <c r="AP10" s="1905"/>
      <c r="AQ10" s="1906"/>
      <c r="AR10" s="1906"/>
      <c r="AS10" s="1906"/>
      <c r="AT10" s="1906"/>
      <c r="AU10" s="1906"/>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1922">
        <f>Application!AA943</f>
        <v>0</v>
      </c>
      <c r="O11" s="1922"/>
      <c r="P11" s="1922"/>
      <c r="Q11" s="1922"/>
      <c r="R11" s="1922"/>
      <c r="S11" s="1922"/>
      <c r="T11" s="1922"/>
      <c r="U11" s="1208"/>
      <c r="V11" s="1208"/>
      <c r="W11" s="1208"/>
      <c r="X11" s="1214"/>
      <c r="Y11" s="1214"/>
      <c r="Z11" s="1214"/>
      <c r="AA11" s="1214"/>
      <c r="AB11" s="1214"/>
      <c r="AC11" s="1214"/>
      <c r="AD11" s="1214"/>
      <c r="AE11" s="1214"/>
      <c r="AF11" s="1904" t="s">
        <v>2377</v>
      </c>
      <c r="AG11" s="1904"/>
      <c r="AH11" s="1904"/>
      <c r="AI11" s="1904"/>
      <c r="AJ11" s="1904"/>
      <c r="AK11" s="1904"/>
      <c r="AL11" s="1904"/>
      <c r="AM11" s="1904"/>
      <c r="AN11" s="1904"/>
      <c r="AO11" s="1904"/>
      <c r="AP11" s="1905"/>
      <c r="AQ11" s="1906"/>
      <c r="AR11" s="1906"/>
      <c r="AS11" s="1906"/>
      <c r="AT11" s="1906"/>
      <c r="AU11" s="1906"/>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1910" t="s">
        <v>2375</v>
      </c>
      <c r="C13" s="1911"/>
      <c r="D13" s="1911"/>
      <c r="E13" s="1911"/>
      <c r="F13" s="1911"/>
      <c r="G13" s="1911"/>
      <c r="H13" s="1911"/>
      <c r="I13" s="1911"/>
      <c r="J13" s="1911"/>
      <c r="K13" s="1911"/>
      <c r="L13" s="1911"/>
      <c r="M13" s="1911"/>
      <c r="N13" s="1911"/>
      <c r="O13" s="1911"/>
      <c r="P13" s="1912"/>
      <c r="Q13" s="1913" t="s">
        <v>669</v>
      </c>
      <c r="R13" s="1914"/>
      <c r="S13" s="1914"/>
      <c r="T13" s="1915"/>
      <c r="U13" s="1214"/>
      <c r="V13" s="1208"/>
      <c r="W13" s="1208"/>
      <c r="X13" s="1208"/>
      <c r="Y13" s="1208"/>
      <c r="Z13" s="1208"/>
      <c r="AA13" s="1916" t="s">
        <v>2374</v>
      </c>
      <c r="AB13" s="1916"/>
      <c r="AC13" s="1916"/>
      <c r="AD13" s="1916"/>
      <c r="AE13" s="1916"/>
      <c r="AF13" s="1916"/>
      <c r="AG13" s="1916"/>
      <c r="AH13" s="1916"/>
      <c r="AI13" s="1916"/>
      <c r="AJ13" s="1916"/>
      <c r="AK13" s="1916"/>
      <c r="AL13" s="1916"/>
      <c r="AM13" s="1916"/>
      <c r="AN13" s="1916"/>
      <c r="AO13" s="1917">
        <f>Application!W481</f>
        <v>87</v>
      </c>
      <c r="AP13" s="1918"/>
      <c r="AQ13" s="1918"/>
      <c r="AR13" s="1918"/>
      <c r="AS13" s="1918"/>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9" t="s">
        <v>2372</v>
      </c>
      <c r="AB14" s="1919"/>
      <c r="AC14" s="1919"/>
      <c r="AD14" s="1919"/>
      <c r="AE14" s="1919"/>
      <c r="AF14" s="1919"/>
      <c r="AG14" s="1919"/>
      <c r="AH14" s="1919"/>
      <c r="AI14" s="1919"/>
      <c r="AJ14" s="1919"/>
      <c r="AK14" s="1919"/>
      <c r="AL14" s="1919"/>
      <c r="AM14" s="1919"/>
      <c r="AN14" s="1919"/>
      <c r="AO14" s="1920"/>
      <c r="AP14" s="1921"/>
      <c r="AQ14" s="1921"/>
      <c r="AR14" s="1921"/>
      <c r="AS14" s="1921"/>
      <c r="AT14" s="1214"/>
      <c r="AU14" s="1214"/>
      <c r="AV14" s="1214"/>
      <c r="AW14" s="1214"/>
      <c r="AX14" s="1214"/>
      <c r="AY14" s="1214"/>
      <c r="AZ14" s="1214"/>
      <c r="BA14" s="1214"/>
      <c r="BB14" s="1214"/>
      <c r="BC14" s="1214"/>
      <c r="BD14" s="1214"/>
      <c r="BE14" s="1215"/>
    </row>
    <row r="15" spans="1:65" thickBot="1">
      <c r="A15" s="1208"/>
      <c r="B15" s="1923" t="s">
        <v>2371</v>
      </c>
      <c r="C15" s="1924"/>
      <c r="D15" s="1924"/>
      <c r="E15" s="1924"/>
      <c r="F15" s="1924"/>
      <c r="G15" s="1924"/>
      <c r="H15" s="1924"/>
      <c r="I15" s="1924"/>
      <c r="J15" s="1924"/>
      <c r="K15" s="1924"/>
      <c r="L15" s="1924"/>
      <c r="M15" s="1924"/>
      <c r="N15" s="1924"/>
      <c r="O15" s="1924"/>
      <c r="P15" s="1924"/>
      <c r="Q15" s="1924"/>
      <c r="R15" s="1925"/>
      <c r="S15" s="1926" t="str">
        <f>IF(Application!AB215="","",Application!AB215)</f>
        <v/>
      </c>
      <c r="T15" s="1926"/>
      <c r="U15" s="1926"/>
      <c r="V15" s="1926"/>
      <c r="W15" s="1927"/>
      <c r="X15" s="1214"/>
      <c r="Y15" s="1208"/>
      <c r="Z15" s="1208"/>
      <c r="AA15" s="1916" t="s">
        <v>2370</v>
      </c>
      <c r="AB15" s="1916"/>
      <c r="AC15" s="1916"/>
      <c r="AD15" s="1916"/>
      <c r="AE15" s="1916"/>
      <c r="AF15" s="1916"/>
      <c r="AG15" s="1916"/>
      <c r="AH15" s="1916"/>
      <c r="AI15" s="1916"/>
      <c r="AJ15" s="1916"/>
      <c r="AK15" s="1916"/>
      <c r="AL15" s="1916"/>
      <c r="AM15" s="1916"/>
      <c r="AN15" s="1916"/>
      <c r="AO15" s="1920"/>
      <c r="AP15" s="1921"/>
      <c r="AQ15" s="1921"/>
      <c r="AR15" s="1921"/>
      <c r="AS15" s="1921"/>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8" t="s">
        <v>2369</v>
      </c>
      <c r="C17" s="1929"/>
      <c r="D17" s="1929"/>
      <c r="E17" s="1929"/>
      <c r="F17" s="1929"/>
      <c r="G17" s="1929"/>
      <c r="H17" s="1929"/>
      <c r="I17" s="1929"/>
      <c r="J17" s="1929"/>
      <c r="K17" s="1929"/>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c r="AL17" s="1929"/>
      <c r="AM17" s="1929"/>
      <c r="AN17" s="1929"/>
      <c r="AO17" s="1929"/>
      <c r="AP17" s="1929"/>
      <c r="AQ17" s="1929"/>
      <c r="AR17" s="1929"/>
      <c r="AS17" s="1929"/>
      <c r="AT17" s="1929"/>
      <c r="AU17" s="1929"/>
      <c r="AV17" s="1929"/>
      <c r="AW17" s="1929"/>
      <c r="AX17" s="1929"/>
      <c r="AY17" s="1930"/>
      <c r="AZ17" s="1208"/>
      <c r="BA17" s="1208"/>
      <c r="BB17" s="1208"/>
      <c r="BC17" s="1208"/>
      <c r="BD17" s="1208"/>
      <c r="BE17" s="1215"/>
      <c r="BF17" s="1206"/>
    </row>
    <row r="18" spans="1:58" ht="15.75" customHeight="1">
      <c r="A18" s="1208"/>
      <c r="B18" s="1931" t="s">
        <v>2368</v>
      </c>
      <c r="C18" s="1932"/>
      <c r="D18" s="1932"/>
      <c r="E18" s="1932"/>
      <c r="F18" s="1932"/>
      <c r="G18" s="1932"/>
      <c r="H18" s="1932"/>
      <c r="I18" s="1933"/>
      <c r="J18" s="1934" t="s">
        <v>1575</v>
      </c>
      <c r="K18" s="1935"/>
      <c r="L18" s="1935"/>
      <c r="M18" s="1935"/>
      <c r="N18" s="1935"/>
      <c r="O18" s="1936"/>
      <c r="P18" s="1934" t="s">
        <v>324</v>
      </c>
      <c r="Q18" s="1935"/>
      <c r="R18" s="1935"/>
      <c r="S18" s="1935"/>
      <c r="T18" s="1935"/>
      <c r="U18" s="1936"/>
      <c r="V18" s="1934" t="s">
        <v>325</v>
      </c>
      <c r="W18" s="1935"/>
      <c r="X18" s="1935"/>
      <c r="Y18" s="1935"/>
      <c r="Z18" s="1935"/>
      <c r="AA18" s="1936"/>
      <c r="AB18" s="1934" t="s">
        <v>163</v>
      </c>
      <c r="AC18" s="1935"/>
      <c r="AD18" s="1935"/>
      <c r="AE18" s="1935"/>
      <c r="AF18" s="1935"/>
      <c r="AG18" s="1936"/>
      <c r="AH18" s="1934" t="s">
        <v>164</v>
      </c>
      <c r="AI18" s="1935"/>
      <c r="AJ18" s="1935"/>
      <c r="AK18" s="1935"/>
      <c r="AL18" s="1935"/>
      <c r="AM18" s="1936"/>
      <c r="AN18" s="1934" t="s">
        <v>165</v>
      </c>
      <c r="AO18" s="1935"/>
      <c r="AP18" s="1935"/>
      <c r="AQ18" s="1935"/>
      <c r="AR18" s="1935"/>
      <c r="AS18" s="1936"/>
      <c r="AT18" s="1934" t="s">
        <v>2367</v>
      </c>
      <c r="AU18" s="1935"/>
      <c r="AV18" s="1935"/>
      <c r="AW18" s="1935"/>
      <c r="AX18" s="1935"/>
      <c r="AY18" s="1937"/>
      <c r="AZ18" s="1208"/>
      <c r="BA18" s="1208"/>
      <c r="BB18" s="1208"/>
      <c r="BC18" s="1208"/>
      <c r="BD18" s="1208"/>
      <c r="BE18" s="1215"/>
    </row>
    <row r="19" spans="1:58" ht="15">
      <c r="A19" s="1208"/>
      <c r="B19" s="1938">
        <v>0.3</v>
      </c>
      <c r="C19" s="1939"/>
      <c r="D19" s="1939"/>
      <c r="E19" s="1939"/>
      <c r="F19" s="1939"/>
      <c r="G19" s="1939"/>
      <c r="H19" s="1939"/>
      <c r="I19" s="1940"/>
      <c r="J19" s="1941">
        <f t="shared" ref="J19:J24" si="0">SUM(P19:AS19)</f>
        <v>87</v>
      </c>
      <c r="K19" s="1942"/>
      <c r="L19" s="1942"/>
      <c r="M19" s="1942"/>
      <c r="N19" s="1942"/>
      <c r="O19" s="1943"/>
      <c r="P19" s="1941" cm="1">
        <f t="array" ref="P19">SUMPRODUCT((Application!$B$726:$B$760 = 'CalHFA Addendum'!P$18)*(Application!$AC$726:$AC$760 = 'CalHFA Addendum'!$B19),Application!$G$726:$G$760)</f>
        <v>0</v>
      </c>
      <c r="Q19" s="1942"/>
      <c r="R19" s="1942"/>
      <c r="S19" s="1942"/>
      <c r="T19" s="1942"/>
      <c r="U19" s="1943"/>
      <c r="V19" s="1941" cm="1">
        <f t="array" ref="V19">SUMPRODUCT((Application!$B$726:$B$760 = 'CalHFA Addendum'!V$18)*(Application!$AC$726:$AC$760 = 'CalHFA Addendum'!$B19),Application!$G$726:$G$760)</f>
        <v>32</v>
      </c>
      <c r="W19" s="1942"/>
      <c r="X19" s="1942"/>
      <c r="Y19" s="1942"/>
      <c r="Z19" s="1942"/>
      <c r="AA19" s="1943"/>
      <c r="AB19" s="1941" cm="1">
        <f t="array" ref="AB19">SUMPRODUCT((Application!$B$726:$B$760 = 'CalHFA Addendum'!AB$18)*(Application!$AC$726:$AC$760 = 'CalHFA Addendum'!$B19),Application!$G$726:$G$760)</f>
        <v>45</v>
      </c>
      <c r="AC19" s="1942"/>
      <c r="AD19" s="1942"/>
      <c r="AE19" s="1942"/>
      <c r="AF19" s="1942"/>
      <c r="AG19" s="1943"/>
      <c r="AH19" s="1941" cm="1">
        <f t="array" ref="AH19">SUMPRODUCT((Application!$B$726:$B$760 = 'CalHFA Addendum'!AH$18)*(Application!$AC$726:$AC$760 = 'CalHFA Addendum'!$B19),Application!$G$726:$G$760)</f>
        <v>10</v>
      </c>
      <c r="AI19" s="1942"/>
      <c r="AJ19" s="1942"/>
      <c r="AK19" s="1942"/>
      <c r="AL19" s="1942"/>
      <c r="AM19" s="1943"/>
      <c r="AN19" s="1941" cm="1">
        <f t="array" ref="AN19">SUMPRODUCT((Application!$B$726:$B$760 = 'CalHFA Addendum'!AN$18)*(Application!$AC$726:$AC$760 = 'CalHFA Addendum'!$B19),Application!$G$726:$G$760)</f>
        <v>0</v>
      </c>
      <c r="AO19" s="1942"/>
      <c r="AP19" s="1942"/>
      <c r="AQ19" s="1942"/>
      <c r="AR19" s="1942"/>
      <c r="AS19" s="1943"/>
      <c r="AT19" s="1944">
        <f>J19/$J$29</f>
        <v>0.25</v>
      </c>
      <c r="AU19" s="1945"/>
      <c r="AV19" s="1945"/>
      <c r="AW19" s="1945"/>
      <c r="AX19" s="1945"/>
      <c r="AY19" s="1946"/>
      <c r="AZ19" s="1216"/>
      <c r="BA19" s="1208"/>
      <c r="BB19" s="1208"/>
      <c r="BC19" s="1208"/>
      <c r="BD19" s="1208"/>
      <c r="BE19" s="1215"/>
    </row>
    <row r="20" spans="1:58" ht="15" customHeight="1">
      <c r="A20" s="1208"/>
      <c r="B20" s="1938">
        <v>0.4</v>
      </c>
      <c r="C20" s="1939"/>
      <c r="D20" s="1939"/>
      <c r="E20" s="1939"/>
      <c r="F20" s="1939"/>
      <c r="G20" s="1939"/>
      <c r="H20" s="1939"/>
      <c r="I20" s="1940"/>
      <c r="J20" s="1941">
        <f t="shared" si="0"/>
        <v>0</v>
      </c>
      <c r="K20" s="1942"/>
      <c r="L20" s="1942"/>
      <c r="M20" s="1942"/>
      <c r="N20" s="1942"/>
      <c r="O20" s="1943"/>
      <c r="P20" s="1941" cm="1">
        <f t="array" ref="P20">SUMPRODUCT((Application!$B$726:$B$760 = 'CalHFA Addendum'!P$18)*(Application!$AC$726:$AC$760 = 'CalHFA Addendum'!$B20),Application!$G$726:$G$760)</f>
        <v>0</v>
      </c>
      <c r="Q20" s="1942"/>
      <c r="R20" s="1942"/>
      <c r="S20" s="1942"/>
      <c r="T20" s="1942"/>
      <c r="U20" s="1943"/>
      <c r="V20" s="1941" cm="1">
        <f t="array" ref="V20">SUMPRODUCT((Application!$B$726:$B$760 = 'CalHFA Addendum'!V$18)*(Application!$AC$726:$AC$760 = 'CalHFA Addendum'!$B20),Application!$G$726:$G$760)</f>
        <v>0</v>
      </c>
      <c r="W20" s="1942"/>
      <c r="X20" s="1942"/>
      <c r="Y20" s="1942"/>
      <c r="Z20" s="1942"/>
      <c r="AA20" s="1943"/>
      <c r="AB20" s="1941" cm="1">
        <f t="array" ref="AB20">SUMPRODUCT((Application!$B$726:$B$760 = 'CalHFA Addendum'!AB$18)*(Application!$AC$726:$AC$760 = 'CalHFA Addendum'!$B20),Application!$G$726:$G$760)</f>
        <v>0</v>
      </c>
      <c r="AC20" s="1942"/>
      <c r="AD20" s="1942"/>
      <c r="AE20" s="1942"/>
      <c r="AF20" s="1942"/>
      <c r="AG20" s="1943"/>
      <c r="AH20" s="1941" cm="1">
        <f t="array" ref="AH20">SUMPRODUCT((Application!$B$726:$B$760 = 'CalHFA Addendum'!AH$18)*(Application!$AC$726:$AC$760 = 'CalHFA Addendum'!$B20),Application!$G$726:$G$760)</f>
        <v>0</v>
      </c>
      <c r="AI20" s="1942"/>
      <c r="AJ20" s="1942"/>
      <c r="AK20" s="1942"/>
      <c r="AL20" s="1942"/>
      <c r="AM20" s="1943"/>
      <c r="AN20" s="1941" cm="1">
        <f t="array" ref="AN20">SUMPRODUCT((Application!$B$726:$B$760 = 'CalHFA Addendum'!AN$18)*(Application!$AC$726:$AC$760 = 'CalHFA Addendum'!$B20),Application!$G$726:$G$760)</f>
        <v>0</v>
      </c>
      <c r="AO20" s="1942"/>
      <c r="AP20" s="1942"/>
      <c r="AQ20" s="1942"/>
      <c r="AR20" s="1942"/>
      <c r="AS20" s="1943"/>
      <c r="AT20" s="1944">
        <f t="shared" ref="AT20:AT29" si="1">J20/$J$29</f>
        <v>0</v>
      </c>
      <c r="AU20" s="1945"/>
      <c r="AV20" s="1945"/>
      <c r="AW20" s="1945"/>
      <c r="AX20" s="1945"/>
      <c r="AY20" s="1946"/>
      <c r="AZ20" s="1208"/>
      <c r="BA20" s="1208"/>
      <c r="BB20" s="1208"/>
      <c r="BC20" s="1208"/>
      <c r="BD20" s="1208"/>
      <c r="BE20" s="1215"/>
    </row>
    <row r="21" spans="1:58" ht="15">
      <c r="A21" s="1208"/>
      <c r="B21" s="1938">
        <v>0.5</v>
      </c>
      <c r="C21" s="1939"/>
      <c r="D21" s="1939"/>
      <c r="E21" s="1939"/>
      <c r="F21" s="1939"/>
      <c r="G21" s="1939"/>
      <c r="H21" s="1939"/>
      <c r="I21" s="1940"/>
      <c r="J21" s="1941">
        <f t="shared" si="0"/>
        <v>84</v>
      </c>
      <c r="K21" s="1942"/>
      <c r="L21" s="1942"/>
      <c r="M21" s="1942"/>
      <c r="N21" s="1942"/>
      <c r="O21" s="1943"/>
      <c r="P21" s="1941" cm="1">
        <f t="array" ref="P21">SUMPRODUCT((Application!$B$726:$B$760 = 'CalHFA Addendum'!P$18)*(Application!$AC$726:$AC$760 = 'CalHFA Addendum'!$B21),Application!$G$726:$G$760)</f>
        <v>0</v>
      </c>
      <c r="Q21" s="1942"/>
      <c r="R21" s="1942"/>
      <c r="S21" s="1942"/>
      <c r="T21" s="1942"/>
      <c r="U21" s="1943"/>
      <c r="V21" s="1941" cm="1">
        <f t="array" ref="V21">SUMPRODUCT((Application!$B$726:$B$760 = 'CalHFA Addendum'!V$18)*(Application!$AC$726:$AC$760 = 'CalHFA Addendum'!$B21),Application!$G$726:$G$760)</f>
        <v>12</v>
      </c>
      <c r="W21" s="1942"/>
      <c r="X21" s="1942"/>
      <c r="Y21" s="1942"/>
      <c r="Z21" s="1942"/>
      <c r="AA21" s="1943"/>
      <c r="AB21" s="1941" cm="1">
        <f t="array" ref="AB21">SUMPRODUCT((Application!$B$726:$B$760 = 'CalHFA Addendum'!AB$18)*(Application!$AC$726:$AC$760 = 'CalHFA Addendum'!$B21),Application!$G$726:$G$760)</f>
        <v>12</v>
      </c>
      <c r="AC21" s="1942"/>
      <c r="AD21" s="1942"/>
      <c r="AE21" s="1942"/>
      <c r="AF21" s="1942"/>
      <c r="AG21" s="1943"/>
      <c r="AH21" s="1941" cm="1">
        <f t="array" ref="AH21">SUMPRODUCT((Application!$B$726:$B$760 = 'CalHFA Addendum'!AH$18)*(Application!$AC$726:$AC$760 = 'CalHFA Addendum'!$B21),Application!$G$726:$G$760)</f>
        <v>60</v>
      </c>
      <c r="AI21" s="1942"/>
      <c r="AJ21" s="1942"/>
      <c r="AK21" s="1942"/>
      <c r="AL21" s="1942"/>
      <c r="AM21" s="1943"/>
      <c r="AN21" s="1941" cm="1">
        <f t="array" ref="AN21">SUMPRODUCT((Application!$B$726:$B$760 = 'CalHFA Addendum'!AN$18)*(Application!$AC$726:$AC$760 = 'CalHFA Addendum'!$B21),Application!$G$726:$G$760)</f>
        <v>0</v>
      </c>
      <c r="AO21" s="1942"/>
      <c r="AP21" s="1942"/>
      <c r="AQ21" s="1942"/>
      <c r="AR21" s="1942"/>
      <c r="AS21" s="1943"/>
      <c r="AT21" s="1944">
        <f t="shared" si="1"/>
        <v>0.2413793103448276</v>
      </c>
      <c r="AU21" s="1945"/>
      <c r="AV21" s="1945"/>
      <c r="AW21" s="1945"/>
      <c r="AX21" s="1945"/>
      <c r="AY21" s="1946"/>
      <c r="AZ21" s="1208"/>
      <c r="BA21" s="1208"/>
      <c r="BB21" s="1208"/>
      <c r="BC21" s="1208"/>
      <c r="BD21" s="1208"/>
      <c r="BE21" s="1215"/>
    </row>
    <row r="22" spans="1:58" ht="15">
      <c r="A22" s="1208"/>
      <c r="B22" s="1938">
        <v>0.6</v>
      </c>
      <c r="C22" s="1939"/>
      <c r="D22" s="1939"/>
      <c r="E22" s="1939"/>
      <c r="F22" s="1939"/>
      <c r="G22" s="1939"/>
      <c r="H22" s="1939"/>
      <c r="I22" s="1940"/>
      <c r="J22" s="1941">
        <f t="shared" si="0"/>
        <v>173</v>
      </c>
      <c r="K22" s="1942"/>
      <c r="L22" s="1942"/>
      <c r="M22" s="1942"/>
      <c r="N22" s="1942"/>
      <c r="O22" s="1943"/>
      <c r="P22" s="1941" cm="1">
        <f t="array" ref="P22">SUMPRODUCT((Application!$B$726:$B$760 = 'CalHFA Addendum'!P$18)*(Application!$AC$726:$AC$760 = 'CalHFA Addendum'!$B22),Application!$G$726:$G$760)</f>
        <v>0</v>
      </c>
      <c r="Q22" s="1942"/>
      <c r="R22" s="1942"/>
      <c r="S22" s="1942"/>
      <c r="T22" s="1942"/>
      <c r="U22" s="1943"/>
      <c r="V22" s="1941" cm="1">
        <f t="array" ref="V22">SUMPRODUCT((Application!$B$726:$B$760 = 'CalHFA Addendum'!V$18)*(Application!$AC$726:$AC$760 = 'CalHFA Addendum'!$B22),Application!$G$726:$G$760)</f>
        <v>86</v>
      </c>
      <c r="W22" s="1942"/>
      <c r="X22" s="1942"/>
      <c r="Y22" s="1942"/>
      <c r="Z22" s="1942"/>
      <c r="AA22" s="1943"/>
      <c r="AB22" s="1941" cm="1">
        <f t="array" ref="AB22">SUMPRODUCT((Application!$B$726:$B$760 = 'CalHFA Addendum'!AB$18)*(Application!$AC$726:$AC$760 = 'CalHFA Addendum'!$B22),Application!$G$726:$G$760)</f>
        <v>60</v>
      </c>
      <c r="AC22" s="1942"/>
      <c r="AD22" s="1942"/>
      <c r="AE22" s="1942"/>
      <c r="AF22" s="1942"/>
      <c r="AG22" s="1943"/>
      <c r="AH22" s="1941" cm="1">
        <f t="array" ref="AH22">SUMPRODUCT((Application!$B$726:$B$760 = 'CalHFA Addendum'!AH$18)*(Application!$AC$726:$AC$760 = 'CalHFA Addendum'!$B22),Application!$G$726:$G$760)</f>
        <v>27</v>
      </c>
      <c r="AI22" s="1942"/>
      <c r="AJ22" s="1942"/>
      <c r="AK22" s="1942"/>
      <c r="AL22" s="1942"/>
      <c r="AM22" s="1943"/>
      <c r="AN22" s="1941" cm="1">
        <f t="array" ref="AN22">SUMPRODUCT((Application!$B$726:$B$760 = 'CalHFA Addendum'!AN$18)*(Application!$AC$726:$AC$760 = 'CalHFA Addendum'!$B22),Application!$G$726:$G$760)</f>
        <v>0</v>
      </c>
      <c r="AO22" s="1942"/>
      <c r="AP22" s="1942"/>
      <c r="AQ22" s="1942"/>
      <c r="AR22" s="1942"/>
      <c r="AS22" s="1943"/>
      <c r="AT22" s="1944">
        <f t="shared" si="1"/>
        <v>0.49712643678160917</v>
      </c>
      <c r="AU22" s="1945"/>
      <c r="AV22" s="1945"/>
      <c r="AW22" s="1945"/>
      <c r="AX22" s="1945"/>
      <c r="AY22" s="1946"/>
      <c r="AZ22" s="1208"/>
      <c r="BA22" s="1208"/>
      <c r="BB22" s="1208"/>
      <c r="BC22" s="1208"/>
      <c r="BD22" s="1208"/>
      <c r="BE22" s="1215"/>
    </row>
    <row r="23" spans="1:58" ht="15">
      <c r="A23" s="1208"/>
      <c r="B23" s="1938">
        <v>0.7</v>
      </c>
      <c r="C23" s="1939"/>
      <c r="D23" s="1939"/>
      <c r="E23" s="1939"/>
      <c r="F23" s="1939"/>
      <c r="G23" s="1939"/>
      <c r="H23" s="1939"/>
      <c r="I23" s="1940"/>
      <c r="J23" s="1941">
        <f t="shared" si="0"/>
        <v>0</v>
      </c>
      <c r="K23" s="1942"/>
      <c r="L23" s="1942"/>
      <c r="M23" s="1942"/>
      <c r="N23" s="1942"/>
      <c r="O23" s="1943"/>
      <c r="P23" s="1941" cm="1">
        <f t="array" ref="P23">SUMPRODUCT((Application!$B$726:$B$760 = 'CalHFA Addendum'!P$18)*(Application!$AC$726:$AC$760 = 'CalHFA Addendum'!$B23),Application!$G$726:$G$760)</f>
        <v>0</v>
      </c>
      <c r="Q23" s="1942"/>
      <c r="R23" s="1942"/>
      <c r="S23" s="1942"/>
      <c r="T23" s="1942"/>
      <c r="U23" s="1943"/>
      <c r="V23" s="1941" cm="1">
        <f t="array" ref="V23">SUMPRODUCT((Application!$B$726:$B$760 = 'CalHFA Addendum'!V$18)*(Application!$AC$726:$AC$760 = 'CalHFA Addendum'!$B23),Application!$G$726:$G$760)</f>
        <v>0</v>
      </c>
      <c r="W23" s="1942"/>
      <c r="X23" s="1942"/>
      <c r="Y23" s="1942"/>
      <c r="Z23" s="1942"/>
      <c r="AA23" s="1943"/>
      <c r="AB23" s="1941" cm="1">
        <f t="array" ref="AB23">SUMPRODUCT((Application!$B$726:$B$760 = 'CalHFA Addendum'!AB$18)*(Application!$AC$726:$AC$760 = 'CalHFA Addendum'!$B23),Application!$G$726:$G$760)</f>
        <v>0</v>
      </c>
      <c r="AC23" s="1942"/>
      <c r="AD23" s="1942"/>
      <c r="AE23" s="1942"/>
      <c r="AF23" s="1942"/>
      <c r="AG23" s="1943"/>
      <c r="AH23" s="1941" cm="1">
        <f t="array" ref="AH23">SUMPRODUCT((Application!$B$726:$B$760 = 'CalHFA Addendum'!AH$18)*(Application!$AC$726:$AC$760 = 'CalHFA Addendum'!$B23),Application!$G$726:$G$760)</f>
        <v>0</v>
      </c>
      <c r="AI23" s="1942"/>
      <c r="AJ23" s="1942"/>
      <c r="AK23" s="1942"/>
      <c r="AL23" s="1942"/>
      <c r="AM23" s="1943"/>
      <c r="AN23" s="1941" cm="1">
        <f t="array" ref="AN23">SUMPRODUCT((Application!$B$726:$B$760 = 'CalHFA Addendum'!AN$18)*(Application!$AC$726:$AC$760 = 'CalHFA Addendum'!$B23),Application!$G$726:$G$760)</f>
        <v>0</v>
      </c>
      <c r="AO23" s="1942"/>
      <c r="AP23" s="1942"/>
      <c r="AQ23" s="1942"/>
      <c r="AR23" s="1942"/>
      <c r="AS23" s="1943"/>
      <c r="AT23" s="1944">
        <f t="shared" si="1"/>
        <v>0</v>
      </c>
      <c r="AU23" s="1945"/>
      <c r="AV23" s="1945"/>
      <c r="AW23" s="1945"/>
      <c r="AX23" s="1945"/>
      <c r="AY23" s="1946"/>
      <c r="AZ23" s="1208"/>
      <c r="BA23" s="1208"/>
      <c r="BB23" s="1208"/>
      <c r="BC23" s="1208"/>
      <c r="BD23" s="1208"/>
      <c r="BE23" s="1215"/>
    </row>
    <row r="24" spans="1:58" ht="15">
      <c r="A24" s="1208"/>
      <c r="B24" s="1938">
        <v>0.8</v>
      </c>
      <c r="C24" s="1939"/>
      <c r="D24" s="1939"/>
      <c r="E24" s="1939"/>
      <c r="F24" s="1939"/>
      <c r="G24" s="1939"/>
      <c r="H24" s="1939"/>
      <c r="I24" s="1940"/>
      <c r="J24" s="1941">
        <f t="shared" si="0"/>
        <v>0</v>
      </c>
      <c r="K24" s="1942"/>
      <c r="L24" s="1942"/>
      <c r="M24" s="1942"/>
      <c r="N24" s="1942"/>
      <c r="O24" s="1943"/>
      <c r="P24" s="1941" cm="1">
        <f t="array" ref="P24">SUMPRODUCT((Application!$B$726:$B$760 = 'CalHFA Addendum'!P$18)*(Application!$AC$726:$AC$760 = 'CalHFA Addendum'!$B24),Application!$G$726:$G$760)</f>
        <v>0</v>
      </c>
      <c r="Q24" s="1942"/>
      <c r="R24" s="1942"/>
      <c r="S24" s="1942"/>
      <c r="T24" s="1942"/>
      <c r="U24" s="1943"/>
      <c r="V24" s="1941" cm="1">
        <f t="array" ref="V24">SUMPRODUCT((Application!$B$726:$B$760 = 'CalHFA Addendum'!V$18)*(Application!$AC$726:$AC$760 = 'CalHFA Addendum'!$B24),Application!$G$726:$G$760)</f>
        <v>0</v>
      </c>
      <c r="W24" s="1942"/>
      <c r="X24" s="1942"/>
      <c r="Y24" s="1942"/>
      <c r="Z24" s="1942"/>
      <c r="AA24" s="1943"/>
      <c r="AB24" s="1941" cm="1">
        <f t="array" ref="AB24">SUMPRODUCT((Application!$B$726:$B$760 = 'CalHFA Addendum'!AB$18)*(Application!$AC$726:$AC$760 = 'CalHFA Addendum'!$B24),Application!$G$726:$G$760)</f>
        <v>0</v>
      </c>
      <c r="AC24" s="1942"/>
      <c r="AD24" s="1942"/>
      <c r="AE24" s="1942"/>
      <c r="AF24" s="1942"/>
      <c r="AG24" s="1943"/>
      <c r="AH24" s="1941" cm="1">
        <f t="array" ref="AH24">SUMPRODUCT((Application!$B$726:$B$760 = 'CalHFA Addendum'!AH$18)*(Application!$AC$726:$AC$760 = 'CalHFA Addendum'!$B24),Application!$G$726:$G$760)</f>
        <v>0</v>
      </c>
      <c r="AI24" s="1942"/>
      <c r="AJ24" s="1942"/>
      <c r="AK24" s="1942"/>
      <c r="AL24" s="1942"/>
      <c r="AM24" s="1943"/>
      <c r="AN24" s="1941" cm="1">
        <f t="array" ref="AN24">SUMPRODUCT((Application!$B$726:$B$760 = 'CalHFA Addendum'!AN$18)*(Application!$AC$726:$AC$760 = 'CalHFA Addendum'!$B24),Application!$G$726:$G$760)</f>
        <v>0</v>
      </c>
      <c r="AO24" s="1942"/>
      <c r="AP24" s="1942"/>
      <c r="AQ24" s="1942"/>
      <c r="AR24" s="1942"/>
      <c r="AS24" s="1943"/>
      <c r="AT24" s="1944">
        <f t="shared" si="1"/>
        <v>0</v>
      </c>
      <c r="AU24" s="1945"/>
      <c r="AV24" s="1945"/>
      <c r="AW24" s="1945"/>
      <c r="AX24" s="1945"/>
      <c r="AY24" s="1946"/>
      <c r="AZ24" s="1208"/>
      <c r="BA24" s="1208"/>
      <c r="BB24" s="1208"/>
      <c r="BC24" s="1208"/>
      <c r="BD24" s="1208"/>
      <c r="BE24" s="1215"/>
    </row>
    <row r="25" spans="1:58" ht="15">
      <c r="A25" s="1208"/>
      <c r="B25" s="1938">
        <v>0.9</v>
      </c>
      <c r="C25" s="1939"/>
      <c r="D25" s="1939"/>
      <c r="E25" s="1939"/>
      <c r="F25" s="1939"/>
      <c r="G25" s="1939"/>
      <c r="H25" s="1939"/>
      <c r="I25" s="1940"/>
      <c r="J25" s="1947"/>
      <c r="K25" s="1948"/>
      <c r="L25" s="1948"/>
      <c r="M25" s="1948"/>
      <c r="N25" s="1948"/>
      <c r="O25" s="1949"/>
      <c r="P25" s="1947"/>
      <c r="Q25" s="1948"/>
      <c r="R25" s="1948"/>
      <c r="S25" s="1948"/>
      <c r="T25" s="1948"/>
      <c r="U25" s="1949"/>
      <c r="V25" s="1947"/>
      <c r="W25" s="1948"/>
      <c r="X25" s="1948"/>
      <c r="Y25" s="1948"/>
      <c r="Z25" s="1948"/>
      <c r="AA25" s="1949"/>
      <c r="AB25" s="1947"/>
      <c r="AC25" s="1948"/>
      <c r="AD25" s="1948"/>
      <c r="AE25" s="1948"/>
      <c r="AF25" s="1948"/>
      <c r="AG25" s="1949"/>
      <c r="AH25" s="1947"/>
      <c r="AI25" s="1948"/>
      <c r="AJ25" s="1948"/>
      <c r="AK25" s="1948"/>
      <c r="AL25" s="1948"/>
      <c r="AM25" s="1949"/>
      <c r="AN25" s="1947"/>
      <c r="AO25" s="1948"/>
      <c r="AP25" s="1948"/>
      <c r="AQ25" s="1948"/>
      <c r="AR25" s="1948"/>
      <c r="AS25" s="1949"/>
      <c r="AT25" s="1944">
        <f t="shared" si="1"/>
        <v>0</v>
      </c>
      <c r="AU25" s="1945"/>
      <c r="AV25" s="1945"/>
      <c r="AW25" s="1945"/>
      <c r="AX25" s="1945"/>
      <c r="AY25" s="1946"/>
      <c r="AZ25" s="1208"/>
      <c r="BA25" s="1208"/>
      <c r="BB25" s="1208"/>
      <c r="BC25" s="1208"/>
      <c r="BD25" s="1208"/>
      <c r="BE25" s="1215"/>
    </row>
    <row r="26" spans="1:58" ht="15">
      <c r="A26" s="1208"/>
      <c r="B26" s="1938">
        <v>1</v>
      </c>
      <c r="C26" s="1939"/>
      <c r="D26" s="1939"/>
      <c r="E26" s="1939"/>
      <c r="F26" s="1939"/>
      <c r="G26" s="1939"/>
      <c r="H26" s="1939"/>
      <c r="I26" s="1940"/>
      <c r="J26" s="1947"/>
      <c r="K26" s="1948"/>
      <c r="L26" s="1948"/>
      <c r="M26" s="1948"/>
      <c r="N26" s="1948"/>
      <c r="O26" s="1949"/>
      <c r="P26" s="1947"/>
      <c r="Q26" s="1948"/>
      <c r="R26" s="1948"/>
      <c r="S26" s="1948"/>
      <c r="T26" s="1948"/>
      <c r="U26" s="1949"/>
      <c r="V26" s="1947"/>
      <c r="W26" s="1948"/>
      <c r="X26" s="1948"/>
      <c r="Y26" s="1948"/>
      <c r="Z26" s="1948"/>
      <c r="AA26" s="1949"/>
      <c r="AB26" s="1947"/>
      <c r="AC26" s="1948"/>
      <c r="AD26" s="1948"/>
      <c r="AE26" s="1948"/>
      <c r="AF26" s="1948"/>
      <c r="AG26" s="1949"/>
      <c r="AH26" s="1947"/>
      <c r="AI26" s="1948"/>
      <c r="AJ26" s="1948"/>
      <c r="AK26" s="1948"/>
      <c r="AL26" s="1948"/>
      <c r="AM26" s="1949"/>
      <c r="AN26" s="1947"/>
      <c r="AO26" s="1948"/>
      <c r="AP26" s="1948"/>
      <c r="AQ26" s="1948"/>
      <c r="AR26" s="1948"/>
      <c r="AS26" s="1949"/>
      <c r="AT26" s="1944">
        <f t="shared" si="1"/>
        <v>0</v>
      </c>
      <c r="AU26" s="1945"/>
      <c r="AV26" s="1945"/>
      <c r="AW26" s="1945"/>
      <c r="AX26" s="1945"/>
      <c r="AY26" s="1946"/>
      <c r="AZ26" s="1208"/>
      <c r="BA26" s="1208"/>
      <c r="BB26" s="1208"/>
      <c r="BC26" s="1208"/>
      <c r="BD26" s="1208"/>
      <c r="BE26" s="1215"/>
    </row>
    <row r="27" spans="1:58" ht="15">
      <c r="A27" s="1208"/>
      <c r="B27" s="1938">
        <v>1.2</v>
      </c>
      <c r="C27" s="1939"/>
      <c r="D27" s="1939"/>
      <c r="E27" s="1939"/>
      <c r="F27" s="1939"/>
      <c r="G27" s="1939"/>
      <c r="H27" s="1939"/>
      <c r="I27" s="1940"/>
      <c r="J27" s="1947"/>
      <c r="K27" s="1948"/>
      <c r="L27" s="1948"/>
      <c r="M27" s="1948"/>
      <c r="N27" s="1948"/>
      <c r="O27" s="1949"/>
      <c r="P27" s="1947"/>
      <c r="Q27" s="1948"/>
      <c r="R27" s="1948"/>
      <c r="S27" s="1948"/>
      <c r="T27" s="1948"/>
      <c r="U27" s="1949"/>
      <c r="V27" s="1947"/>
      <c r="W27" s="1948"/>
      <c r="X27" s="1948"/>
      <c r="Y27" s="1948"/>
      <c r="Z27" s="1948"/>
      <c r="AA27" s="1949"/>
      <c r="AB27" s="1947"/>
      <c r="AC27" s="1948"/>
      <c r="AD27" s="1948"/>
      <c r="AE27" s="1948"/>
      <c r="AF27" s="1948"/>
      <c r="AG27" s="1949"/>
      <c r="AH27" s="1947"/>
      <c r="AI27" s="1948"/>
      <c r="AJ27" s="1948"/>
      <c r="AK27" s="1948"/>
      <c r="AL27" s="1948"/>
      <c r="AM27" s="1949"/>
      <c r="AN27" s="1947"/>
      <c r="AO27" s="1948"/>
      <c r="AP27" s="1948"/>
      <c r="AQ27" s="1948"/>
      <c r="AR27" s="1948"/>
      <c r="AS27" s="1949"/>
      <c r="AT27" s="1944">
        <f t="shared" si="1"/>
        <v>0</v>
      </c>
      <c r="AU27" s="1945"/>
      <c r="AV27" s="1945"/>
      <c r="AW27" s="1945"/>
      <c r="AX27" s="1945"/>
      <c r="AY27" s="1946"/>
      <c r="AZ27" s="1208"/>
      <c r="BA27" s="1208"/>
      <c r="BB27" s="1208"/>
      <c r="BC27" s="1208"/>
      <c r="BD27" s="1208"/>
      <c r="BE27" s="1215"/>
    </row>
    <row r="28" spans="1:58" thickBot="1">
      <c r="A28" s="1208"/>
      <c r="B28" s="1950" t="s">
        <v>2366</v>
      </c>
      <c r="C28" s="1951"/>
      <c r="D28" s="1951"/>
      <c r="E28" s="1951"/>
      <c r="F28" s="1951"/>
      <c r="G28" s="1951"/>
      <c r="H28" s="1951"/>
      <c r="I28" s="1952"/>
      <c r="J28" s="1953">
        <f>SUM(P28:AS28)</f>
        <v>4</v>
      </c>
      <c r="K28" s="1954"/>
      <c r="L28" s="1954"/>
      <c r="M28" s="1954"/>
      <c r="N28" s="1954"/>
      <c r="O28" s="1955"/>
      <c r="P28" s="1953">
        <f>_xlfn.IFNA(VLOOKUP(P$18,Application!$J$781:$S$784,6,FALSE), 0)</f>
        <v>0</v>
      </c>
      <c r="Q28" s="1954"/>
      <c r="R28" s="1954"/>
      <c r="S28" s="1954"/>
      <c r="T28" s="1954"/>
      <c r="U28" s="1955"/>
      <c r="V28" s="1953">
        <f>_xlfn.IFNA(VLOOKUP(V$18,Application!$J$781:$S$784,6,FALSE), 0)</f>
        <v>0</v>
      </c>
      <c r="W28" s="1954"/>
      <c r="X28" s="1954"/>
      <c r="Y28" s="1954"/>
      <c r="Z28" s="1954"/>
      <c r="AA28" s="1955"/>
      <c r="AB28" s="1953">
        <f>_xlfn.IFNA(VLOOKUP(AB$18,Application!$J$781:$S$784,6,FALSE), 0)</f>
        <v>3</v>
      </c>
      <c r="AC28" s="1954"/>
      <c r="AD28" s="1954"/>
      <c r="AE28" s="1954"/>
      <c r="AF28" s="1954"/>
      <c r="AG28" s="1955"/>
      <c r="AH28" s="1953">
        <f>_xlfn.IFNA(VLOOKUP(AH$18,Application!$J$781:$S$784,6,FALSE), 0)</f>
        <v>1</v>
      </c>
      <c r="AI28" s="1954"/>
      <c r="AJ28" s="1954"/>
      <c r="AK28" s="1954"/>
      <c r="AL28" s="1954"/>
      <c r="AM28" s="1955"/>
      <c r="AN28" s="1953">
        <f>_xlfn.IFNA(VLOOKUP(AN$18,Application!$J$781:$S$784,6,FALSE), 0)</f>
        <v>0</v>
      </c>
      <c r="AO28" s="1954"/>
      <c r="AP28" s="1954"/>
      <c r="AQ28" s="1954"/>
      <c r="AR28" s="1954"/>
      <c r="AS28" s="1955"/>
      <c r="AT28" s="1956">
        <f t="shared" si="1"/>
        <v>1.1494252873563218E-2</v>
      </c>
      <c r="AU28" s="1957"/>
      <c r="AV28" s="1957"/>
      <c r="AW28" s="1957"/>
      <c r="AX28" s="1957"/>
      <c r="AY28" s="1958"/>
      <c r="AZ28" s="1208"/>
      <c r="BA28" s="1208"/>
      <c r="BB28" s="1208"/>
      <c r="BC28" s="1208"/>
      <c r="BD28" s="1208"/>
      <c r="BE28" s="1215"/>
    </row>
    <row r="29" spans="1:58" thickBot="1">
      <c r="A29" s="1208"/>
      <c r="B29" s="1987" t="s">
        <v>1575</v>
      </c>
      <c r="C29" s="1960"/>
      <c r="D29" s="1960"/>
      <c r="E29" s="1960"/>
      <c r="F29" s="1960"/>
      <c r="G29" s="1960"/>
      <c r="H29" s="1960"/>
      <c r="I29" s="1961"/>
      <c r="J29" s="1959">
        <f>SUM(J19:O28)</f>
        <v>348</v>
      </c>
      <c r="K29" s="1960"/>
      <c r="L29" s="1960"/>
      <c r="M29" s="1960"/>
      <c r="N29" s="1960"/>
      <c r="O29" s="1961"/>
      <c r="P29" s="1959">
        <f>SUM(P19:U28)</f>
        <v>0</v>
      </c>
      <c r="Q29" s="1960"/>
      <c r="R29" s="1960"/>
      <c r="S29" s="1960"/>
      <c r="T29" s="1960"/>
      <c r="U29" s="1961"/>
      <c r="V29" s="1959">
        <f>SUM(V19:AA28)</f>
        <v>130</v>
      </c>
      <c r="W29" s="1960"/>
      <c r="X29" s="1960"/>
      <c r="Y29" s="1960"/>
      <c r="Z29" s="1960"/>
      <c r="AA29" s="1961"/>
      <c r="AB29" s="1959">
        <f>SUM(AB19:AG28)</f>
        <v>120</v>
      </c>
      <c r="AC29" s="1960"/>
      <c r="AD29" s="1960"/>
      <c r="AE29" s="1960"/>
      <c r="AF29" s="1960"/>
      <c r="AG29" s="1961"/>
      <c r="AH29" s="1959">
        <f>SUM(AH19:AM28)</f>
        <v>98</v>
      </c>
      <c r="AI29" s="1960"/>
      <c r="AJ29" s="1960"/>
      <c r="AK29" s="1960"/>
      <c r="AL29" s="1960"/>
      <c r="AM29" s="1961"/>
      <c r="AN29" s="1959">
        <f>SUM(AN19:AS28)</f>
        <v>0</v>
      </c>
      <c r="AO29" s="1960"/>
      <c r="AP29" s="1960"/>
      <c r="AQ29" s="1960"/>
      <c r="AR29" s="1960"/>
      <c r="AS29" s="1961"/>
      <c r="AT29" s="1962">
        <f t="shared" si="1"/>
        <v>1</v>
      </c>
      <c r="AU29" s="1963"/>
      <c r="AV29" s="1963"/>
      <c r="AW29" s="1963"/>
      <c r="AX29" s="1963"/>
      <c r="AY29" s="196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5" t="s">
        <v>2365</v>
      </c>
      <c r="C31" s="1966"/>
      <c r="D31" s="1966"/>
      <c r="E31" s="1966"/>
      <c r="F31" s="1966"/>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66"/>
      <c r="AO31" s="1966"/>
      <c r="AP31" s="1966"/>
      <c r="AQ31" s="1966"/>
      <c r="AR31" s="1966"/>
      <c r="AS31" s="1966"/>
      <c r="AT31" s="1966"/>
      <c r="AU31" s="1966"/>
      <c r="AV31" s="1966"/>
      <c r="AW31" s="1966"/>
      <c r="AX31" s="1966"/>
      <c r="AY31" s="1966"/>
      <c r="AZ31" s="1966"/>
      <c r="BA31" s="1966"/>
      <c r="BB31" s="1966"/>
      <c r="BC31" s="1966"/>
      <c r="BD31" s="1967"/>
      <c r="BE31" s="1215"/>
    </row>
    <row r="32" spans="1:58" thickBot="1">
      <c r="A32" s="1208"/>
      <c r="B32" s="1968" t="s">
        <v>2364</v>
      </c>
      <c r="C32" s="1969"/>
      <c r="D32" s="1969"/>
      <c r="E32" s="1969"/>
      <c r="F32" s="1969"/>
      <c r="G32" s="1969"/>
      <c r="H32" s="1969"/>
      <c r="I32" s="1969"/>
      <c r="J32" s="1972" t="s">
        <v>2363</v>
      </c>
      <c r="K32" s="1973"/>
      <c r="L32" s="1973"/>
      <c r="M32" s="1973"/>
      <c r="N32" s="1972" t="s">
        <v>2362</v>
      </c>
      <c r="O32" s="1973"/>
      <c r="P32" s="1973"/>
      <c r="Q32" s="1975"/>
      <c r="R32" s="1977" t="s">
        <v>2361</v>
      </c>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78"/>
      <c r="AO32" s="1978"/>
      <c r="AP32" s="1978"/>
      <c r="AQ32" s="1978"/>
      <c r="AR32" s="1978"/>
      <c r="AS32" s="1978"/>
      <c r="AT32" s="1978"/>
      <c r="AU32" s="1978"/>
      <c r="AV32" s="1978"/>
      <c r="AW32" s="1978"/>
      <c r="AX32" s="1978"/>
      <c r="AY32" s="1978"/>
      <c r="AZ32" s="1978"/>
      <c r="BA32" s="1978"/>
      <c r="BB32" s="1978"/>
      <c r="BC32" s="1978"/>
      <c r="BD32" s="1979"/>
      <c r="BE32" s="1215"/>
    </row>
    <row r="33" spans="1:58" ht="15" customHeight="1">
      <c r="A33" s="1208"/>
      <c r="B33" s="1970"/>
      <c r="C33" s="1971"/>
      <c r="D33" s="1971"/>
      <c r="E33" s="1971"/>
      <c r="F33" s="1971"/>
      <c r="G33" s="1971"/>
      <c r="H33" s="1971"/>
      <c r="I33" s="1971"/>
      <c r="J33" s="1974"/>
      <c r="K33" s="1974"/>
      <c r="L33" s="1974"/>
      <c r="M33" s="1974"/>
      <c r="N33" s="1974"/>
      <c r="O33" s="1974"/>
      <c r="P33" s="1974"/>
      <c r="Q33" s="1976"/>
      <c r="R33" s="1980" t="s">
        <v>2360</v>
      </c>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1981"/>
      <c r="AP33" s="1981"/>
      <c r="AQ33" s="1981"/>
      <c r="AR33" s="1981"/>
      <c r="AS33" s="1981"/>
      <c r="AT33" s="1981"/>
      <c r="AU33" s="1981"/>
      <c r="AV33" s="1981"/>
      <c r="AW33" s="1981"/>
      <c r="AX33" s="1981"/>
      <c r="AY33" s="1981"/>
      <c r="AZ33" s="1981"/>
      <c r="BA33" s="1981"/>
      <c r="BB33" s="1981"/>
      <c r="BC33" s="1981"/>
      <c r="BD33" s="1982"/>
      <c r="BE33" s="1215"/>
    </row>
    <row r="34" spans="1:58" ht="15.75" customHeight="1" thickBot="1">
      <c r="A34" s="1208"/>
      <c r="B34" s="1970"/>
      <c r="C34" s="1971"/>
      <c r="D34" s="1971"/>
      <c r="E34" s="1971"/>
      <c r="F34" s="1971"/>
      <c r="G34" s="1971"/>
      <c r="H34" s="1971"/>
      <c r="I34" s="1971"/>
      <c r="J34" s="1974"/>
      <c r="K34" s="1974"/>
      <c r="L34" s="1974"/>
      <c r="M34" s="1974"/>
      <c r="N34" s="1974"/>
      <c r="O34" s="1974"/>
      <c r="P34" s="1974"/>
      <c r="Q34" s="1976"/>
      <c r="R34" s="1983"/>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c r="AN34" s="1984"/>
      <c r="AO34" s="1984"/>
      <c r="AP34" s="1984"/>
      <c r="AQ34" s="1984"/>
      <c r="AR34" s="1984"/>
      <c r="AS34" s="1984"/>
      <c r="AT34" s="1984"/>
      <c r="AU34" s="1984"/>
      <c r="AV34" s="1984"/>
      <c r="AW34" s="1984"/>
      <c r="AX34" s="1984"/>
      <c r="AY34" s="1984"/>
      <c r="AZ34" s="1984"/>
      <c r="BA34" s="1984"/>
      <c r="BB34" s="1984"/>
      <c r="BC34" s="1984"/>
      <c r="BD34" s="1985"/>
      <c r="BE34" s="1215"/>
    </row>
    <row r="35" spans="1:58" ht="15.75" customHeight="1">
      <c r="A35" s="1208"/>
      <c r="B35" s="1970"/>
      <c r="C35" s="1971"/>
      <c r="D35" s="1971"/>
      <c r="E35" s="1971"/>
      <c r="F35" s="1971"/>
      <c r="G35" s="1971"/>
      <c r="H35" s="1971"/>
      <c r="I35" s="1971"/>
      <c r="J35" s="1974"/>
      <c r="K35" s="1974"/>
      <c r="L35" s="1974"/>
      <c r="M35" s="1974"/>
      <c r="N35" s="1974"/>
      <c r="O35" s="1974"/>
      <c r="P35" s="1974"/>
      <c r="Q35" s="1974"/>
      <c r="R35" s="1986">
        <v>0.3</v>
      </c>
      <c r="S35" s="1986"/>
      <c r="T35" s="1986"/>
      <c r="U35" s="1986"/>
      <c r="V35" s="1986">
        <v>0.4</v>
      </c>
      <c r="W35" s="1986"/>
      <c r="X35" s="1986"/>
      <c r="Y35" s="1986"/>
      <c r="Z35" s="1986">
        <v>0.5</v>
      </c>
      <c r="AA35" s="1986"/>
      <c r="AB35" s="1986"/>
      <c r="AC35" s="1986"/>
      <c r="AD35" s="1986">
        <v>0.6</v>
      </c>
      <c r="AE35" s="1986"/>
      <c r="AF35" s="1986"/>
      <c r="AG35" s="1986"/>
      <c r="AH35" s="1986">
        <v>0.7</v>
      </c>
      <c r="AI35" s="1986"/>
      <c r="AJ35" s="1986"/>
      <c r="AK35" s="1986"/>
      <c r="AL35" s="1991">
        <v>0.8</v>
      </c>
      <c r="AM35" s="1992"/>
      <c r="AN35" s="1992"/>
      <c r="AO35" s="1993"/>
      <c r="AP35" s="1994">
        <v>1.2</v>
      </c>
      <c r="AQ35" s="1995"/>
      <c r="AR35" s="1996"/>
      <c r="AS35" s="1988" t="s">
        <v>2359</v>
      </c>
      <c r="AT35" s="1989"/>
      <c r="AU35" s="1989"/>
      <c r="AV35" s="1989"/>
      <c r="AW35" s="1989"/>
      <c r="AX35" s="1997"/>
      <c r="AY35" s="1988" t="s">
        <v>2358</v>
      </c>
      <c r="AZ35" s="1989"/>
      <c r="BA35" s="1989"/>
      <c r="BB35" s="1989"/>
      <c r="BC35" s="1989"/>
      <c r="BD35" s="1990"/>
      <c r="BE35" s="1215"/>
    </row>
    <row r="36" spans="1:58" ht="15.75" customHeight="1">
      <c r="A36" s="1208"/>
      <c r="B36" s="2007" t="s">
        <v>2357</v>
      </c>
      <c r="C36" s="2008"/>
      <c r="D36" s="2008"/>
      <c r="E36" s="2008"/>
      <c r="F36" s="2008"/>
      <c r="G36" s="2008"/>
      <c r="H36" s="2008"/>
      <c r="I36" s="2008"/>
      <c r="J36" s="2009" t="s">
        <v>2356</v>
      </c>
      <c r="K36" s="2009"/>
      <c r="L36" s="2009"/>
      <c r="M36" s="2009"/>
      <c r="N36" s="2009">
        <v>55</v>
      </c>
      <c r="O36" s="2009"/>
      <c r="P36" s="2009"/>
      <c r="Q36" s="2009"/>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1998"/>
      <c r="AM36" s="1999"/>
      <c r="AN36" s="1999"/>
      <c r="AO36" s="2000"/>
      <c r="AP36" s="1998"/>
      <c r="AQ36" s="1999"/>
      <c r="AR36" s="2000"/>
      <c r="AS36" s="2001">
        <f t="shared" ref="AS36:AS47" si="2">SUM(R36:AR36)</f>
        <v>0</v>
      </c>
      <c r="AT36" s="2002"/>
      <c r="AU36" s="2002"/>
      <c r="AV36" s="2002"/>
      <c r="AW36" s="2002"/>
      <c r="AX36" s="2003"/>
      <c r="AY36" s="2004">
        <f t="shared" ref="AY36:AY47" si="3">AS36/$J$29</f>
        <v>0</v>
      </c>
      <c r="AZ36" s="2005"/>
      <c r="BA36" s="2005"/>
      <c r="BB36" s="2005"/>
      <c r="BC36" s="2005"/>
      <c r="BD36" s="2006"/>
      <c r="BE36" s="1215"/>
    </row>
    <row r="37" spans="1:58" ht="15.75" customHeight="1">
      <c r="A37" s="1208"/>
      <c r="B37" s="2007" t="s">
        <v>2355</v>
      </c>
      <c r="C37" s="2008"/>
      <c r="D37" s="2008"/>
      <c r="E37" s="2008"/>
      <c r="F37" s="2008"/>
      <c r="G37" s="2008"/>
      <c r="H37" s="2008"/>
      <c r="I37" s="2008"/>
      <c r="J37" s="2009" t="s">
        <v>2354</v>
      </c>
      <c r="K37" s="2009"/>
      <c r="L37" s="2009"/>
      <c r="M37" s="2009"/>
      <c r="N37" s="2009">
        <v>55</v>
      </c>
      <c r="O37" s="2009"/>
      <c r="P37" s="2009"/>
      <c r="Q37" s="2009"/>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1998"/>
      <c r="AM37" s="1999"/>
      <c r="AN37" s="1999"/>
      <c r="AO37" s="2000"/>
      <c r="AP37" s="1998"/>
      <c r="AQ37" s="1999"/>
      <c r="AR37" s="2000"/>
      <c r="AS37" s="2001">
        <f t="shared" si="2"/>
        <v>0</v>
      </c>
      <c r="AT37" s="2002"/>
      <c r="AU37" s="2002"/>
      <c r="AV37" s="2002"/>
      <c r="AW37" s="2002"/>
      <c r="AX37" s="2003"/>
      <c r="AY37" s="2004">
        <f t="shared" si="3"/>
        <v>0</v>
      </c>
      <c r="AZ37" s="2005"/>
      <c r="BA37" s="2005"/>
      <c r="BB37" s="2005"/>
      <c r="BC37" s="2005"/>
      <c r="BD37" s="2006"/>
      <c r="BE37" s="1215"/>
    </row>
    <row r="38" spans="1:58" ht="15.75" customHeight="1">
      <c r="A38" s="1208"/>
      <c r="B38" s="2007" t="s">
        <v>2353</v>
      </c>
      <c r="C38" s="2008"/>
      <c r="D38" s="2008"/>
      <c r="E38" s="2008"/>
      <c r="F38" s="2008"/>
      <c r="G38" s="2008"/>
      <c r="H38" s="2008"/>
      <c r="I38" s="2008"/>
      <c r="J38" s="2009" t="s">
        <v>2352</v>
      </c>
      <c r="K38" s="2009"/>
      <c r="L38" s="2009"/>
      <c r="M38" s="2009"/>
      <c r="N38" s="2009">
        <v>55</v>
      </c>
      <c r="O38" s="2009"/>
      <c r="P38" s="2009"/>
      <c r="Q38" s="2009"/>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1998"/>
      <c r="AM38" s="1999"/>
      <c r="AN38" s="1999"/>
      <c r="AO38" s="2000"/>
      <c r="AP38" s="1998"/>
      <c r="AQ38" s="1999"/>
      <c r="AR38" s="2000"/>
      <c r="AS38" s="2001">
        <f t="shared" si="2"/>
        <v>0</v>
      </c>
      <c r="AT38" s="2002"/>
      <c r="AU38" s="2002"/>
      <c r="AV38" s="2002"/>
      <c r="AW38" s="2002"/>
      <c r="AX38" s="2003"/>
      <c r="AY38" s="2004">
        <f t="shared" si="3"/>
        <v>0</v>
      </c>
      <c r="AZ38" s="2005"/>
      <c r="BA38" s="2005"/>
      <c r="BB38" s="2005"/>
      <c r="BC38" s="2005"/>
      <c r="BD38" s="2006"/>
      <c r="BE38" s="1215"/>
    </row>
    <row r="39" spans="1:58" ht="15.75" customHeight="1">
      <c r="A39" s="1208"/>
      <c r="B39" s="2007" t="s">
        <v>2351</v>
      </c>
      <c r="C39" s="2008"/>
      <c r="D39" s="2008"/>
      <c r="E39" s="2008"/>
      <c r="F39" s="2008"/>
      <c r="G39" s="2008"/>
      <c r="H39" s="2008"/>
      <c r="I39" s="2008"/>
      <c r="J39" s="2009"/>
      <c r="K39" s="2009"/>
      <c r="L39" s="2009"/>
      <c r="M39" s="2009"/>
      <c r="N39" s="2009"/>
      <c r="O39" s="2009"/>
      <c r="P39" s="2009"/>
      <c r="Q39" s="2009"/>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1998"/>
      <c r="AM39" s="1999"/>
      <c r="AN39" s="1999"/>
      <c r="AO39" s="2000"/>
      <c r="AP39" s="1998"/>
      <c r="AQ39" s="1999"/>
      <c r="AR39" s="2000"/>
      <c r="AS39" s="2001">
        <f t="shared" si="2"/>
        <v>0</v>
      </c>
      <c r="AT39" s="2002"/>
      <c r="AU39" s="2002"/>
      <c r="AV39" s="2002"/>
      <c r="AW39" s="2002"/>
      <c r="AX39" s="2003"/>
      <c r="AY39" s="2004">
        <f t="shared" si="3"/>
        <v>0</v>
      </c>
      <c r="AZ39" s="2005"/>
      <c r="BA39" s="2005"/>
      <c r="BB39" s="2005"/>
      <c r="BC39" s="2005"/>
      <c r="BD39" s="2006"/>
      <c r="BE39" s="1215"/>
    </row>
    <row r="40" spans="1:58" ht="15.75" customHeight="1">
      <c r="A40" s="1208"/>
      <c r="B40" s="2007" t="s">
        <v>2351</v>
      </c>
      <c r="C40" s="2008"/>
      <c r="D40" s="2008"/>
      <c r="E40" s="2008"/>
      <c r="F40" s="2008"/>
      <c r="G40" s="2008"/>
      <c r="H40" s="2008"/>
      <c r="I40" s="2008"/>
      <c r="J40" s="2009"/>
      <c r="K40" s="2009"/>
      <c r="L40" s="2009"/>
      <c r="M40" s="2009"/>
      <c r="N40" s="2009"/>
      <c r="O40" s="2009"/>
      <c r="P40" s="2009"/>
      <c r="Q40" s="2009"/>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1998"/>
      <c r="AM40" s="1999"/>
      <c r="AN40" s="1999"/>
      <c r="AO40" s="2000"/>
      <c r="AP40" s="1998"/>
      <c r="AQ40" s="1999"/>
      <c r="AR40" s="2000"/>
      <c r="AS40" s="2001">
        <f t="shared" si="2"/>
        <v>0</v>
      </c>
      <c r="AT40" s="2002"/>
      <c r="AU40" s="2002"/>
      <c r="AV40" s="2002"/>
      <c r="AW40" s="2002"/>
      <c r="AX40" s="2003"/>
      <c r="AY40" s="2004">
        <f t="shared" si="3"/>
        <v>0</v>
      </c>
      <c r="AZ40" s="2005"/>
      <c r="BA40" s="2005"/>
      <c r="BB40" s="2005"/>
      <c r="BC40" s="2005"/>
      <c r="BD40" s="2006"/>
      <c r="BE40" s="1215"/>
    </row>
    <row r="41" spans="1:58" ht="15.75" customHeight="1">
      <c r="A41" s="1208"/>
      <c r="B41" s="2007" t="s">
        <v>2350</v>
      </c>
      <c r="C41" s="2008"/>
      <c r="D41" s="2008"/>
      <c r="E41" s="2008"/>
      <c r="F41" s="2008"/>
      <c r="G41" s="2008"/>
      <c r="H41" s="2008"/>
      <c r="I41" s="2008"/>
      <c r="J41" s="2009"/>
      <c r="K41" s="2009"/>
      <c r="L41" s="2009"/>
      <c r="M41" s="2009"/>
      <c r="N41" s="2009"/>
      <c r="O41" s="2009"/>
      <c r="P41" s="2009"/>
      <c r="Q41" s="2009"/>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1998"/>
      <c r="AM41" s="1999"/>
      <c r="AN41" s="1999"/>
      <c r="AO41" s="2000"/>
      <c r="AP41" s="1998"/>
      <c r="AQ41" s="1999"/>
      <c r="AR41" s="2000"/>
      <c r="AS41" s="2001">
        <f t="shared" si="2"/>
        <v>0</v>
      </c>
      <c r="AT41" s="2002"/>
      <c r="AU41" s="2002"/>
      <c r="AV41" s="2002"/>
      <c r="AW41" s="2002"/>
      <c r="AX41" s="2003"/>
      <c r="AY41" s="2004">
        <f t="shared" si="3"/>
        <v>0</v>
      </c>
      <c r="AZ41" s="2005"/>
      <c r="BA41" s="2005"/>
      <c r="BB41" s="2005"/>
      <c r="BC41" s="2005"/>
      <c r="BD41" s="2006"/>
      <c r="BE41" s="1215"/>
    </row>
    <row r="42" spans="1:58" ht="15.75" customHeight="1">
      <c r="A42" s="1208"/>
      <c r="B42" s="2007" t="s">
        <v>2350</v>
      </c>
      <c r="C42" s="2008"/>
      <c r="D42" s="2008"/>
      <c r="E42" s="2008"/>
      <c r="F42" s="2008"/>
      <c r="G42" s="2008"/>
      <c r="H42" s="2008"/>
      <c r="I42" s="2008"/>
      <c r="J42" s="2009"/>
      <c r="K42" s="2009"/>
      <c r="L42" s="2009"/>
      <c r="M42" s="2009"/>
      <c r="N42" s="2009"/>
      <c r="O42" s="2009"/>
      <c r="P42" s="2009"/>
      <c r="Q42" s="2009"/>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1998"/>
      <c r="AM42" s="1999"/>
      <c r="AN42" s="1999"/>
      <c r="AO42" s="2000"/>
      <c r="AP42" s="1998"/>
      <c r="AQ42" s="1999"/>
      <c r="AR42" s="2000"/>
      <c r="AS42" s="2001">
        <f t="shared" si="2"/>
        <v>0</v>
      </c>
      <c r="AT42" s="2002"/>
      <c r="AU42" s="2002"/>
      <c r="AV42" s="2002"/>
      <c r="AW42" s="2002"/>
      <c r="AX42" s="2003"/>
      <c r="AY42" s="2004">
        <f t="shared" si="3"/>
        <v>0</v>
      </c>
      <c r="AZ42" s="2005"/>
      <c r="BA42" s="2005"/>
      <c r="BB42" s="2005"/>
      <c r="BC42" s="2005"/>
      <c r="BD42" s="2006"/>
      <c r="BE42" s="1215"/>
    </row>
    <row r="43" spans="1:58" ht="15.75" customHeight="1">
      <c r="A43" s="1208"/>
      <c r="B43" s="2011" t="s">
        <v>2349</v>
      </c>
      <c r="C43" s="2012"/>
      <c r="D43" s="2012"/>
      <c r="E43" s="2012"/>
      <c r="F43" s="2012"/>
      <c r="G43" s="2012"/>
      <c r="H43" s="2012"/>
      <c r="I43" s="2012"/>
      <c r="J43" s="2009"/>
      <c r="K43" s="2009"/>
      <c r="L43" s="2009"/>
      <c r="M43" s="2009"/>
      <c r="N43" s="2009"/>
      <c r="O43" s="2009"/>
      <c r="P43" s="2009"/>
      <c r="Q43" s="2009"/>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1998"/>
      <c r="AM43" s="1999"/>
      <c r="AN43" s="1999"/>
      <c r="AO43" s="2000"/>
      <c r="AP43" s="1998"/>
      <c r="AQ43" s="1999"/>
      <c r="AR43" s="2000"/>
      <c r="AS43" s="2001">
        <f t="shared" si="2"/>
        <v>0</v>
      </c>
      <c r="AT43" s="2002"/>
      <c r="AU43" s="2002"/>
      <c r="AV43" s="2002"/>
      <c r="AW43" s="2002"/>
      <c r="AX43" s="2003"/>
      <c r="AY43" s="2004">
        <f t="shared" si="3"/>
        <v>0</v>
      </c>
      <c r="AZ43" s="2005"/>
      <c r="BA43" s="2005"/>
      <c r="BB43" s="2005"/>
      <c r="BC43" s="2005"/>
      <c r="BD43" s="2006"/>
      <c r="BE43" s="1215"/>
    </row>
    <row r="44" spans="1:58" ht="15.75" customHeight="1">
      <c r="A44" s="1208"/>
      <c r="B44" s="2011" t="s">
        <v>2348</v>
      </c>
      <c r="C44" s="2012"/>
      <c r="D44" s="2012"/>
      <c r="E44" s="2012"/>
      <c r="F44" s="2012"/>
      <c r="G44" s="2012"/>
      <c r="H44" s="2012"/>
      <c r="I44" s="2012"/>
      <c r="J44" s="2009"/>
      <c r="K44" s="2009"/>
      <c r="L44" s="2009"/>
      <c r="M44" s="2009"/>
      <c r="N44" s="2009"/>
      <c r="O44" s="2009"/>
      <c r="P44" s="2009"/>
      <c r="Q44" s="2009"/>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1998"/>
      <c r="AM44" s="1999"/>
      <c r="AN44" s="1999"/>
      <c r="AO44" s="2000"/>
      <c r="AP44" s="1998"/>
      <c r="AQ44" s="1999"/>
      <c r="AR44" s="2000"/>
      <c r="AS44" s="2001">
        <f t="shared" si="2"/>
        <v>0</v>
      </c>
      <c r="AT44" s="2002"/>
      <c r="AU44" s="2002"/>
      <c r="AV44" s="2002"/>
      <c r="AW44" s="2002"/>
      <c r="AX44" s="2003"/>
      <c r="AY44" s="2004">
        <f t="shared" si="3"/>
        <v>0</v>
      </c>
      <c r="AZ44" s="2005"/>
      <c r="BA44" s="2005"/>
      <c r="BB44" s="2005"/>
      <c r="BC44" s="2005"/>
      <c r="BD44" s="2006"/>
      <c r="BE44" s="1215"/>
    </row>
    <row r="45" spans="1:58" ht="15.75" customHeight="1">
      <c r="A45" s="1208"/>
      <c r="B45" s="2011" t="s">
        <v>2347</v>
      </c>
      <c r="C45" s="2012"/>
      <c r="D45" s="2012"/>
      <c r="E45" s="2012"/>
      <c r="F45" s="2012"/>
      <c r="G45" s="2012"/>
      <c r="H45" s="2012"/>
      <c r="I45" s="2012"/>
      <c r="J45" s="2009"/>
      <c r="K45" s="2009"/>
      <c r="L45" s="2009"/>
      <c r="M45" s="2009"/>
      <c r="N45" s="2009"/>
      <c r="O45" s="2009"/>
      <c r="P45" s="2009"/>
      <c r="Q45" s="2009"/>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1998"/>
      <c r="AM45" s="1999"/>
      <c r="AN45" s="1999"/>
      <c r="AO45" s="2000"/>
      <c r="AP45" s="1998"/>
      <c r="AQ45" s="1999"/>
      <c r="AR45" s="2000"/>
      <c r="AS45" s="2001">
        <f t="shared" si="2"/>
        <v>0</v>
      </c>
      <c r="AT45" s="2002"/>
      <c r="AU45" s="2002"/>
      <c r="AV45" s="2002"/>
      <c r="AW45" s="2002"/>
      <c r="AX45" s="2003"/>
      <c r="AY45" s="2004">
        <f t="shared" si="3"/>
        <v>0</v>
      </c>
      <c r="AZ45" s="2005"/>
      <c r="BA45" s="2005"/>
      <c r="BB45" s="2005"/>
      <c r="BC45" s="2005"/>
      <c r="BD45" s="2006"/>
      <c r="BE45" s="1215"/>
    </row>
    <row r="46" spans="1:58" ht="15.75" customHeight="1">
      <c r="A46" s="1208"/>
      <c r="B46" s="2011" t="s">
        <v>2279</v>
      </c>
      <c r="C46" s="2012"/>
      <c r="D46" s="2012"/>
      <c r="E46" s="2012"/>
      <c r="F46" s="2012"/>
      <c r="G46" s="2012"/>
      <c r="H46" s="2012"/>
      <c r="I46" s="2012"/>
      <c r="J46" s="2009"/>
      <c r="K46" s="2009"/>
      <c r="L46" s="2009"/>
      <c r="M46" s="2009"/>
      <c r="N46" s="2009">
        <v>99</v>
      </c>
      <c r="O46" s="2009"/>
      <c r="P46" s="2009"/>
      <c r="Q46" s="2009"/>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1998"/>
      <c r="AM46" s="1999"/>
      <c r="AN46" s="1999"/>
      <c r="AO46" s="2000"/>
      <c r="AP46" s="1998"/>
      <c r="AQ46" s="1999"/>
      <c r="AR46" s="2000"/>
      <c r="AS46" s="2001">
        <f t="shared" si="2"/>
        <v>0</v>
      </c>
      <c r="AT46" s="2002"/>
      <c r="AU46" s="2002"/>
      <c r="AV46" s="2002"/>
      <c r="AW46" s="2002"/>
      <c r="AX46" s="2003"/>
      <c r="AY46" s="2004">
        <f t="shared" si="3"/>
        <v>0</v>
      </c>
      <c r="AZ46" s="2005"/>
      <c r="BA46" s="2005"/>
      <c r="BB46" s="2005"/>
      <c r="BC46" s="2005"/>
      <c r="BD46" s="2006"/>
      <c r="BE46" s="1215"/>
    </row>
    <row r="47" spans="1:58" ht="15.75" customHeight="1" thickBot="1">
      <c r="A47" s="1208"/>
      <c r="B47" s="2013" t="s">
        <v>300</v>
      </c>
      <c r="C47" s="2014"/>
      <c r="D47" s="2014"/>
      <c r="E47" s="2014"/>
      <c r="F47" s="2014"/>
      <c r="G47" s="2014"/>
      <c r="H47" s="2014"/>
      <c r="I47" s="2014"/>
      <c r="J47" s="2015"/>
      <c r="K47" s="2015"/>
      <c r="L47" s="2015"/>
      <c r="M47" s="2015"/>
      <c r="N47" s="2015"/>
      <c r="O47" s="2015"/>
      <c r="P47" s="2015"/>
      <c r="Q47" s="2015"/>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20"/>
      <c r="AM47" s="2021"/>
      <c r="AN47" s="2021"/>
      <c r="AO47" s="2022"/>
      <c r="AP47" s="2020"/>
      <c r="AQ47" s="2021"/>
      <c r="AR47" s="2022"/>
      <c r="AS47" s="2001">
        <f t="shared" si="2"/>
        <v>0</v>
      </c>
      <c r="AT47" s="2002"/>
      <c r="AU47" s="2002"/>
      <c r="AV47" s="2002"/>
      <c r="AW47" s="2002"/>
      <c r="AX47" s="2003"/>
      <c r="AY47" s="2017">
        <f t="shared" si="3"/>
        <v>0</v>
      </c>
      <c r="AZ47" s="2018"/>
      <c r="BA47" s="2018"/>
      <c r="BB47" s="2018"/>
      <c r="BC47" s="2018"/>
      <c r="BD47" s="2019"/>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3" t="s">
        <v>2344</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6" t="s">
        <v>2337</v>
      </c>
      <c r="C51" s="2027"/>
      <c r="D51" s="2027"/>
      <c r="E51" s="2027"/>
      <c r="F51" s="2027"/>
      <c r="G51" s="2027"/>
      <c r="H51" s="2027"/>
      <c r="I51" s="2027"/>
      <c r="J51" s="2027" t="s">
        <v>2343</v>
      </c>
      <c r="K51" s="2027"/>
      <c r="L51" s="2027"/>
      <c r="M51" s="2027"/>
      <c r="N51" s="2027"/>
      <c r="O51" s="2027"/>
      <c r="P51" s="2027"/>
      <c r="Q51" s="2027"/>
      <c r="R51" s="2028" t="s">
        <v>2342</v>
      </c>
      <c r="S51" s="2028"/>
      <c r="T51" s="2028"/>
      <c r="U51" s="2028"/>
      <c r="V51" s="2028"/>
      <c r="W51" s="2028"/>
      <c r="X51" s="2028"/>
      <c r="Y51" s="2028"/>
      <c r="Z51" s="2028" t="s">
        <v>2341</v>
      </c>
      <c r="AA51" s="2028"/>
      <c r="AB51" s="2028"/>
      <c r="AC51" s="2028"/>
      <c r="AD51" s="2028"/>
      <c r="AE51" s="2028"/>
      <c r="AF51" s="2028"/>
      <c r="AG51" s="2028"/>
      <c r="AH51" s="2028" t="s">
        <v>2340</v>
      </c>
      <c r="AI51" s="2028"/>
      <c r="AJ51" s="2028"/>
      <c r="AK51" s="2028"/>
      <c r="AL51" s="2028"/>
      <c r="AM51" s="2028"/>
      <c r="AN51" s="2028"/>
      <c r="AO51" s="202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1" t="s">
        <v>2339</v>
      </c>
      <c r="C52" s="2012"/>
      <c r="D52" s="2012"/>
      <c r="E52" s="2012"/>
      <c r="F52" s="2012"/>
      <c r="G52" s="2012"/>
      <c r="H52" s="2012"/>
      <c r="I52" s="2012"/>
      <c r="J52" s="2030">
        <v>0</v>
      </c>
      <c r="K52" s="2030"/>
      <c r="L52" s="2030"/>
      <c r="M52" s="2030"/>
      <c r="N52" s="2030"/>
      <c r="O52" s="2030"/>
      <c r="P52" s="2030"/>
      <c r="Q52" s="2030"/>
      <c r="R52" s="2031">
        <v>0</v>
      </c>
      <c r="S52" s="2031"/>
      <c r="T52" s="2031"/>
      <c r="U52" s="2031"/>
      <c r="V52" s="2031"/>
      <c r="W52" s="2031"/>
      <c r="X52" s="2031"/>
      <c r="Y52" s="2031"/>
      <c r="Z52" s="2032">
        <v>0</v>
      </c>
      <c r="AA52" s="2032"/>
      <c r="AB52" s="2032"/>
      <c r="AC52" s="2032"/>
      <c r="AD52" s="2032"/>
      <c r="AE52" s="2032"/>
      <c r="AF52" s="2032"/>
      <c r="AG52" s="2032"/>
      <c r="AH52" s="2033"/>
      <c r="AI52" s="2033"/>
      <c r="AJ52" s="2033"/>
      <c r="AK52" s="2033"/>
      <c r="AL52" s="2033"/>
      <c r="AM52" s="2033"/>
      <c r="AN52" s="2033"/>
      <c r="AO52" s="203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1" t="s">
        <v>2338</v>
      </c>
      <c r="C53" s="2012"/>
      <c r="D53" s="2012"/>
      <c r="E53" s="2012"/>
      <c r="F53" s="2012"/>
      <c r="G53" s="2012"/>
      <c r="H53" s="2012"/>
      <c r="I53" s="2012"/>
      <c r="J53" s="2030">
        <v>0</v>
      </c>
      <c r="K53" s="2030"/>
      <c r="L53" s="2030"/>
      <c r="M53" s="2030"/>
      <c r="N53" s="2030"/>
      <c r="O53" s="2030"/>
      <c r="P53" s="2030"/>
      <c r="Q53" s="2030"/>
      <c r="R53" s="2031">
        <v>0</v>
      </c>
      <c r="S53" s="2031"/>
      <c r="T53" s="2031"/>
      <c r="U53" s="2031"/>
      <c r="V53" s="2031"/>
      <c r="W53" s="2031"/>
      <c r="X53" s="2031"/>
      <c r="Y53" s="2031"/>
      <c r="Z53" s="2032">
        <v>0</v>
      </c>
      <c r="AA53" s="2032"/>
      <c r="AB53" s="2032"/>
      <c r="AC53" s="2032"/>
      <c r="AD53" s="2032"/>
      <c r="AE53" s="2032"/>
      <c r="AF53" s="2032"/>
      <c r="AG53" s="2032"/>
      <c r="AH53" s="2033"/>
      <c r="AI53" s="2033"/>
      <c r="AJ53" s="2033"/>
      <c r="AK53" s="2033"/>
      <c r="AL53" s="2033"/>
      <c r="AM53" s="2033"/>
      <c r="AN53" s="2033"/>
      <c r="AO53" s="203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1"/>
      <c r="C54" s="2012"/>
      <c r="D54" s="2012"/>
      <c r="E54" s="2012"/>
      <c r="F54" s="2012"/>
      <c r="G54" s="2012"/>
      <c r="H54" s="2012"/>
      <c r="I54" s="2012"/>
      <c r="J54" s="2030"/>
      <c r="K54" s="2030"/>
      <c r="L54" s="2030"/>
      <c r="M54" s="2030"/>
      <c r="N54" s="2030"/>
      <c r="O54" s="2030"/>
      <c r="P54" s="2030"/>
      <c r="Q54" s="2030"/>
      <c r="R54" s="2031"/>
      <c r="S54" s="2031"/>
      <c r="T54" s="2031"/>
      <c r="U54" s="2031"/>
      <c r="V54" s="2031"/>
      <c r="W54" s="2031"/>
      <c r="X54" s="2031"/>
      <c r="Y54" s="2031"/>
      <c r="Z54" s="2032"/>
      <c r="AA54" s="2032"/>
      <c r="AB54" s="2032"/>
      <c r="AC54" s="2032"/>
      <c r="AD54" s="2032"/>
      <c r="AE54" s="2032"/>
      <c r="AF54" s="2032"/>
      <c r="AG54" s="2032"/>
      <c r="AH54" s="2033"/>
      <c r="AI54" s="2033"/>
      <c r="AJ54" s="2033"/>
      <c r="AK54" s="2033"/>
      <c r="AL54" s="2033"/>
      <c r="AM54" s="2033"/>
      <c r="AN54" s="2033"/>
      <c r="AO54" s="203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1"/>
      <c r="C55" s="2012"/>
      <c r="D55" s="2012"/>
      <c r="E55" s="2012"/>
      <c r="F55" s="2012"/>
      <c r="G55" s="2012"/>
      <c r="H55" s="2012"/>
      <c r="I55" s="2012"/>
      <c r="J55" s="2030"/>
      <c r="K55" s="2030"/>
      <c r="L55" s="2030"/>
      <c r="M55" s="2030"/>
      <c r="N55" s="2030"/>
      <c r="O55" s="2030"/>
      <c r="P55" s="2030"/>
      <c r="Q55" s="2030"/>
      <c r="R55" s="2031"/>
      <c r="S55" s="2031"/>
      <c r="T55" s="2031"/>
      <c r="U55" s="2031"/>
      <c r="V55" s="2031"/>
      <c r="W55" s="2031"/>
      <c r="X55" s="2031"/>
      <c r="Y55" s="2031"/>
      <c r="Z55" s="2032"/>
      <c r="AA55" s="2032"/>
      <c r="AB55" s="2032"/>
      <c r="AC55" s="2032"/>
      <c r="AD55" s="2032"/>
      <c r="AE55" s="2032"/>
      <c r="AF55" s="2032"/>
      <c r="AG55" s="2032"/>
      <c r="AH55" s="2033"/>
      <c r="AI55" s="2033"/>
      <c r="AJ55" s="2033"/>
      <c r="AK55" s="2033"/>
      <c r="AL55" s="2033"/>
      <c r="AM55" s="2033"/>
      <c r="AN55" s="2033"/>
      <c r="AO55" s="203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11"/>
      <c r="C56" s="2012"/>
      <c r="D56" s="2012"/>
      <c r="E56" s="2012"/>
      <c r="F56" s="2012"/>
      <c r="G56" s="2012"/>
      <c r="H56" s="2012"/>
      <c r="I56" s="2012"/>
      <c r="J56" s="2030"/>
      <c r="K56" s="2030"/>
      <c r="L56" s="2030"/>
      <c r="M56" s="2030"/>
      <c r="N56" s="2030"/>
      <c r="O56" s="2030"/>
      <c r="P56" s="2030"/>
      <c r="Q56" s="2030"/>
      <c r="R56" s="2031"/>
      <c r="S56" s="2031"/>
      <c r="T56" s="2031"/>
      <c r="U56" s="2031"/>
      <c r="V56" s="2031"/>
      <c r="W56" s="2031"/>
      <c r="X56" s="2031"/>
      <c r="Y56" s="2031"/>
      <c r="Z56" s="2032"/>
      <c r="AA56" s="2032"/>
      <c r="AB56" s="2032"/>
      <c r="AC56" s="2032"/>
      <c r="AD56" s="2032"/>
      <c r="AE56" s="2032"/>
      <c r="AF56" s="2032"/>
      <c r="AG56" s="2032"/>
      <c r="AH56" s="2033"/>
      <c r="AI56" s="2033"/>
      <c r="AJ56" s="2033"/>
      <c r="AK56" s="2033"/>
      <c r="AL56" s="2033"/>
      <c r="AM56" s="2033"/>
      <c r="AN56" s="2033"/>
      <c r="AO56" s="203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4" t="s">
        <v>1575</v>
      </c>
      <c r="C57" s="2045"/>
      <c r="D57" s="2045"/>
      <c r="E57" s="2045"/>
      <c r="F57" s="2045"/>
      <c r="G57" s="2045"/>
      <c r="H57" s="2045"/>
      <c r="I57" s="2045"/>
      <c r="J57" s="2045"/>
      <c r="K57" s="2045"/>
      <c r="L57" s="2045"/>
      <c r="M57" s="2045"/>
      <c r="N57" s="2045"/>
      <c r="O57" s="2045"/>
      <c r="P57" s="2045"/>
      <c r="Q57" s="2045"/>
      <c r="R57" s="2046">
        <f>SUM(R52:Y56)</f>
        <v>0</v>
      </c>
      <c r="S57" s="2046"/>
      <c r="T57" s="2046"/>
      <c r="U57" s="2046"/>
      <c r="V57" s="2046"/>
      <c r="W57" s="2046"/>
      <c r="X57" s="2046"/>
      <c r="Y57" s="2046"/>
      <c r="Z57" s="2047">
        <f>SUM(Z52:AG56)</f>
        <v>0</v>
      </c>
      <c r="AA57" s="2047"/>
      <c r="AB57" s="2047"/>
      <c r="AC57" s="2047"/>
      <c r="AD57" s="2047"/>
      <c r="AE57" s="2047"/>
      <c r="AF57" s="2047"/>
      <c r="AG57" s="2047"/>
      <c r="AH57" s="2048"/>
      <c r="AI57" s="2048"/>
      <c r="AJ57" s="2048"/>
      <c r="AK57" s="2048"/>
      <c r="AL57" s="2048"/>
      <c r="AM57" s="2048"/>
      <c r="AN57" s="2048"/>
      <c r="AO57" s="204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5" t="s">
        <v>2337</v>
      </c>
      <c r="C59" s="2036"/>
      <c r="D59" s="2036"/>
      <c r="E59" s="2036"/>
      <c r="F59" s="2036"/>
      <c r="G59" s="2036"/>
      <c r="H59" s="2036"/>
      <c r="I59" s="2037"/>
      <c r="J59" s="1929" t="s">
        <v>2336</v>
      </c>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c r="AS59" s="1929"/>
      <c r="AT59" s="1929"/>
      <c r="AU59" s="1929"/>
      <c r="AV59" s="1929"/>
      <c r="AW59" s="1930"/>
      <c r="AX59" s="1208"/>
      <c r="AY59" s="1208"/>
      <c r="AZ59" s="1208"/>
      <c r="BA59" s="1208"/>
      <c r="BB59" s="1208"/>
      <c r="BC59" s="1208"/>
      <c r="BD59" s="1208"/>
      <c r="BE59" s="1215"/>
    </row>
    <row r="60" spans="1:77" ht="15.75" customHeight="1">
      <c r="A60" s="1208"/>
      <c r="B60" s="2038" t="str">
        <f>IF(B52="", "", B52)</f>
        <v>Services Company 1</v>
      </c>
      <c r="C60" s="2039"/>
      <c r="D60" s="2039"/>
      <c r="E60" s="2039"/>
      <c r="F60" s="2039"/>
      <c r="G60" s="2039"/>
      <c r="H60" s="2039"/>
      <c r="I60" s="2040"/>
      <c r="J60" s="2041"/>
      <c r="K60" s="2042"/>
      <c r="L60" s="2042"/>
      <c r="M60" s="2042"/>
      <c r="N60" s="2042"/>
      <c r="O60" s="2042"/>
      <c r="P60" s="2042"/>
      <c r="Q60" s="2042"/>
      <c r="R60" s="2042"/>
      <c r="S60" s="2042"/>
      <c r="T60" s="2042"/>
      <c r="U60" s="2042"/>
      <c r="V60" s="2042"/>
      <c r="W60" s="2042"/>
      <c r="X60" s="2042"/>
      <c r="Y60" s="2042"/>
      <c r="Z60" s="2042"/>
      <c r="AA60" s="2042"/>
      <c r="AB60" s="2042"/>
      <c r="AC60" s="2042"/>
      <c r="AD60" s="2042"/>
      <c r="AE60" s="2042"/>
      <c r="AF60" s="2042"/>
      <c r="AG60" s="2042"/>
      <c r="AH60" s="2042"/>
      <c r="AI60" s="2042"/>
      <c r="AJ60" s="2042"/>
      <c r="AK60" s="2042"/>
      <c r="AL60" s="2042"/>
      <c r="AM60" s="2042"/>
      <c r="AN60" s="2042"/>
      <c r="AO60" s="2042"/>
      <c r="AP60" s="2042"/>
      <c r="AQ60" s="2042"/>
      <c r="AR60" s="2042"/>
      <c r="AS60" s="2042"/>
      <c r="AT60" s="2042"/>
      <c r="AU60" s="2042"/>
      <c r="AV60" s="2042"/>
      <c r="AW60" s="2043"/>
      <c r="AX60" s="1208"/>
      <c r="AY60" s="1208"/>
      <c r="AZ60" s="1208"/>
      <c r="BA60" s="1208"/>
      <c r="BB60" s="1208"/>
      <c r="BC60" s="1208"/>
      <c r="BD60" s="1208"/>
      <c r="BE60" s="1215"/>
    </row>
    <row r="61" spans="1:77" ht="15.75" customHeight="1">
      <c r="A61" s="1208"/>
      <c r="B61" s="2038" t="str">
        <f>IF(B53="", "", B53)</f>
        <v>Services Company 2</v>
      </c>
      <c r="C61" s="2039"/>
      <c r="D61" s="2039"/>
      <c r="E61" s="2039"/>
      <c r="F61" s="2039"/>
      <c r="G61" s="2039"/>
      <c r="H61" s="2039"/>
      <c r="I61" s="2040"/>
      <c r="J61" s="2041"/>
      <c r="K61" s="2042"/>
      <c r="L61" s="2042"/>
      <c r="M61" s="2042"/>
      <c r="N61" s="2042"/>
      <c r="O61" s="2042"/>
      <c r="P61" s="2042"/>
      <c r="Q61" s="2042"/>
      <c r="R61" s="2042"/>
      <c r="S61" s="2042"/>
      <c r="T61" s="2042"/>
      <c r="U61" s="2042"/>
      <c r="V61" s="2042"/>
      <c r="W61" s="2042"/>
      <c r="X61" s="2042"/>
      <c r="Y61" s="2042"/>
      <c r="Z61" s="2042"/>
      <c r="AA61" s="2042"/>
      <c r="AB61" s="2042"/>
      <c r="AC61" s="2042"/>
      <c r="AD61" s="2042"/>
      <c r="AE61" s="2042"/>
      <c r="AF61" s="2042"/>
      <c r="AG61" s="2042"/>
      <c r="AH61" s="2042"/>
      <c r="AI61" s="2042"/>
      <c r="AJ61" s="2042"/>
      <c r="AK61" s="2042"/>
      <c r="AL61" s="2042"/>
      <c r="AM61" s="2042"/>
      <c r="AN61" s="2042"/>
      <c r="AO61" s="2042"/>
      <c r="AP61" s="2042"/>
      <c r="AQ61" s="2042"/>
      <c r="AR61" s="2042"/>
      <c r="AS61" s="2042"/>
      <c r="AT61" s="2042"/>
      <c r="AU61" s="2042"/>
      <c r="AV61" s="2042"/>
      <c r="AW61" s="2043"/>
      <c r="AX61" s="1208"/>
      <c r="AY61" s="1208"/>
      <c r="AZ61" s="1208"/>
      <c r="BA61" s="1208"/>
      <c r="BB61" s="1208"/>
      <c r="BC61" s="1208"/>
      <c r="BD61" s="1208"/>
      <c r="BE61" s="1215"/>
    </row>
    <row r="62" spans="1:77" ht="15.75" customHeight="1">
      <c r="A62" s="1208"/>
      <c r="B62" s="2038" t="str">
        <f>IF(B54="", "", B54)</f>
        <v/>
      </c>
      <c r="C62" s="2039"/>
      <c r="D62" s="2039"/>
      <c r="E62" s="2039"/>
      <c r="F62" s="2039"/>
      <c r="G62" s="2039"/>
      <c r="H62" s="2039"/>
      <c r="I62" s="2040"/>
      <c r="J62" s="2041"/>
      <c r="K62" s="2042"/>
      <c r="L62" s="2042"/>
      <c r="M62" s="2042"/>
      <c r="N62" s="2042"/>
      <c r="O62" s="2042"/>
      <c r="P62" s="2042"/>
      <c r="Q62" s="2042"/>
      <c r="R62" s="2042"/>
      <c r="S62" s="2042"/>
      <c r="T62" s="2042"/>
      <c r="U62" s="2042"/>
      <c r="V62" s="2042"/>
      <c r="W62" s="2042"/>
      <c r="X62" s="2042"/>
      <c r="Y62" s="2042"/>
      <c r="Z62" s="2042"/>
      <c r="AA62" s="2042"/>
      <c r="AB62" s="2042"/>
      <c r="AC62" s="2042"/>
      <c r="AD62" s="2042"/>
      <c r="AE62" s="2042"/>
      <c r="AF62" s="2042"/>
      <c r="AG62" s="2042"/>
      <c r="AH62" s="2042"/>
      <c r="AI62" s="2042"/>
      <c r="AJ62" s="2042"/>
      <c r="AK62" s="2042"/>
      <c r="AL62" s="2042"/>
      <c r="AM62" s="2042"/>
      <c r="AN62" s="2042"/>
      <c r="AO62" s="2042"/>
      <c r="AP62" s="2042"/>
      <c r="AQ62" s="2042"/>
      <c r="AR62" s="2042"/>
      <c r="AS62" s="2042"/>
      <c r="AT62" s="2042"/>
      <c r="AU62" s="2042"/>
      <c r="AV62" s="2042"/>
      <c r="AW62" s="2043"/>
      <c r="AX62" s="1208"/>
      <c r="AY62" s="1208"/>
      <c r="AZ62" s="1208"/>
      <c r="BA62" s="1208"/>
      <c r="BB62" s="1208"/>
      <c r="BC62" s="1208"/>
      <c r="BD62" s="1208"/>
      <c r="BE62" s="1215"/>
    </row>
    <row r="63" spans="1:77" ht="15.75" customHeight="1">
      <c r="A63" s="1208"/>
      <c r="B63" s="2038" t="str">
        <f>IF(B55="", "", B55)</f>
        <v/>
      </c>
      <c r="C63" s="2039"/>
      <c r="D63" s="2039"/>
      <c r="E63" s="2039"/>
      <c r="F63" s="2039"/>
      <c r="G63" s="2039"/>
      <c r="H63" s="2039"/>
      <c r="I63" s="2040"/>
      <c r="J63" s="2041"/>
      <c r="K63" s="2042"/>
      <c r="L63" s="2042"/>
      <c r="M63" s="2042"/>
      <c r="N63" s="2042"/>
      <c r="O63" s="2042"/>
      <c r="P63" s="2042"/>
      <c r="Q63" s="2042"/>
      <c r="R63" s="2042"/>
      <c r="S63" s="2042"/>
      <c r="T63" s="2042"/>
      <c r="U63" s="2042"/>
      <c r="V63" s="2042"/>
      <c r="W63" s="2042"/>
      <c r="X63" s="2042"/>
      <c r="Y63" s="2042"/>
      <c r="Z63" s="2042"/>
      <c r="AA63" s="2042"/>
      <c r="AB63" s="2042"/>
      <c r="AC63" s="2042"/>
      <c r="AD63" s="2042"/>
      <c r="AE63" s="2042"/>
      <c r="AF63" s="2042"/>
      <c r="AG63" s="2042"/>
      <c r="AH63" s="2042"/>
      <c r="AI63" s="2042"/>
      <c r="AJ63" s="2042"/>
      <c r="AK63" s="2042"/>
      <c r="AL63" s="2042"/>
      <c r="AM63" s="2042"/>
      <c r="AN63" s="2042"/>
      <c r="AO63" s="2042"/>
      <c r="AP63" s="2042"/>
      <c r="AQ63" s="2042"/>
      <c r="AR63" s="2042"/>
      <c r="AS63" s="2042"/>
      <c r="AT63" s="2042"/>
      <c r="AU63" s="2042"/>
      <c r="AV63" s="2042"/>
      <c r="AW63" s="2043"/>
      <c r="AX63" s="1208"/>
      <c r="AY63" s="1208"/>
      <c r="AZ63" s="1208"/>
      <c r="BA63" s="1208"/>
      <c r="BB63" s="1208"/>
      <c r="BC63" s="1208"/>
      <c r="BD63" s="1208"/>
      <c r="BE63" s="1215"/>
    </row>
    <row r="64" spans="1:77" ht="15.75" customHeight="1" thickBot="1">
      <c r="A64" s="1208"/>
      <c r="B64" s="2058" t="str">
        <f>IF(B56="", "", B56)</f>
        <v/>
      </c>
      <c r="C64" s="2059"/>
      <c r="D64" s="2059"/>
      <c r="E64" s="2059"/>
      <c r="F64" s="2059"/>
      <c r="G64" s="2059"/>
      <c r="H64" s="2059"/>
      <c r="I64" s="2060"/>
      <c r="J64" s="2061"/>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2062"/>
      <c r="AP64" s="2062"/>
      <c r="AQ64" s="2062"/>
      <c r="AR64" s="2062"/>
      <c r="AS64" s="2062"/>
      <c r="AT64" s="2062"/>
      <c r="AU64" s="2062"/>
      <c r="AV64" s="2062"/>
      <c r="AW64" s="2063"/>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8" t="s">
        <v>2334</v>
      </c>
      <c r="C68" s="1929"/>
      <c r="D68" s="1929"/>
      <c r="E68" s="1929"/>
      <c r="F68" s="1929"/>
      <c r="G68" s="1929"/>
      <c r="H68" s="1929"/>
      <c r="I68" s="1929"/>
      <c r="J68" s="1929"/>
      <c r="K68" s="1929"/>
      <c r="L68" s="1929"/>
      <c r="M68" s="1929"/>
      <c r="N68" s="1929"/>
      <c r="O68" s="1929"/>
      <c r="P68" s="1929"/>
      <c r="Q68" s="1929"/>
      <c r="R68" s="1929"/>
      <c r="S68" s="1929"/>
      <c r="T68" s="1929"/>
      <c r="U68" s="1929"/>
      <c r="V68" s="1929"/>
      <c r="W68" s="1929"/>
      <c r="X68" s="1929"/>
      <c r="Y68" s="1929"/>
      <c r="Z68" s="1929"/>
      <c r="AA68" s="1930"/>
      <c r="AB68" s="1208"/>
      <c r="AC68" s="2070" t="s">
        <v>2333</v>
      </c>
      <c r="AD68" s="2071"/>
      <c r="AE68" s="2071"/>
      <c r="AF68" s="2071"/>
      <c r="AG68" s="2071"/>
      <c r="AH68" s="2071"/>
      <c r="AI68" s="2071"/>
      <c r="AJ68" s="2071"/>
      <c r="AK68" s="2071"/>
      <c r="AL68" s="2071"/>
      <c r="AM68" s="2071"/>
      <c r="AN68" s="2071"/>
      <c r="AO68" s="2071"/>
      <c r="AP68" s="2071"/>
      <c r="AQ68" s="2071"/>
      <c r="AR68" s="2071"/>
      <c r="AS68" s="2071"/>
      <c r="AT68" s="2071"/>
      <c r="AU68" s="2071"/>
      <c r="AV68" s="2050" t="s">
        <v>669</v>
      </c>
      <c r="AW68" s="2051"/>
      <c r="AX68" s="2051"/>
      <c r="AY68" s="2051"/>
      <c r="AZ68" s="2051"/>
      <c r="BA68" s="2051"/>
      <c r="BB68" s="2051"/>
      <c r="BC68" s="2052"/>
      <c r="BD68" s="1208"/>
      <c r="BE68" s="1215"/>
      <c r="BM68" s="1221" t="s">
        <v>2332</v>
      </c>
    </row>
    <row r="69" spans="1:94" ht="15.75" customHeight="1" thickTop="1" thickBot="1">
      <c r="A69" s="1208"/>
      <c r="B69" s="2053" t="s">
        <v>2331</v>
      </c>
      <c r="C69" s="2054"/>
      <c r="D69" s="2054"/>
      <c r="E69" s="2054"/>
      <c r="F69" s="2054"/>
      <c r="G69" s="2054"/>
      <c r="H69" s="2054"/>
      <c r="I69" s="2054"/>
      <c r="J69" s="2054"/>
      <c r="K69" s="2054"/>
      <c r="L69" s="2054"/>
      <c r="M69" s="2054"/>
      <c r="N69" s="2054"/>
      <c r="O69" s="1901" t="s">
        <v>2330</v>
      </c>
      <c r="P69" s="1902"/>
      <c r="Q69" s="1902"/>
      <c r="R69" s="1902"/>
      <c r="S69" s="1902"/>
      <c r="T69" s="1902"/>
      <c r="U69" s="1902"/>
      <c r="V69" s="1902"/>
      <c r="W69" s="1902"/>
      <c r="X69" s="1902"/>
      <c r="Y69" s="1902"/>
      <c r="Z69" s="1902"/>
      <c r="AA69" s="2055"/>
      <c r="AB69" s="1208"/>
      <c r="AC69" s="2056" t="s">
        <v>2329</v>
      </c>
      <c r="AD69" s="2057"/>
      <c r="AE69" s="2057"/>
      <c r="AF69" s="2057"/>
      <c r="AG69" s="2057"/>
      <c r="AH69" s="2057"/>
      <c r="AI69" s="2057"/>
      <c r="AJ69" s="2057"/>
      <c r="AK69" s="2057"/>
      <c r="AL69" s="2057"/>
      <c r="AM69" s="2057"/>
      <c r="AN69" s="2057"/>
      <c r="AO69" s="2057"/>
      <c r="AP69" s="2057"/>
      <c r="AQ69" s="2057"/>
      <c r="AR69" s="2057"/>
      <c r="AS69" s="2057"/>
      <c r="AT69" s="2057"/>
      <c r="AU69" s="2057"/>
      <c r="AV69" s="2050" t="s">
        <v>669</v>
      </c>
      <c r="AW69" s="2051"/>
      <c r="AX69" s="2051"/>
      <c r="AY69" s="2051"/>
      <c r="AZ69" s="2051"/>
      <c r="BA69" s="2051"/>
      <c r="BB69" s="2051"/>
      <c r="BC69" s="2052"/>
      <c r="BD69" s="1208"/>
      <c r="BE69" s="1215"/>
      <c r="BM69" s="1222" t="s">
        <v>545</v>
      </c>
    </row>
    <row r="70" spans="1:94" ht="15.75" customHeight="1">
      <c r="A70" s="1208"/>
      <c r="B70" s="2007" t="s">
        <v>2328</v>
      </c>
      <c r="C70" s="2008"/>
      <c r="D70" s="2008"/>
      <c r="E70" s="2008"/>
      <c r="F70" s="2008"/>
      <c r="G70" s="2008"/>
      <c r="H70" s="2008"/>
      <c r="I70" s="2008"/>
      <c r="J70" s="2008"/>
      <c r="K70" s="2008"/>
      <c r="L70" s="2008"/>
      <c r="M70" s="2008"/>
      <c r="N70" s="2008"/>
      <c r="O70" s="2064">
        <v>0</v>
      </c>
      <c r="P70" s="2064"/>
      <c r="Q70" s="2064"/>
      <c r="R70" s="2064"/>
      <c r="S70" s="2064"/>
      <c r="T70" s="2064"/>
      <c r="U70" s="2064"/>
      <c r="V70" s="2064"/>
      <c r="W70" s="2064"/>
      <c r="X70" s="2064"/>
      <c r="Y70" s="2064"/>
      <c r="Z70" s="2064"/>
      <c r="AA70" s="2065"/>
      <c r="AB70" s="1208"/>
      <c r="AC70" s="2023" t="s">
        <v>2327</v>
      </c>
      <c r="AD70" s="2024"/>
      <c r="AE70" s="2024"/>
      <c r="AF70" s="2066"/>
      <c r="AG70" s="2066"/>
      <c r="AH70" s="2066"/>
      <c r="AI70" s="2066"/>
      <c r="AJ70" s="2066"/>
      <c r="AK70" s="2066"/>
      <c r="AL70" s="2066"/>
      <c r="AM70" s="2066"/>
      <c r="AN70" s="2066"/>
      <c r="AO70" s="2066"/>
      <c r="AP70" s="2066"/>
      <c r="AQ70" s="2066"/>
      <c r="AR70" s="2066"/>
      <c r="AS70" s="2066"/>
      <c r="AT70" s="2066"/>
      <c r="AU70" s="2067"/>
      <c r="AV70" s="1208"/>
      <c r="AW70" s="1208"/>
      <c r="AX70" s="1208"/>
      <c r="AY70" s="1208"/>
      <c r="AZ70" s="1208"/>
      <c r="BA70" s="1208"/>
      <c r="BB70" s="1208"/>
      <c r="BC70" s="1208"/>
      <c r="BD70" s="1208"/>
      <c r="BE70" s="1215"/>
      <c r="BM70" s="1223" t="s">
        <v>669</v>
      </c>
    </row>
    <row r="71" spans="1:94" ht="15.75" customHeight="1" thickBot="1">
      <c r="A71" s="1208"/>
      <c r="B71" s="2007" t="s">
        <v>2326</v>
      </c>
      <c r="C71" s="2008"/>
      <c r="D71" s="2008"/>
      <c r="E71" s="2008"/>
      <c r="F71" s="2008"/>
      <c r="G71" s="2008"/>
      <c r="H71" s="2008"/>
      <c r="I71" s="2008"/>
      <c r="J71" s="2008"/>
      <c r="K71" s="2008"/>
      <c r="L71" s="2008"/>
      <c r="M71" s="2008"/>
      <c r="N71" s="2008"/>
      <c r="O71" s="2064">
        <v>0</v>
      </c>
      <c r="P71" s="2064"/>
      <c r="Q71" s="2064"/>
      <c r="R71" s="2064"/>
      <c r="S71" s="2064"/>
      <c r="T71" s="2064"/>
      <c r="U71" s="2064"/>
      <c r="V71" s="2064"/>
      <c r="W71" s="2064"/>
      <c r="X71" s="2064"/>
      <c r="Y71" s="2064"/>
      <c r="Z71" s="2064"/>
      <c r="AA71" s="2065"/>
      <c r="AB71" s="1208"/>
      <c r="AC71" s="2068" t="s">
        <v>2325</v>
      </c>
      <c r="AD71" s="2069"/>
      <c r="AE71" s="2069"/>
      <c r="AF71" s="2062"/>
      <c r="AG71" s="2062"/>
      <c r="AH71" s="2062"/>
      <c r="AI71" s="2062"/>
      <c r="AJ71" s="2062"/>
      <c r="AK71" s="2062"/>
      <c r="AL71" s="2062"/>
      <c r="AM71" s="2062"/>
      <c r="AN71" s="2062"/>
      <c r="AO71" s="2062"/>
      <c r="AP71" s="2062"/>
      <c r="AQ71" s="2062"/>
      <c r="AR71" s="2062"/>
      <c r="AS71" s="2062"/>
      <c r="AT71" s="2062"/>
      <c r="AU71" s="2063"/>
      <c r="AV71" s="1208"/>
      <c r="AW71" s="1208"/>
      <c r="AX71" s="1208"/>
      <c r="AY71" s="1208"/>
      <c r="AZ71" s="1208"/>
      <c r="BA71" s="1208"/>
      <c r="BB71" s="1208"/>
      <c r="BC71" s="1208"/>
      <c r="BD71" s="1208"/>
      <c r="BE71" s="1215"/>
      <c r="BM71" s="1204" t="s">
        <v>2324</v>
      </c>
    </row>
    <row r="72" spans="1:94" ht="15.75" customHeight="1">
      <c r="A72" s="1208"/>
      <c r="B72" s="2007" t="s">
        <v>2323</v>
      </c>
      <c r="C72" s="2008"/>
      <c r="D72" s="2008"/>
      <c r="E72" s="2008"/>
      <c r="F72" s="2008"/>
      <c r="G72" s="2008"/>
      <c r="H72" s="2008"/>
      <c r="I72" s="2008"/>
      <c r="J72" s="2008"/>
      <c r="K72" s="2008"/>
      <c r="L72" s="2008"/>
      <c r="M72" s="2008"/>
      <c r="N72" s="2008"/>
      <c r="O72" s="2064">
        <v>0</v>
      </c>
      <c r="P72" s="2064"/>
      <c r="Q72" s="2064"/>
      <c r="R72" s="2064"/>
      <c r="S72" s="2064"/>
      <c r="T72" s="2064"/>
      <c r="U72" s="2064"/>
      <c r="V72" s="2064"/>
      <c r="W72" s="2064"/>
      <c r="X72" s="2064"/>
      <c r="Y72" s="2064"/>
      <c r="Z72" s="2064"/>
      <c r="AA72" s="2065"/>
      <c r="AB72" s="1208"/>
      <c r="AC72" s="2072" t="s">
        <v>2322</v>
      </c>
      <c r="AD72" s="2073"/>
      <c r="AE72" s="2073"/>
      <c r="AF72" s="2073"/>
      <c r="AG72" s="2073"/>
      <c r="AH72" s="2073"/>
      <c r="AI72" s="2073"/>
      <c r="AJ72" s="2073"/>
      <c r="AK72" s="2073"/>
      <c r="AL72" s="2073"/>
      <c r="AM72" s="2073"/>
      <c r="AN72" s="2073"/>
      <c r="AO72" s="2073"/>
      <c r="AP72" s="2073"/>
      <c r="AQ72" s="2073"/>
      <c r="AR72" s="2073"/>
      <c r="AS72" s="2073"/>
      <c r="AT72" s="2073"/>
      <c r="AU72" s="2073"/>
      <c r="AV72" s="2024"/>
      <c r="AW72" s="2024"/>
      <c r="AX72" s="2024"/>
      <c r="AY72" s="2024"/>
      <c r="AZ72" s="2024"/>
      <c r="BA72" s="2024"/>
      <c r="BB72" s="2024"/>
      <c r="BC72" s="2025"/>
      <c r="BD72" s="1208"/>
      <c r="BE72" s="1215"/>
    </row>
    <row r="73" spans="1:94" ht="15.75" customHeight="1">
      <c r="A73" s="1208"/>
      <c r="B73" s="2011" t="s">
        <v>2321</v>
      </c>
      <c r="C73" s="2012"/>
      <c r="D73" s="2012"/>
      <c r="E73" s="2012"/>
      <c r="F73" s="2012"/>
      <c r="G73" s="2012"/>
      <c r="H73" s="2012"/>
      <c r="I73" s="2012"/>
      <c r="J73" s="2012"/>
      <c r="K73" s="2012"/>
      <c r="L73" s="2012"/>
      <c r="M73" s="2012"/>
      <c r="N73" s="2012"/>
      <c r="O73" s="2064">
        <v>0</v>
      </c>
      <c r="P73" s="2064"/>
      <c r="Q73" s="2064"/>
      <c r="R73" s="2064"/>
      <c r="S73" s="2064"/>
      <c r="T73" s="2064"/>
      <c r="U73" s="2064"/>
      <c r="V73" s="2064"/>
      <c r="W73" s="2064"/>
      <c r="X73" s="2064"/>
      <c r="Y73" s="2064"/>
      <c r="Z73" s="2064"/>
      <c r="AA73" s="2065"/>
      <c r="AB73" s="1208"/>
      <c r="AC73" s="2074" t="s">
        <v>2274</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208"/>
      <c r="BE73" s="1215"/>
      <c r="CK73" s="1206"/>
      <c r="CL73" s="1206"/>
      <c r="CM73" s="1206"/>
      <c r="CN73" s="1206"/>
      <c r="CO73" s="1206"/>
      <c r="CP73" s="1206"/>
    </row>
    <row r="74" spans="1:94" ht="15.75" customHeight="1">
      <c r="A74" s="1208"/>
      <c r="B74" s="2080"/>
      <c r="C74" s="2030"/>
      <c r="D74" s="2030"/>
      <c r="E74" s="2030"/>
      <c r="F74" s="2030"/>
      <c r="G74" s="2030"/>
      <c r="H74" s="2030"/>
      <c r="I74" s="2030"/>
      <c r="J74" s="2030"/>
      <c r="K74" s="2030"/>
      <c r="L74" s="2030"/>
      <c r="M74" s="2030"/>
      <c r="N74" s="2030"/>
      <c r="O74" s="2064"/>
      <c r="P74" s="2064"/>
      <c r="Q74" s="2064"/>
      <c r="R74" s="2064"/>
      <c r="S74" s="2064"/>
      <c r="T74" s="2064"/>
      <c r="U74" s="2064"/>
      <c r="V74" s="2064"/>
      <c r="W74" s="2064"/>
      <c r="X74" s="2064"/>
      <c r="Y74" s="2064"/>
      <c r="Z74" s="2064"/>
      <c r="AA74" s="2065"/>
      <c r="AB74" s="1208"/>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208"/>
      <c r="BE74" s="1215"/>
      <c r="CK74" s="1206"/>
      <c r="CL74" s="1206"/>
      <c r="CM74" s="1206"/>
      <c r="CN74" s="1206"/>
      <c r="CO74" s="1206"/>
      <c r="CP74" s="1206"/>
    </row>
    <row r="75" spans="1:94" ht="15.75" customHeight="1" thickBot="1">
      <c r="A75" s="1208"/>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208"/>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85"/>
      <c r="G79" s="2086"/>
      <c r="H79" s="2086"/>
      <c r="I79" s="2086"/>
      <c r="J79" s="2086"/>
      <c r="K79" s="2086"/>
      <c r="L79" s="2086"/>
      <c r="M79" s="2086"/>
      <c r="N79" s="2086"/>
      <c r="O79" s="2086"/>
      <c r="P79" s="2086"/>
      <c r="Q79" s="2086"/>
      <c r="R79" s="2086"/>
      <c r="S79" s="2086"/>
      <c r="T79" s="208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8" t="s">
        <v>2319</v>
      </c>
      <c r="C81" s="2089"/>
      <c r="D81" s="2089"/>
      <c r="E81" s="2089"/>
      <c r="F81" s="2089"/>
      <c r="G81" s="2089"/>
      <c r="H81" s="2089"/>
      <c r="I81" s="2089"/>
      <c r="J81" s="2089"/>
      <c r="K81" s="2089"/>
      <c r="L81" s="2089"/>
      <c r="M81" s="2089"/>
      <c r="N81" s="2089"/>
      <c r="O81" s="2089"/>
      <c r="P81" s="2089"/>
      <c r="Q81" s="2089"/>
      <c r="R81" s="2089"/>
      <c r="S81" s="2089"/>
      <c r="T81" s="2089"/>
      <c r="U81" s="2089"/>
      <c r="V81" s="2089"/>
      <c r="W81" s="2089"/>
      <c r="X81" s="2089"/>
      <c r="Y81" s="2089"/>
      <c r="Z81" s="2089"/>
      <c r="AA81" s="2089"/>
      <c r="AB81" s="2089"/>
      <c r="AC81" s="2089"/>
      <c r="AD81" s="2089"/>
      <c r="AE81" s="2089"/>
      <c r="AF81" s="2089"/>
      <c r="AG81" s="2089"/>
      <c r="AH81" s="2090"/>
      <c r="AI81" s="1208"/>
      <c r="AJ81" s="2091" t="s">
        <v>2625</v>
      </c>
      <c r="AK81" s="2092"/>
      <c r="AL81" s="2092"/>
      <c r="AM81" s="2092"/>
      <c r="AN81" s="2092"/>
      <c r="AO81" s="2092"/>
      <c r="AP81" s="2092"/>
      <c r="AQ81" s="2092"/>
      <c r="AR81" s="2092"/>
      <c r="AS81" s="2092"/>
      <c r="AT81" s="2092"/>
      <c r="AU81" s="2092"/>
      <c r="AV81" s="2092"/>
      <c r="AW81" s="2092"/>
      <c r="AX81" s="2092"/>
      <c r="AY81" s="2095" t="s">
        <v>545</v>
      </c>
      <c r="AZ81" s="2095"/>
      <c r="BA81" s="2095"/>
      <c r="BB81" s="2096"/>
      <c r="BC81" s="1208"/>
      <c r="BD81" s="1208"/>
      <c r="BE81" s="1215"/>
      <c r="CK81" s="1206"/>
      <c r="CL81" s="1206"/>
      <c r="CM81" s="1206"/>
      <c r="CN81" s="1206"/>
      <c r="CO81" s="1206"/>
      <c r="CP81" s="1206"/>
    </row>
    <row r="82" spans="1:94" ht="15.75" customHeight="1">
      <c r="A82" s="1208"/>
      <c r="B82" s="2026"/>
      <c r="C82" s="2027"/>
      <c r="D82" s="2027"/>
      <c r="E82" s="2027"/>
      <c r="F82" s="2027"/>
      <c r="G82" s="2027"/>
      <c r="H82" s="2027"/>
      <c r="I82" s="2027" t="s">
        <v>2313</v>
      </c>
      <c r="J82" s="2027"/>
      <c r="K82" s="2027"/>
      <c r="L82" s="2027"/>
      <c r="M82" s="2027"/>
      <c r="N82" s="2027"/>
      <c r="O82" s="2027" t="s">
        <v>2290</v>
      </c>
      <c r="P82" s="2027"/>
      <c r="Q82" s="2027"/>
      <c r="R82" s="2027"/>
      <c r="S82" s="2027"/>
      <c r="T82" s="2027"/>
      <c r="U82" s="2027"/>
      <c r="V82" s="2099" t="s">
        <v>2289</v>
      </c>
      <c r="W82" s="2099"/>
      <c r="X82" s="2099"/>
      <c r="Y82" s="2099"/>
      <c r="Z82" s="2099"/>
      <c r="AA82" s="2099"/>
      <c r="AB82" s="2100" t="s">
        <v>2312</v>
      </c>
      <c r="AC82" s="2100"/>
      <c r="AD82" s="2100"/>
      <c r="AE82" s="2100"/>
      <c r="AF82" s="2100"/>
      <c r="AG82" s="2100"/>
      <c r="AH82" s="2101"/>
      <c r="AI82" s="1208"/>
      <c r="AJ82" s="2093"/>
      <c r="AK82" s="2094"/>
      <c r="AL82" s="2094"/>
      <c r="AM82" s="2094"/>
      <c r="AN82" s="2094"/>
      <c r="AO82" s="2094"/>
      <c r="AP82" s="2094"/>
      <c r="AQ82" s="2094"/>
      <c r="AR82" s="2094"/>
      <c r="AS82" s="2094"/>
      <c r="AT82" s="2094"/>
      <c r="AU82" s="2094"/>
      <c r="AV82" s="2094"/>
      <c r="AW82" s="2094"/>
      <c r="AX82" s="2094"/>
      <c r="AY82" s="2097"/>
      <c r="AZ82" s="2097"/>
      <c r="BA82" s="2097"/>
      <c r="BB82" s="2098"/>
      <c r="BC82" s="1208"/>
      <c r="BD82" s="1208"/>
      <c r="BE82" s="1215"/>
      <c r="CK82" s="1206"/>
      <c r="CL82" s="1206"/>
      <c r="CM82" s="1206"/>
      <c r="CN82" s="1206"/>
      <c r="CO82" s="1206"/>
      <c r="CP82" s="1206"/>
    </row>
    <row r="83" spans="1:94" ht="15.75" customHeight="1">
      <c r="A83" s="1208"/>
      <c r="B83" s="2026"/>
      <c r="C83" s="2027"/>
      <c r="D83" s="2027"/>
      <c r="E83" s="2027"/>
      <c r="F83" s="2027"/>
      <c r="G83" s="2027"/>
      <c r="H83" s="2027"/>
      <c r="I83" s="2027"/>
      <c r="J83" s="2027"/>
      <c r="K83" s="2027"/>
      <c r="L83" s="2027"/>
      <c r="M83" s="2027"/>
      <c r="N83" s="2027"/>
      <c r="O83" s="2027"/>
      <c r="P83" s="2027"/>
      <c r="Q83" s="2027"/>
      <c r="R83" s="2027"/>
      <c r="S83" s="2027"/>
      <c r="T83" s="2027"/>
      <c r="U83" s="2027"/>
      <c r="V83" s="2099"/>
      <c r="W83" s="2099"/>
      <c r="X83" s="2099"/>
      <c r="Y83" s="2099"/>
      <c r="Z83" s="2099"/>
      <c r="AA83" s="2099"/>
      <c r="AB83" s="2100"/>
      <c r="AC83" s="2100"/>
      <c r="AD83" s="2100"/>
      <c r="AE83" s="2100"/>
      <c r="AF83" s="2100"/>
      <c r="AG83" s="2100"/>
      <c r="AH83" s="2101"/>
      <c r="AI83" s="1208"/>
      <c r="AJ83" s="2093"/>
      <c r="AK83" s="2094"/>
      <c r="AL83" s="2094"/>
      <c r="AM83" s="2094"/>
      <c r="AN83" s="2094"/>
      <c r="AO83" s="2094"/>
      <c r="AP83" s="2094"/>
      <c r="AQ83" s="2094"/>
      <c r="AR83" s="2094"/>
      <c r="AS83" s="2094"/>
      <c r="AT83" s="2094"/>
      <c r="AU83" s="2094"/>
      <c r="AV83" s="2094"/>
      <c r="AW83" s="2094"/>
      <c r="AX83" s="2094"/>
      <c r="AY83" s="2097"/>
      <c r="AZ83" s="2097"/>
      <c r="BA83" s="2097"/>
      <c r="BB83" s="2098"/>
      <c r="BC83" s="1208"/>
      <c r="BD83" s="1208"/>
      <c r="BE83" s="1215"/>
      <c r="CK83" s="1206"/>
      <c r="CL83" s="1206"/>
      <c r="CM83" s="1206"/>
      <c r="CN83" s="1206"/>
      <c r="CO83" s="1206"/>
      <c r="CP83" s="1206"/>
    </row>
    <row r="84" spans="1:94" ht="15.75" customHeight="1">
      <c r="A84" s="1208"/>
      <c r="B84" s="2026" t="s">
        <v>2311</v>
      </c>
      <c r="C84" s="2027"/>
      <c r="D84" s="2027"/>
      <c r="E84" s="2027"/>
      <c r="F84" s="2027"/>
      <c r="G84" s="2027"/>
      <c r="H84" s="2027"/>
      <c r="I84" s="2104">
        <v>0</v>
      </c>
      <c r="J84" s="2104"/>
      <c r="K84" s="2104"/>
      <c r="L84" s="2104"/>
      <c r="M84" s="2104"/>
      <c r="N84" s="2104"/>
      <c r="O84" s="2104">
        <v>0</v>
      </c>
      <c r="P84" s="2104"/>
      <c r="Q84" s="2104"/>
      <c r="R84" s="2104"/>
      <c r="S84" s="2104"/>
      <c r="T84" s="2104"/>
      <c r="U84" s="2104"/>
      <c r="V84" s="2104">
        <v>0</v>
      </c>
      <c r="W84" s="2104"/>
      <c r="X84" s="2104"/>
      <c r="Y84" s="2104"/>
      <c r="Z84" s="2104"/>
      <c r="AA84" s="2104"/>
      <c r="AB84" s="2104">
        <v>0</v>
      </c>
      <c r="AC84" s="2104"/>
      <c r="AD84" s="2104"/>
      <c r="AE84" s="2104"/>
      <c r="AF84" s="2104"/>
      <c r="AG84" s="2104"/>
      <c r="AH84" s="2105"/>
      <c r="AI84" s="1208"/>
      <c r="AJ84" s="2093"/>
      <c r="AK84" s="2094"/>
      <c r="AL84" s="2094"/>
      <c r="AM84" s="2094"/>
      <c r="AN84" s="2094"/>
      <c r="AO84" s="2094"/>
      <c r="AP84" s="2094"/>
      <c r="AQ84" s="2094"/>
      <c r="AR84" s="2094"/>
      <c r="AS84" s="2094"/>
      <c r="AT84" s="2094"/>
      <c r="AU84" s="2094"/>
      <c r="AV84" s="2094"/>
      <c r="AW84" s="2094"/>
      <c r="AX84" s="2094"/>
      <c r="AY84" s="2097"/>
      <c r="AZ84" s="2097"/>
      <c r="BA84" s="2097"/>
      <c r="BB84" s="2098"/>
      <c r="BC84" s="1208"/>
      <c r="BD84" s="1208"/>
      <c r="BE84" s="1215"/>
      <c r="CK84" s="1206"/>
      <c r="CL84" s="1206"/>
      <c r="CM84" s="1206"/>
      <c r="CN84" s="1206"/>
      <c r="CO84" s="1206"/>
      <c r="CP84" s="1206"/>
    </row>
    <row r="85" spans="1:94" ht="15.75" customHeight="1">
      <c r="A85" s="1208"/>
      <c r="B85" s="2026" t="s">
        <v>2310</v>
      </c>
      <c r="C85" s="2027"/>
      <c r="D85" s="2027"/>
      <c r="E85" s="2027"/>
      <c r="F85" s="2027"/>
      <c r="G85" s="2027"/>
      <c r="H85" s="2027"/>
      <c r="I85" s="2104">
        <v>0</v>
      </c>
      <c r="J85" s="2104"/>
      <c r="K85" s="2104"/>
      <c r="L85" s="2104"/>
      <c r="M85" s="2104"/>
      <c r="N85" s="2104"/>
      <c r="O85" s="2104">
        <v>0</v>
      </c>
      <c r="P85" s="2104"/>
      <c r="Q85" s="2104"/>
      <c r="R85" s="2104"/>
      <c r="S85" s="2104"/>
      <c r="T85" s="2104"/>
      <c r="U85" s="2104"/>
      <c r="V85" s="2104">
        <v>0</v>
      </c>
      <c r="W85" s="2104"/>
      <c r="X85" s="2104"/>
      <c r="Y85" s="2104"/>
      <c r="Z85" s="2104"/>
      <c r="AA85" s="2104"/>
      <c r="AB85" s="2104">
        <v>0</v>
      </c>
      <c r="AC85" s="2104"/>
      <c r="AD85" s="2104"/>
      <c r="AE85" s="2104"/>
      <c r="AF85" s="2104"/>
      <c r="AG85" s="2104"/>
      <c r="AH85" s="2105"/>
      <c r="AI85" s="1208"/>
      <c r="AJ85" s="2074" t="s">
        <v>2316</v>
      </c>
      <c r="AK85" s="2075"/>
      <c r="AL85" s="2075"/>
      <c r="AM85" s="2075"/>
      <c r="AN85" s="2075"/>
      <c r="AO85" s="2075"/>
      <c r="AP85" s="2075"/>
      <c r="AQ85" s="2075"/>
      <c r="AR85" s="2075"/>
      <c r="AS85" s="2075"/>
      <c r="AT85" s="2075"/>
      <c r="AU85" s="2075"/>
      <c r="AV85" s="2075"/>
      <c r="AW85" s="2075"/>
      <c r="AX85" s="2075"/>
      <c r="AY85" s="2075"/>
      <c r="AZ85" s="2075"/>
      <c r="BA85" s="2075"/>
      <c r="BB85" s="2076"/>
      <c r="BC85" s="1208"/>
      <c r="BD85" s="1208"/>
      <c r="BE85" s="1215"/>
      <c r="CK85" s="1206"/>
      <c r="CL85" s="1206"/>
      <c r="CM85" s="1206"/>
      <c r="CN85" s="1206"/>
      <c r="CO85" s="1206"/>
      <c r="CP85" s="1206"/>
    </row>
    <row r="86" spans="1:94" ht="15.75" customHeight="1" thickBot="1">
      <c r="A86" s="1208"/>
      <c r="B86" s="2044" t="s">
        <v>2309</v>
      </c>
      <c r="C86" s="2045"/>
      <c r="D86" s="2045"/>
      <c r="E86" s="2045"/>
      <c r="F86" s="2045"/>
      <c r="G86" s="2045"/>
      <c r="H86" s="2045"/>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1208"/>
      <c r="AJ86" s="2077"/>
      <c r="AK86" s="2078"/>
      <c r="AL86" s="2078"/>
      <c r="AM86" s="2078"/>
      <c r="AN86" s="2078"/>
      <c r="AO86" s="2078"/>
      <c r="AP86" s="2078"/>
      <c r="AQ86" s="2078"/>
      <c r="AR86" s="2078"/>
      <c r="AS86" s="2078"/>
      <c r="AT86" s="2078"/>
      <c r="AU86" s="2078"/>
      <c r="AV86" s="2078"/>
      <c r="AW86" s="2078"/>
      <c r="AX86" s="2078"/>
      <c r="AY86" s="2078"/>
      <c r="AZ86" s="2078"/>
      <c r="BA86" s="2078"/>
      <c r="BB86" s="207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85"/>
      <c r="G90" s="2086"/>
      <c r="H90" s="2086"/>
      <c r="I90" s="2086"/>
      <c r="J90" s="2086"/>
      <c r="K90" s="2086"/>
      <c r="L90" s="2086"/>
      <c r="M90" s="2086"/>
      <c r="N90" s="2086"/>
      <c r="O90" s="2086"/>
      <c r="P90" s="2086"/>
      <c r="Q90" s="2086"/>
      <c r="R90" s="2086"/>
      <c r="S90" s="2086"/>
      <c r="T90" s="208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8" t="s">
        <v>2317</v>
      </c>
      <c r="C92" s="2089"/>
      <c r="D92" s="2089"/>
      <c r="E92" s="2089"/>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89"/>
      <c r="AC92" s="2089"/>
      <c r="AD92" s="2089"/>
      <c r="AE92" s="2089"/>
      <c r="AF92" s="2089"/>
      <c r="AG92" s="2089"/>
      <c r="AH92" s="2090"/>
      <c r="AI92" s="1208"/>
      <c r="AJ92" s="2091" t="s">
        <v>2626</v>
      </c>
      <c r="AK92" s="2092"/>
      <c r="AL92" s="2092"/>
      <c r="AM92" s="2092"/>
      <c r="AN92" s="2092"/>
      <c r="AO92" s="2092"/>
      <c r="AP92" s="2092"/>
      <c r="AQ92" s="2092"/>
      <c r="AR92" s="2092"/>
      <c r="AS92" s="2092"/>
      <c r="AT92" s="2092"/>
      <c r="AU92" s="2092"/>
      <c r="AV92" s="2092"/>
      <c r="AW92" s="2092"/>
      <c r="AX92" s="2092"/>
      <c r="AY92" s="2095" t="s">
        <v>545</v>
      </c>
      <c r="AZ92" s="2095"/>
      <c r="BA92" s="2095"/>
      <c r="BB92" s="209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6"/>
      <c r="C93" s="2027"/>
      <c r="D93" s="2027"/>
      <c r="E93" s="2027"/>
      <c r="F93" s="2027"/>
      <c r="G93" s="2027"/>
      <c r="H93" s="2027"/>
      <c r="I93" s="2027" t="s">
        <v>2313</v>
      </c>
      <c r="J93" s="2027"/>
      <c r="K93" s="2027"/>
      <c r="L93" s="2027"/>
      <c r="M93" s="2027"/>
      <c r="N93" s="2027"/>
      <c r="O93" s="2027" t="s">
        <v>2290</v>
      </c>
      <c r="P93" s="2027"/>
      <c r="Q93" s="2027"/>
      <c r="R93" s="2027"/>
      <c r="S93" s="2027"/>
      <c r="T93" s="2027"/>
      <c r="U93" s="2027"/>
      <c r="V93" s="2099" t="s">
        <v>2289</v>
      </c>
      <c r="W93" s="2099"/>
      <c r="X93" s="2099"/>
      <c r="Y93" s="2099"/>
      <c r="Z93" s="2099"/>
      <c r="AA93" s="2099"/>
      <c r="AB93" s="2100" t="s">
        <v>2312</v>
      </c>
      <c r="AC93" s="2100"/>
      <c r="AD93" s="2100"/>
      <c r="AE93" s="2100"/>
      <c r="AF93" s="2100"/>
      <c r="AG93" s="2100"/>
      <c r="AH93" s="2101"/>
      <c r="AI93" s="1208"/>
      <c r="AJ93" s="2093"/>
      <c r="AK93" s="2094"/>
      <c r="AL93" s="2094"/>
      <c r="AM93" s="2094"/>
      <c r="AN93" s="2094"/>
      <c r="AO93" s="2094"/>
      <c r="AP93" s="2094"/>
      <c r="AQ93" s="2094"/>
      <c r="AR93" s="2094"/>
      <c r="AS93" s="2094"/>
      <c r="AT93" s="2094"/>
      <c r="AU93" s="2094"/>
      <c r="AV93" s="2094"/>
      <c r="AW93" s="2094"/>
      <c r="AX93" s="2094"/>
      <c r="AY93" s="2097"/>
      <c r="AZ93" s="2097"/>
      <c r="BA93" s="2097"/>
      <c r="BB93" s="209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6"/>
      <c r="C94" s="2027"/>
      <c r="D94" s="2027"/>
      <c r="E94" s="2027"/>
      <c r="F94" s="2027"/>
      <c r="G94" s="2027"/>
      <c r="H94" s="2027"/>
      <c r="I94" s="2027"/>
      <c r="J94" s="2027"/>
      <c r="K94" s="2027"/>
      <c r="L94" s="2027"/>
      <c r="M94" s="2027"/>
      <c r="N94" s="2027"/>
      <c r="O94" s="2027"/>
      <c r="P94" s="2027"/>
      <c r="Q94" s="2027"/>
      <c r="R94" s="2027"/>
      <c r="S94" s="2027"/>
      <c r="T94" s="2027"/>
      <c r="U94" s="2027"/>
      <c r="V94" s="2099"/>
      <c r="W94" s="2099"/>
      <c r="X94" s="2099"/>
      <c r="Y94" s="2099"/>
      <c r="Z94" s="2099"/>
      <c r="AA94" s="2099"/>
      <c r="AB94" s="2100"/>
      <c r="AC94" s="2100"/>
      <c r="AD94" s="2100"/>
      <c r="AE94" s="2100"/>
      <c r="AF94" s="2100"/>
      <c r="AG94" s="2100"/>
      <c r="AH94" s="2101"/>
      <c r="AI94" s="1208"/>
      <c r="AJ94" s="2093"/>
      <c r="AK94" s="2094"/>
      <c r="AL94" s="2094"/>
      <c r="AM94" s="2094"/>
      <c r="AN94" s="2094"/>
      <c r="AO94" s="2094"/>
      <c r="AP94" s="2094"/>
      <c r="AQ94" s="2094"/>
      <c r="AR94" s="2094"/>
      <c r="AS94" s="2094"/>
      <c r="AT94" s="2094"/>
      <c r="AU94" s="2094"/>
      <c r="AV94" s="2094"/>
      <c r="AW94" s="2094"/>
      <c r="AX94" s="2094"/>
      <c r="AY94" s="2097"/>
      <c r="AZ94" s="2097"/>
      <c r="BA94" s="2097"/>
      <c r="BB94" s="209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6" t="s">
        <v>2311</v>
      </c>
      <c r="C95" s="2027"/>
      <c r="D95" s="2027"/>
      <c r="E95" s="2027"/>
      <c r="F95" s="2027"/>
      <c r="G95" s="2027"/>
      <c r="H95" s="2027"/>
      <c r="I95" s="2104">
        <v>0</v>
      </c>
      <c r="J95" s="2104"/>
      <c r="K95" s="2104"/>
      <c r="L95" s="2104"/>
      <c r="M95" s="2104"/>
      <c r="N95" s="2104"/>
      <c r="O95" s="2104">
        <v>0</v>
      </c>
      <c r="P95" s="2104"/>
      <c r="Q95" s="2104"/>
      <c r="R95" s="2104"/>
      <c r="S95" s="2104"/>
      <c r="T95" s="2104"/>
      <c r="U95" s="2104"/>
      <c r="V95" s="2104">
        <v>0</v>
      </c>
      <c r="W95" s="2104"/>
      <c r="X95" s="2104"/>
      <c r="Y95" s="2104"/>
      <c r="Z95" s="2104"/>
      <c r="AA95" s="2104"/>
      <c r="AB95" s="2104">
        <v>0</v>
      </c>
      <c r="AC95" s="2104"/>
      <c r="AD95" s="2104"/>
      <c r="AE95" s="2104"/>
      <c r="AF95" s="2104"/>
      <c r="AG95" s="2104"/>
      <c r="AH95" s="2105"/>
      <c r="AI95" s="1208"/>
      <c r="AJ95" s="2093"/>
      <c r="AK95" s="2094"/>
      <c r="AL95" s="2094"/>
      <c r="AM95" s="2094"/>
      <c r="AN95" s="2094"/>
      <c r="AO95" s="2094"/>
      <c r="AP95" s="2094"/>
      <c r="AQ95" s="2094"/>
      <c r="AR95" s="2094"/>
      <c r="AS95" s="2094"/>
      <c r="AT95" s="2094"/>
      <c r="AU95" s="2094"/>
      <c r="AV95" s="2094"/>
      <c r="AW95" s="2094"/>
      <c r="AX95" s="2094"/>
      <c r="AY95" s="2097"/>
      <c r="AZ95" s="2097"/>
      <c r="BA95" s="2097"/>
      <c r="BB95" s="209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6" t="s">
        <v>2310</v>
      </c>
      <c r="C96" s="2027"/>
      <c r="D96" s="2027"/>
      <c r="E96" s="2027"/>
      <c r="F96" s="2027"/>
      <c r="G96" s="2027"/>
      <c r="H96" s="2027"/>
      <c r="I96" s="2104">
        <v>0</v>
      </c>
      <c r="J96" s="2104"/>
      <c r="K96" s="2104"/>
      <c r="L96" s="2104"/>
      <c r="M96" s="2104"/>
      <c r="N96" s="2104"/>
      <c r="O96" s="2104">
        <v>0</v>
      </c>
      <c r="P96" s="2104"/>
      <c r="Q96" s="2104"/>
      <c r="R96" s="2104"/>
      <c r="S96" s="2104"/>
      <c r="T96" s="2104"/>
      <c r="U96" s="2104"/>
      <c r="V96" s="2104">
        <v>0</v>
      </c>
      <c r="W96" s="2104"/>
      <c r="X96" s="2104"/>
      <c r="Y96" s="2104"/>
      <c r="Z96" s="2104"/>
      <c r="AA96" s="2104"/>
      <c r="AB96" s="2104">
        <v>0</v>
      </c>
      <c r="AC96" s="2104"/>
      <c r="AD96" s="2104"/>
      <c r="AE96" s="2104"/>
      <c r="AF96" s="2104"/>
      <c r="AG96" s="2104"/>
      <c r="AH96" s="2105"/>
      <c r="AI96" s="1208"/>
      <c r="AJ96" s="2074" t="s">
        <v>2316</v>
      </c>
      <c r="AK96" s="2075"/>
      <c r="AL96" s="2075"/>
      <c r="AM96" s="2075"/>
      <c r="AN96" s="2075"/>
      <c r="AO96" s="2075"/>
      <c r="AP96" s="2075"/>
      <c r="AQ96" s="2075"/>
      <c r="AR96" s="2075"/>
      <c r="AS96" s="2075"/>
      <c r="AT96" s="2075"/>
      <c r="AU96" s="2075"/>
      <c r="AV96" s="2075"/>
      <c r="AW96" s="2075"/>
      <c r="AX96" s="2075"/>
      <c r="AY96" s="2075"/>
      <c r="AZ96" s="2075"/>
      <c r="BA96" s="2075"/>
      <c r="BB96" s="207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4" t="s">
        <v>2309</v>
      </c>
      <c r="C97" s="2045"/>
      <c r="D97" s="2045"/>
      <c r="E97" s="2045"/>
      <c r="F97" s="2045"/>
      <c r="G97" s="2045"/>
      <c r="H97" s="2045"/>
      <c r="I97" s="2102">
        <v>0</v>
      </c>
      <c r="J97" s="2102"/>
      <c r="K97" s="2102"/>
      <c r="L97" s="2102"/>
      <c r="M97" s="2102"/>
      <c r="N97" s="2102"/>
      <c r="O97" s="2102">
        <v>0</v>
      </c>
      <c r="P97" s="2102"/>
      <c r="Q97" s="2102"/>
      <c r="R97" s="2102"/>
      <c r="S97" s="2102"/>
      <c r="T97" s="2102"/>
      <c r="U97" s="2102"/>
      <c r="V97" s="2102">
        <v>0</v>
      </c>
      <c r="W97" s="2102"/>
      <c r="X97" s="2102"/>
      <c r="Y97" s="2102"/>
      <c r="Z97" s="2102"/>
      <c r="AA97" s="2102"/>
      <c r="AB97" s="2102">
        <v>0</v>
      </c>
      <c r="AC97" s="2102"/>
      <c r="AD97" s="2102"/>
      <c r="AE97" s="2102"/>
      <c r="AF97" s="2102"/>
      <c r="AG97" s="2102"/>
      <c r="AH97" s="2103"/>
      <c r="AI97" s="1208"/>
      <c r="AJ97" s="2077"/>
      <c r="AK97" s="2078"/>
      <c r="AL97" s="2078"/>
      <c r="AM97" s="2078"/>
      <c r="AN97" s="2078"/>
      <c r="AO97" s="2078"/>
      <c r="AP97" s="2078"/>
      <c r="AQ97" s="2078"/>
      <c r="AR97" s="2078"/>
      <c r="AS97" s="2078"/>
      <c r="AT97" s="2078"/>
      <c r="AU97" s="2078"/>
      <c r="AV97" s="2078"/>
      <c r="AW97" s="2078"/>
      <c r="AX97" s="2078"/>
      <c r="AY97" s="2078"/>
      <c r="AZ97" s="2078"/>
      <c r="BA97" s="2078"/>
      <c r="BB97" s="207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6"/>
      <c r="G100" s="2107"/>
      <c r="H100" s="2107"/>
      <c r="I100" s="2107"/>
      <c r="J100" s="2107"/>
      <c r="K100" s="2107"/>
      <c r="L100" s="2107"/>
      <c r="M100" s="2107"/>
      <c r="N100" s="2107"/>
      <c r="O100" s="2107"/>
      <c r="P100" s="2107"/>
      <c r="Q100" s="2107"/>
      <c r="R100" s="21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0" t="s">
        <v>2314</v>
      </c>
      <c r="C102" s="2071"/>
      <c r="D102" s="2071"/>
      <c r="E102" s="2071"/>
      <c r="F102" s="2071"/>
      <c r="G102" s="2071"/>
      <c r="H102" s="2071"/>
      <c r="I102" s="2071"/>
      <c r="J102" s="2071"/>
      <c r="K102" s="2071"/>
      <c r="L102" s="2071"/>
      <c r="M102" s="2071"/>
      <c r="N102" s="2071"/>
      <c r="O102" s="2071"/>
      <c r="P102" s="2071"/>
      <c r="Q102" s="2071"/>
      <c r="R102" s="2071"/>
      <c r="S102" s="2071"/>
      <c r="T102" s="2071"/>
      <c r="U102" s="2071"/>
      <c r="V102" s="2071"/>
      <c r="W102" s="2071"/>
      <c r="X102" s="2071"/>
      <c r="Y102" s="2071"/>
      <c r="Z102" s="2071"/>
      <c r="AA102" s="2071"/>
      <c r="AB102" s="2071"/>
      <c r="AC102" s="2071"/>
      <c r="AD102" s="2071"/>
      <c r="AE102" s="2071"/>
      <c r="AF102" s="2071"/>
      <c r="AG102" s="2071"/>
      <c r="AH102" s="210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6"/>
      <c r="C103" s="2027"/>
      <c r="D103" s="2027"/>
      <c r="E103" s="2027"/>
      <c r="F103" s="2027"/>
      <c r="G103" s="2027"/>
      <c r="H103" s="2027"/>
      <c r="I103" s="2027" t="s">
        <v>2313</v>
      </c>
      <c r="J103" s="2027"/>
      <c r="K103" s="2027"/>
      <c r="L103" s="2027"/>
      <c r="M103" s="2027"/>
      <c r="N103" s="2027"/>
      <c r="O103" s="2027" t="s">
        <v>2290</v>
      </c>
      <c r="P103" s="2027"/>
      <c r="Q103" s="2027"/>
      <c r="R103" s="2027"/>
      <c r="S103" s="2027"/>
      <c r="T103" s="2027"/>
      <c r="U103" s="2027"/>
      <c r="V103" s="2099" t="s">
        <v>2289</v>
      </c>
      <c r="W103" s="2099"/>
      <c r="X103" s="2099"/>
      <c r="Y103" s="2099"/>
      <c r="Z103" s="2099"/>
      <c r="AA103" s="2099"/>
      <c r="AB103" s="2100" t="s">
        <v>2312</v>
      </c>
      <c r="AC103" s="2100"/>
      <c r="AD103" s="2100"/>
      <c r="AE103" s="2100"/>
      <c r="AF103" s="2100"/>
      <c r="AG103" s="2100"/>
      <c r="AH103" s="210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6"/>
      <c r="C104" s="2027"/>
      <c r="D104" s="2027"/>
      <c r="E104" s="2027"/>
      <c r="F104" s="2027"/>
      <c r="G104" s="2027"/>
      <c r="H104" s="2027"/>
      <c r="I104" s="2027"/>
      <c r="J104" s="2027"/>
      <c r="K104" s="2027"/>
      <c r="L104" s="2027"/>
      <c r="M104" s="2027"/>
      <c r="N104" s="2027"/>
      <c r="O104" s="2027"/>
      <c r="P104" s="2027"/>
      <c r="Q104" s="2027"/>
      <c r="R104" s="2027"/>
      <c r="S104" s="2027"/>
      <c r="T104" s="2027"/>
      <c r="U104" s="2027"/>
      <c r="V104" s="2099"/>
      <c r="W104" s="2099"/>
      <c r="X104" s="2099"/>
      <c r="Y104" s="2099"/>
      <c r="Z104" s="2099"/>
      <c r="AA104" s="2099"/>
      <c r="AB104" s="2100"/>
      <c r="AC104" s="2100"/>
      <c r="AD104" s="2100"/>
      <c r="AE104" s="2100"/>
      <c r="AF104" s="2100"/>
      <c r="AG104" s="2100"/>
      <c r="AH104" s="210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6" t="s">
        <v>2311</v>
      </c>
      <c r="C105" s="2027"/>
      <c r="D105" s="2027"/>
      <c r="E105" s="2027"/>
      <c r="F105" s="2027"/>
      <c r="G105" s="2027"/>
      <c r="H105" s="2027"/>
      <c r="I105" s="2104">
        <v>0</v>
      </c>
      <c r="J105" s="2104"/>
      <c r="K105" s="2104"/>
      <c r="L105" s="2104"/>
      <c r="M105" s="2104"/>
      <c r="N105" s="2104"/>
      <c r="O105" s="2104">
        <v>0</v>
      </c>
      <c r="P105" s="2104"/>
      <c r="Q105" s="2104"/>
      <c r="R105" s="2104"/>
      <c r="S105" s="2104"/>
      <c r="T105" s="2104"/>
      <c r="U105" s="2104"/>
      <c r="V105" s="2104">
        <v>0</v>
      </c>
      <c r="W105" s="2104"/>
      <c r="X105" s="2104"/>
      <c r="Y105" s="2104"/>
      <c r="Z105" s="2104"/>
      <c r="AA105" s="2104"/>
      <c r="AB105" s="2104">
        <v>0</v>
      </c>
      <c r="AC105" s="2104"/>
      <c r="AD105" s="2104"/>
      <c r="AE105" s="2104"/>
      <c r="AF105" s="2104"/>
      <c r="AG105" s="2104"/>
      <c r="AH105" s="210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6" t="s">
        <v>2310</v>
      </c>
      <c r="C106" s="2027"/>
      <c r="D106" s="2027"/>
      <c r="E106" s="2027"/>
      <c r="F106" s="2027"/>
      <c r="G106" s="2027"/>
      <c r="H106" s="2027"/>
      <c r="I106" s="2104">
        <v>0</v>
      </c>
      <c r="J106" s="2104"/>
      <c r="K106" s="2104"/>
      <c r="L106" s="2104"/>
      <c r="M106" s="2104"/>
      <c r="N106" s="2104"/>
      <c r="O106" s="2104">
        <v>0</v>
      </c>
      <c r="P106" s="2104"/>
      <c r="Q106" s="2104"/>
      <c r="R106" s="2104"/>
      <c r="S106" s="2104"/>
      <c r="T106" s="2104"/>
      <c r="U106" s="2104"/>
      <c r="V106" s="2104">
        <v>0</v>
      </c>
      <c r="W106" s="2104"/>
      <c r="X106" s="2104"/>
      <c r="Y106" s="2104"/>
      <c r="Z106" s="2104"/>
      <c r="AA106" s="2104"/>
      <c r="AB106" s="2104">
        <v>0</v>
      </c>
      <c r="AC106" s="2104"/>
      <c r="AD106" s="2104"/>
      <c r="AE106" s="2104"/>
      <c r="AF106" s="2104"/>
      <c r="AG106" s="2104"/>
      <c r="AH106" s="210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4" t="s">
        <v>2309</v>
      </c>
      <c r="C107" s="2045"/>
      <c r="D107" s="2045"/>
      <c r="E107" s="2045"/>
      <c r="F107" s="2045"/>
      <c r="G107" s="2045"/>
      <c r="H107" s="2045"/>
      <c r="I107" s="2102">
        <v>0</v>
      </c>
      <c r="J107" s="2102"/>
      <c r="K107" s="2102"/>
      <c r="L107" s="2102"/>
      <c r="M107" s="2102"/>
      <c r="N107" s="2102"/>
      <c r="O107" s="2102">
        <v>0</v>
      </c>
      <c r="P107" s="2102"/>
      <c r="Q107" s="2102"/>
      <c r="R107" s="2102"/>
      <c r="S107" s="2102"/>
      <c r="T107" s="2102"/>
      <c r="U107" s="2102"/>
      <c r="V107" s="2102">
        <v>0</v>
      </c>
      <c r="W107" s="2102"/>
      <c r="X107" s="2102"/>
      <c r="Y107" s="2102"/>
      <c r="Z107" s="2102"/>
      <c r="AA107" s="2102"/>
      <c r="AB107" s="2102">
        <v>0</v>
      </c>
      <c r="AC107" s="2102"/>
      <c r="AD107" s="2102"/>
      <c r="AE107" s="2102"/>
      <c r="AF107" s="2102"/>
      <c r="AG107" s="2102"/>
      <c r="AH107" s="210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6"/>
      <c r="G110" s="2107"/>
      <c r="H110" s="2107"/>
      <c r="I110" s="2107"/>
      <c r="J110" s="2107"/>
      <c r="K110" s="2107"/>
      <c r="L110" s="2107"/>
      <c r="M110" s="2107"/>
      <c r="N110" s="2107"/>
      <c r="O110" s="2107"/>
      <c r="P110" s="2107"/>
      <c r="Q110" s="2107"/>
      <c r="R110" s="2108"/>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2627</v>
      </c>
      <c r="C112" s="2111"/>
      <c r="D112" s="2111"/>
      <c r="E112" s="2111"/>
      <c r="F112" s="2111"/>
      <c r="G112" s="2111"/>
      <c r="H112" s="2111"/>
      <c r="I112" s="2111"/>
      <c r="J112" s="2111"/>
      <c r="K112" s="2111"/>
      <c r="L112" s="2111"/>
      <c r="M112" s="2111"/>
      <c r="N112" s="2111"/>
      <c r="O112" s="2111"/>
      <c r="P112" s="2111"/>
      <c r="Q112" s="2111"/>
      <c r="R112" s="2111"/>
      <c r="S112" s="2111"/>
      <c r="T112" s="2111"/>
      <c r="U112" s="2114" t="s">
        <v>545</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2627</v>
      </c>
      <c r="C116" s="2119"/>
      <c r="D116" s="2119"/>
      <c r="E116" s="2119"/>
      <c r="F116" s="2119"/>
      <c r="G116" s="2119"/>
      <c r="H116" s="2119"/>
      <c r="I116" s="2119"/>
      <c r="J116" s="2119"/>
      <c r="K116" s="2119"/>
      <c r="L116" s="2119"/>
      <c r="M116" s="2119"/>
      <c r="N116" s="2119"/>
      <c r="O116" s="2119"/>
      <c r="P116" s="2119"/>
      <c r="Q116" s="2119"/>
      <c r="R116" s="2119"/>
      <c r="S116" s="2119"/>
      <c r="T116" s="2119"/>
      <c r="U116" s="2122" t="s">
        <v>545</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1" t="s">
        <v>2306</v>
      </c>
      <c r="Y120" s="2092"/>
      <c r="Z120" s="2092"/>
      <c r="AA120" s="2092"/>
      <c r="AB120" s="2092"/>
      <c r="AC120" s="2092"/>
      <c r="AD120" s="2092"/>
      <c r="AE120" s="2092"/>
      <c r="AF120" s="2092"/>
      <c r="AG120" s="2092"/>
      <c r="AH120" s="2092"/>
      <c r="AI120" s="2092"/>
      <c r="AJ120" s="2092"/>
      <c r="AK120" s="2092"/>
      <c r="AL120" s="2092"/>
      <c r="AM120" s="2092"/>
      <c r="AN120" s="2092"/>
      <c r="AO120" s="2092"/>
      <c r="AP120" s="2092"/>
      <c r="AQ120" s="2092"/>
      <c r="AR120" s="2092"/>
      <c r="AS120" s="2092"/>
      <c r="AT120" s="2092"/>
      <c r="AU120" s="2092"/>
      <c r="AV120" s="2092"/>
      <c r="AW120" s="2092"/>
      <c r="AX120" s="2092"/>
      <c r="AY120" s="2092"/>
      <c r="AZ120" s="2092"/>
      <c r="BA120" s="2092"/>
      <c r="BB120" s="2092"/>
      <c r="BC120" s="2092"/>
      <c r="BD120" s="2132"/>
      <c r="BE120" s="1215"/>
    </row>
    <row r="121" spans="1:57" ht="15.75" customHeight="1">
      <c r="A121" s="1208"/>
      <c r="B121" s="2134" t="s">
        <v>1566</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093"/>
      <c r="Y121" s="2094"/>
      <c r="Z121" s="2094"/>
      <c r="AA121" s="2094"/>
      <c r="AB121" s="2094"/>
      <c r="AC121" s="2094"/>
      <c r="AD121" s="2094"/>
      <c r="AE121" s="2094"/>
      <c r="AF121" s="2094"/>
      <c r="AG121" s="2094"/>
      <c r="AH121" s="2094"/>
      <c r="AI121" s="2094"/>
      <c r="AJ121" s="2094"/>
      <c r="AK121" s="2094"/>
      <c r="AL121" s="2094"/>
      <c r="AM121" s="2094"/>
      <c r="AN121" s="2094"/>
      <c r="AO121" s="2094"/>
      <c r="AP121" s="2094"/>
      <c r="AQ121" s="2094"/>
      <c r="AR121" s="2094"/>
      <c r="AS121" s="2094"/>
      <c r="AT121" s="2094"/>
      <c r="AU121" s="2094"/>
      <c r="AV121" s="2094"/>
      <c r="AW121" s="2094"/>
      <c r="AX121" s="2094"/>
      <c r="AY121" s="2094"/>
      <c r="AZ121" s="2094"/>
      <c r="BA121" s="2094"/>
      <c r="BB121" s="2094"/>
      <c r="BC121" s="2094"/>
      <c r="BD121" s="2133"/>
      <c r="BE121" s="1215"/>
    </row>
    <row r="122" spans="1:57" ht="15.75" customHeight="1">
      <c r="A122" s="1208"/>
      <c r="B122" s="2152"/>
      <c r="C122" s="2153"/>
      <c r="D122" s="2153"/>
      <c r="E122" s="2153"/>
      <c r="F122" s="2153"/>
      <c r="G122" s="2153"/>
      <c r="H122" s="2153"/>
      <c r="I122" s="2027" t="s">
        <v>2305</v>
      </c>
      <c r="J122" s="2027"/>
      <c r="K122" s="2027"/>
      <c r="L122" s="2027"/>
      <c r="M122" s="2027"/>
      <c r="N122" s="2027"/>
      <c r="O122" s="2156" t="s">
        <v>2304</v>
      </c>
      <c r="P122" s="2156"/>
      <c r="Q122" s="2156"/>
      <c r="R122" s="2156"/>
      <c r="S122" s="2156"/>
      <c r="T122" s="2156"/>
      <c r="U122" s="2157"/>
      <c r="V122" s="1208"/>
      <c r="W122" s="1208"/>
      <c r="X122" s="2074" t="s">
        <v>2274</v>
      </c>
      <c r="Y122" s="2075"/>
      <c r="Z122" s="2075"/>
      <c r="AA122" s="2075"/>
      <c r="AB122" s="2075"/>
      <c r="AC122" s="2075"/>
      <c r="AD122" s="2075"/>
      <c r="AE122" s="2075"/>
      <c r="AF122" s="2075"/>
      <c r="AG122" s="2075"/>
      <c r="AH122" s="2075"/>
      <c r="AI122" s="2075"/>
      <c r="AJ122" s="2075"/>
      <c r="AK122" s="2075"/>
      <c r="AL122" s="2075"/>
      <c r="AM122" s="2075"/>
      <c r="AN122" s="2075"/>
      <c r="AO122" s="2075"/>
      <c r="AP122" s="2075"/>
      <c r="AQ122" s="2075"/>
      <c r="AR122" s="2075"/>
      <c r="AS122" s="2075"/>
      <c r="AT122" s="2075"/>
      <c r="AU122" s="2075"/>
      <c r="AV122" s="2075"/>
      <c r="AW122" s="2075"/>
      <c r="AX122" s="2075"/>
      <c r="AY122" s="2075"/>
      <c r="AZ122" s="2075"/>
      <c r="BA122" s="2075"/>
      <c r="BB122" s="2075"/>
      <c r="BC122" s="2075"/>
      <c r="BD122" s="2076"/>
      <c r="BE122" s="1215"/>
    </row>
    <row r="123" spans="1:57" ht="15.75" customHeight="1">
      <c r="A123" s="1208"/>
      <c r="B123" s="2126" t="s">
        <v>2288</v>
      </c>
      <c r="C123" s="2127"/>
      <c r="D123" s="2127"/>
      <c r="E123" s="2127"/>
      <c r="F123" s="2127"/>
      <c r="G123" s="2127"/>
      <c r="H123" s="2127"/>
      <c r="I123" s="2104">
        <v>0</v>
      </c>
      <c r="J123" s="2104"/>
      <c r="K123" s="2104"/>
      <c r="L123" s="2104"/>
      <c r="M123" s="2104"/>
      <c r="N123" s="2104"/>
      <c r="O123" s="2104">
        <v>0</v>
      </c>
      <c r="P123" s="2104"/>
      <c r="Q123" s="2104"/>
      <c r="R123" s="2104"/>
      <c r="S123" s="2104"/>
      <c r="T123" s="2104"/>
      <c r="U123" s="2105"/>
      <c r="V123" s="1208"/>
      <c r="W123" s="1208"/>
      <c r="X123" s="2074"/>
      <c r="Y123" s="2075"/>
      <c r="Z123" s="2075"/>
      <c r="AA123" s="2075"/>
      <c r="AB123" s="2075"/>
      <c r="AC123" s="2075"/>
      <c r="AD123" s="2075"/>
      <c r="AE123" s="2075"/>
      <c r="AF123" s="2075"/>
      <c r="AG123" s="2075"/>
      <c r="AH123" s="2075"/>
      <c r="AI123" s="2075"/>
      <c r="AJ123" s="2075"/>
      <c r="AK123" s="2075"/>
      <c r="AL123" s="2075"/>
      <c r="AM123" s="2075"/>
      <c r="AN123" s="2075"/>
      <c r="AO123" s="2075"/>
      <c r="AP123" s="2075"/>
      <c r="AQ123" s="2075"/>
      <c r="AR123" s="2075"/>
      <c r="AS123" s="2075"/>
      <c r="AT123" s="2075"/>
      <c r="AU123" s="2075"/>
      <c r="AV123" s="2075"/>
      <c r="AW123" s="2075"/>
      <c r="AX123" s="2075"/>
      <c r="AY123" s="2075"/>
      <c r="AZ123" s="2075"/>
      <c r="BA123" s="2075"/>
      <c r="BB123" s="2075"/>
      <c r="BC123" s="2075"/>
      <c r="BD123" s="2076"/>
      <c r="BE123" s="1215"/>
    </row>
    <row r="124" spans="1:57" ht="15.75" customHeight="1" thickBot="1">
      <c r="A124" s="1208"/>
      <c r="B124" s="2128" t="s">
        <v>2287</v>
      </c>
      <c r="C124" s="2129"/>
      <c r="D124" s="2129"/>
      <c r="E124" s="2129"/>
      <c r="F124" s="2129"/>
      <c r="G124" s="2129"/>
      <c r="H124" s="2129"/>
      <c r="I124" s="2102">
        <v>0</v>
      </c>
      <c r="J124" s="2102"/>
      <c r="K124" s="2102"/>
      <c r="L124" s="2102"/>
      <c r="M124" s="2102"/>
      <c r="N124" s="2102"/>
      <c r="O124" s="2130"/>
      <c r="P124" s="2130"/>
      <c r="Q124" s="2130"/>
      <c r="R124" s="2130"/>
      <c r="S124" s="2130"/>
      <c r="T124" s="2130"/>
      <c r="U124" s="2131"/>
      <c r="V124" s="1208"/>
      <c r="W124" s="1208"/>
      <c r="X124" s="2074"/>
      <c r="Y124" s="2075"/>
      <c r="Z124" s="2075"/>
      <c r="AA124" s="2075"/>
      <c r="AB124" s="2075"/>
      <c r="AC124" s="2075"/>
      <c r="AD124" s="2075"/>
      <c r="AE124" s="2075"/>
      <c r="AF124" s="2075"/>
      <c r="AG124" s="2075"/>
      <c r="AH124" s="2075"/>
      <c r="AI124" s="2075"/>
      <c r="AJ124" s="2075"/>
      <c r="AK124" s="2075"/>
      <c r="AL124" s="2075"/>
      <c r="AM124" s="2075"/>
      <c r="AN124" s="2075"/>
      <c r="AO124" s="2075"/>
      <c r="AP124" s="2075"/>
      <c r="AQ124" s="2075"/>
      <c r="AR124" s="2075"/>
      <c r="AS124" s="2075"/>
      <c r="AT124" s="2075"/>
      <c r="AU124" s="2075"/>
      <c r="AV124" s="2075"/>
      <c r="AW124" s="2075"/>
      <c r="AX124" s="2075"/>
      <c r="AY124" s="2075"/>
      <c r="AZ124" s="2075"/>
      <c r="BA124" s="2075"/>
      <c r="BB124" s="2075"/>
      <c r="BC124" s="2075"/>
      <c r="BD124" s="207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4"/>
      <c r="Y125" s="2075"/>
      <c r="Z125" s="2075"/>
      <c r="AA125" s="2075"/>
      <c r="AB125" s="2075"/>
      <c r="AC125" s="2075"/>
      <c r="AD125" s="2075"/>
      <c r="AE125" s="2075"/>
      <c r="AF125" s="2075"/>
      <c r="AG125" s="2075"/>
      <c r="AH125" s="2075"/>
      <c r="AI125" s="2075"/>
      <c r="AJ125" s="2075"/>
      <c r="AK125" s="2075"/>
      <c r="AL125" s="2075"/>
      <c r="AM125" s="2075"/>
      <c r="AN125" s="2075"/>
      <c r="AO125" s="2075"/>
      <c r="AP125" s="2075"/>
      <c r="AQ125" s="2075"/>
      <c r="AR125" s="2075"/>
      <c r="AS125" s="2075"/>
      <c r="AT125" s="2075"/>
      <c r="AU125" s="2075"/>
      <c r="AV125" s="2075"/>
      <c r="AW125" s="2075"/>
      <c r="AX125" s="2075"/>
      <c r="AY125" s="2075"/>
      <c r="AZ125" s="2075"/>
      <c r="BA125" s="2075"/>
      <c r="BB125" s="2075"/>
      <c r="BC125" s="2075"/>
      <c r="BD125" s="2076"/>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4"/>
      <c r="Y126" s="2075"/>
      <c r="Z126" s="2075"/>
      <c r="AA126" s="2075"/>
      <c r="AB126" s="2075"/>
      <c r="AC126" s="2075"/>
      <c r="AD126" s="2075"/>
      <c r="AE126" s="2075"/>
      <c r="AF126" s="2075"/>
      <c r="AG126" s="2075"/>
      <c r="AH126" s="2075"/>
      <c r="AI126" s="2075"/>
      <c r="AJ126" s="2075"/>
      <c r="AK126" s="2075"/>
      <c r="AL126" s="2075"/>
      <c r="AM126" s="2075"/>
      <c r="AN126" s="2075"/>
      <c r="AO126" s="2075"/>
      <c r="AP126" s="2075"/>
      <c r="AQ126" s="2075"/>
      <c r="AR126" s="2075"/>
      <c r="AS126" s="2075"/>
      <c r="AT126" s="2075"/>
      <c r="AU126" s="2075"/>
      <c r="AV126" s="2075"/>
      <c r="AW126" s="2075"/>
      <c r="AX126" s="2075"/>
      <c r="AY126" s="2075"/>
      <c r="AZ126" s="2075"/>
      <c r="BA126" s="2075"/>
      <c r="BB126" s="2075"/>
      <c r="BC126" s="2075"/>
      <c r="BD126" s="207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4"/>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215"/>
    </row>
    <row r="128" spans="1:57" ht="15.75" customHeight="1">
      <c r="A128" s="1208"/>
      <c r="B128" s="1928" t="s">
        <v>2302</v>
      </c>
      <c r="C128" s="1929"/>
      <c r="D128" s="1929"/>
      <c r="E128" s="1929"/>
      <c r="F128" s="1929"/>
      <c r="G128" s="1929"/>
      <c r="H128" s="1929"/>
      <c r="I128" s="1929"/>
      <c r="J128" s="1929"/>
      <c r="K128" s="1929"/>
      <c r="L128" s="1929"/>
      <c r="M128" s="1929"/>
      <c r="N128" s="1929"/>
      <c r="O128" s="1929"/>
      <c r="P128" s="1929"/>
      <c r="Q128" s="1929"/>
      <c r="R128" s="1929"/>
      <c r="S128" s="1929"/>
      <c r="T128" s="1929"/>
      <c r="U128" s="1930"/>
      <c r="V128" s="1208"/>
      <c r="W128" s="1208"/>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215"/>
    </row>
    <row r="129" spans="1:57" ht="15.75" customHeight="1">
      <c r="A129" s="1208"/>
      <c r="B129" s="2152"/>
      <c r="C129" s="2153"/>
      <c r="D129" s="2153"/>
      <c r="E129" s="2153"/>
      <c r="F129" s="2153"/>
      <c r="G129" s="2153"/>
      <c r="H129" s="2153"/>
      <c r="I129" s="2154" t="s">
        <v>2290</v>
      </c>
      <c r="J129" s="2154"/>
      <c r="K129" s="2154"/>
      <c r="L129" s="2154"/>
      <c r="M129" s="2154"/>
      <c r="N129" s="2154"/>
      <c r="O129" s="2154"/>
      <c r="P129" s="2154" t="s">
        <v>2289</v>
      </c>
      <c r="Q129" s="2154"/>
      <c r="R129" s="2154"/>
      <c r="S129" s="2154"/>
      <c r="T129" s="2154"/>
      <c r="U129" s="2155"/>
      <c r="V129" s="1208"/>
      <c r="W129" s="1208"/>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215"/>
    </row>
    <row r="130" spans="1:57" ht="15.75" customHeight="1">
      <c r="A130" s="1208"/>
      <c r="B130" s="2152"/>
      <c r="C130" s="2153"/>
      <c r="D130" s="2153"/>
      <c r="E130" s="2153"/>
      <c r="F130" s="2153"/>
      <c r="G130" s="2153"/>
      <c r="H130" s="2153"/>
      <c r="I130" s="2154"/>
      <c r="J130" s="2154"/>
      <c r="K130" s="2154"/>
      <c r="L130" s="2154"/>
      <c r="M130" s="2154"/>
      <c r="N130" s="2154"/>
      <c r="O130" s="2154"/>
      <c r="P130" s="2154"/>
      <c r="Q130" s="2154"/>
      <c r="R130" s="2154"/>
      <c r="S130" s="2154"/>
      <c r="T130" s="2154"/>
      <c r="U130" s="2155"/>
      <c r="V130" s="1208"/>
      <c r="W130" s="1208"/>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215"/>
    </row>
    <row r="131" spans="1:57" ht="15.75" customHeight="1">
      <c r="A131" s="1208"/>
      <c r="B131" s="2126" t="s">
        <v>2288</v>
      </c>
      <c r="C131" s="2127"/>
      <c r="D131" s="2127"/>
      <c r="E131" s="2127"/>
      <c r="F131" s="2127"/>
      <c r="G131" s="2127"/>
      <c r="H131" s="2127"/>
      <c r="I131" s="2104">
        <v>0</v>
      </c>
      <c r="J131" s="2104"/>
      <c r="K131" s="2104"/>
      <c r="L131" s="2104"/>
      <c r="M131" s="2104"/>
      <c r="N131" s="2104"/>
      <c r="O131" s="2104"/>
      <c r="P131" s="2104">
        <v>0</v>
      </c>
      <c r="Q131" s="2104"/>
      <c r="R131" s="2104"/>
      <c r="S131" s="2104"/>
      <c r="T131" s="2104"/>
      <c r="U131" s="2105"/>
      <c r="V131" s="1208"/>
      <c r="W131" s="1208"/>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215"/>
    </row>
    <row r="132" spans="1:57" ht="15.75" customHeight="1" thickBot="1">
      <c r="A132" s="1208"/>
      <c r="B132" s="2128" t="s">
        <v>2287</v>
      </c>
      <c r="C132" s="2129"/>
      <c r="D132" s="2129"/>
      <c r="E132" s="2129"/>
      <c r="F132" s="2129"/>
      <c r="G132" s="2129"/>
      <c r="H132" s="2129"/>
      <c r="I132" s="2102">
        <v>0</v>
      </c>
      <c r="J132" s="2102"/>
      <c r="K132" s="2102"/>
      <c r="L132" s="2102"/>
      <c r="M132" s="2102"/>
      <c r="N132" s="2102"/>
      <c r="O132" s="2102"/>
      <c r="P132" s="2102">
        <v>0</v>
      </c>
      <c r="Q132" s="2102"/>
      <c r="R132" s="2102"/>
      <c r="S132" s="2102"/>
      <c r="T132" s="2102"/>
      <c r="U132" s="2103"/>
      <c r="V132" s="1208"/>
      <c r="W132" s="1208"/>
      <c r="X132" s="2077"/>
      <c r="Y132" s="2078"/>
      <c r="Z132" s="2078"/>
      <c r="AA132" s="2078"/>
      <c r="AB132" s="2078"/>
      <c r="AC132" s="2078"/>
      <c r="AD132" s="2078"/>
      <c r="AE132" s="2078"/>
      <c r="AF132" s="2078"/>
      <c r="AG132" s="2078"/>
      <c r="AH132" s="2078"/>
      <c r="AI132" s="2078"/>
      <c r="AJ132" s="2078"/>
      <c r="AK132" s="2078"/>
      <c r="AL132" s="2078"/>
      <c r="AM132" s="2078"/>
      <c r="AN132" s="2078"/>
      <c r="AO132" s="2078"/>
      <c r="AP132" s="2078"/>
      <c r="AQ132" s="2078"/>
      <c r="AR132" s="2078"/>
      <c r="AS132" s="2078"/>
      <c r="AT132" s="2078"/>
      <c r="AU132" s="2078"/>
      <c r="AV132" s="2078"/>
      <c r="AW132" s="2078"/>
      <c r="AX132" s="2078"/>
      <c r="AY132" s="2078"/>
      <c r="AZ132" s="2078"/>
      <c r="BA132" s="2078"/>
      <c r="BB132" s="2078"/>
      <c r="BC132" s="2078"/>
      <c r="BD132" s="207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0" t="s">
        <v>2301</v>
      </c>
      <c r="C134" s="2151"/>
      <c r="D134" s="2151"/>
      <c r="E134" s="2151"/>
      <c r="F134" s="2151"/>
      <c r="G134" s="2151"/>
      <c r="H134" s="2151"/>
      <c r="I134" s="2151"/>
      <c r="J134" s="2151"/>
      <c r="K134" s="2151"/>
      <c r="L134" s="2151"/>
      <c r="M134" s="2151"/>
      <c r="N134" s="2151"/>
      <c r="O134" s="2151"/>
      <c r="P134" s="2151"/>
      <c r="Q134" s="2151"/>
      <c r="R134" s="2151"/>
      <c r="S134" s="2151"/>
      <c r="T134" s="2151"/>
      <c r="U134" s="2151"/>
      <c r="V134" s="2151"/>
      <c r="W134" s="2151"/>
      <c r="X134" s="2151"/>
      <c r="Y134" s="2151"/>
      <c r="Z134" s="2151"/>
      <c r="AA134" s="2151"/>
      <c r="AB134" s="2151"/>
      <c r="AC134" s="2151"/>
      <c r="AD134" s="2151"/>
      <c r="AE134" s="2151"/>
      <c r="AF134" s="2151"/>
      <c r="AG134" s="2151"/>
      <c r="AH134" s="2051" t="s">
        <v>545</v>
      </c>
      <c r="AI134" s="2051"/>
      <c r="AJ134" s="2051"/>
      <c r="AK134" s="2051"/>
      <c r="AL134" s="2051"/>
      <c r="AM134" s="2051"/>
      <c r="AN134" s="2051"/>
      <c r="AO134" s="2051"/>
      <c r="AP134" s="2051"/>
      <c r="AQ134" s="2051"/>
      <c r="AR134" s="2051"/>
      <c r="AS134" s="2051"/>
      <c r="AT134" s="2051"/>
      <c r="AU134" s="2051"/>
      <c r="AV134" s="2051"/>
      <c r="AW134" s="2051"/>
      <c r="AX134" s="2052"/>
      <c r="AY134" s="1208"/>
      <c r="AZ134" s="1208"/>
      <c r="BA134" s="1208"/>
      <c r="BB134" s="1208"/>
      <c r="BC134" s="1208"/>
      <c r="BD134" s="1208"/>
      <c r="BE134" s="1215"/>
    </row>
    <row r="135" spans="1:57" ht="15.75" customHeight="1" thickBot="1">
      <c r="A135" s="1208"/>
      <c r="B135" s="2137" t="s">
        <v>2300</v>
      </c>
      <c r="C135" s="2138"/>
      <c r="D135" s="2138"/>
      <c r="E135" s="2138"/>
      <c r="F135" s="2138"/>
      <c r="G135" s="2138"/>
      <c r="H135" s="2138"/>
      <c r="I135" s="2138"/>
      <c r="J135" s="2138"/>
      <c r="K135" s="2138"/>
      <c r="L135" s="2138"/>
      <c r="M135" s="2138"/>
      <c r="N135" s="2138"/>
      <c r="O135" s="2138"/>
      <c r="P135" s="2138"/>
      <c r="Q135" s="2138"/>
      <c r="R135" s="2138"/>
      <c r="S135" s="2138"/>
      <c r="T135" s="2138"/>
      <c r="U135" s="2138"/>
      <c r="V135" s="2138"/>
      <c r="W135" s="2138"/>
      <c r="X135" s="2138"/>
      <c r="Y135" s="2138"/>
      <c r="Z135" s="2138"/>
      <c r="AA135" s="2138"/>
      <c r="AB135" s="2138"/>
      <c r="AC135" s="2138"/>
      <c r="AD135" s="2138"/>
      <c r="AE135" s="2138"/>
      <c r="AF135" s="2138"/>
      <c r="AG135" s="2139"/>
      <c r="AH135" s="2106"/>
      <c r="AI135" s="2107"/>
      <c r="AJ135" s="2107"/>
      <c r="AK135" s="2107"/>
      <c r="AL135" s="2107"/>
      <c r="AM135" s="2107"/>
      <c r="AN135" s="2107"/>
      <c r="AO135" s="2107"/>
      <c r="AP135" s="2107"/>
      <c r="AQ135" s="2107"/>
      <c r="AR135" s="2107"/>
      <c r="AS135" s="2107"/>
      <c r="AT135" s="2107"/>
      <c r="AU135" s="2107"/>
      <c r="AV135" s="2107"/>
      <c r="AW135" s="2107"/>
      <c r="AX135" s="2108"/>
      <c r="AY135" s="1208"/>
      <c r="AZ135" s="1208"/>
      <c r="BA135" s="1208"/>
      <c r="BB135" s="1208"/>
      <c r="BC135" s="1208"/>
      <c r="BD135" s="1208"/>
      <c r="BE135" s="1215"/>
    </row>
    <row r="136" spans="1:57" ht="15.75" customHeight="1">
      <c r="A136" s="1208"/>
      <c r="B136" s="2137" t="s">
        <v>2299</v>
      </c>
      <c r="C136" s="2138"/>
      <c r="D136" s="2138"/>
      <c r="E136" s="2138"/>
      <c r="F136" s="2138"/>
      <c r="G136" s="2138"/>
      <c r="H136" s="2138"/>
      <c r="I136" s="2138"/>
      <c r="J136" s="2138"/>
      <c r="K136" s="2138"/>
      <c r="L136" s="2138"/>
      <c r="M136" s="2138"/>
      <c r="N136" s="2138"/>
      <c r="O136" s="2138"/>
      <c r="P136" s="2138"/>
      <c r="Q136" s="2138"/>
      <c r="R136" s="2138"/>
      <c r="S136" s="2138"/>
      <c r="T136" s="2138"/>
      <c r="U136" s="2138"/>
      <c r="V136" s="2138"/>
      <c r="W136" s="2138"/>
      <c r="X136" s="2138"/>
      <c r="Y136" s="2138"/>
      <c r="Z136" s="2138"/>
      <c r="AA136" s="2138"/>
      <c r="AB136" s="2138"/>
      <c r="AC136" s="2138"/>
      <c r="AD136" s="2138"/>
      <c r="AE136" s="2138"/>
      <c r="AF136" s="2138"/>
      <c r="AG136" s="2139"/>
      <c r="AH136" s="2051" t="s">
        <v>545</v>
      </c>
      <c r="AI136" s="2051"/>
      <c r="AJ136" s="2051"/>
      <c r="AK136" s="2051"/>
      <c r="AL136" s="2051"/>
      <c r="AM136" s="2051"/>
      <c r="AN136" s="2051"/>
      <c r="AO136" s="2051"/>
      <c r="AP136" s="2051"/>
      <c r="AQ136" s="2051"/>
      <c r="AR136" s="2051"/>
      <c r="AS136" s="2051"/>
      <c r="AT136" s="2051"/>
      <c r="AU136" s="2051"/>
      <c r="AV136" s="2051"/>
      <c r="AW136" s="2051"/>
      <c r="AX136" s="2052"/>
      <c r="AY136" s="1208"/>
      <c r="AZ136" s="1208"/>
      <c r="BA136" s="1208"/>
      <c r="BB136" s="1208"/>
      <c r="BC136" s="1208"/>
      <c r="BD136" s="1208"/>
      <c r="BE136" s="1215"/>
    </row>
    <row r="137" spans="1:57" ht="15.75" customHeight="1">
      <c r="A137" s="1208"/>
      <c r="B137" s="2140" t="s">
        <v>2298</v>
      </c>
      <c r="C137" s="2141"/>
      <c r="D137" s="2141"/>
      <c r="E137" s="2141"/>
      <c r="F137" s="2141"/>
      <c r="G137" s="2141"/>
      <c r="H137" s="2141"/>
      <c r="I137" s="2141"/>
      <c r="J137" s="2141"/>
      <c r="K137" s="2141"/>
      <c r="L137" s="2141"/>
      <c r="M137" s="2141"/>
      <c r="N137" s="2141"/>
      <c r="O137" s="2141"/>
      <c r="P137" s="2141"/>
      <c r="Q137" s="2141"/>
      <c r="R137" s="2142" t="s">
        <v>2297</v>
      </c>
      <c r="S137" s="2142"/>
      <c r="T137" s="2142"/>
      <c r="U137" s="2142"/>
      <c r="V137" s="2142"/>
      <c r="W137" s="2142"/>
      <c r="X137" s="2142"/>
      <c r="Y137" s="2142"/>
      <c r="Z137" s="2142"/>
      <c r="AA137" s="2142"/>
      <c r="AB137" s="2142"/>
      <c r="AC137" s="2142"/>
      <c r="AD137" s="2142"/>
      <c r="AE137" s="2142"/>
      <c r="AF137" s="2142"/>
      <c r="AG137" s="2142"/>
      <c r="AH137" s="2142"/>
      <c r="AI137" s="2142"/>
      <c r="AJ137" s="2142"/>
      <c r="AK137" s="2142"/>
      <c r="AL137" s="2142"/>
      <c r="AM137" s="2142"/>
      <c r="AN137" s="2142"/>
      <c r="AO137" s="2142"/>
      <c r="AP137" s="2142"/>
      <c r="AQ137" s="2142"/>
      <c r="AR137" s="2142"/>
      <c r="AS137" s="2142"/>
      <c r="AT137" s="2142"/>
      <c r="AU137" s="2142"/>
      <c r="AV137" s="2142"/>
      <c r="AW137" s="2142"/>
      <c r="AX137" s="2143"/>
      <c r="AY137" s="1208"/>
      <c r="AZ137" s="1208"/>
      <c r="BA137" s="1208"/>
      <c r="BB137" s="1208"/>
      <c r="BC137" s="1208" t="s">
        <v>250</v>
      </c>
      <c r="BD137" s="1208"/>
      <c r="BE137" s="1215"/>
    </row>
    <row r="138" spans="1:57" ht="15.75" customHeight="1">
      <c r="A138" s="1208"/>
      <c r="B138" s="2144" t="s">
        <v>2296</v>
      </c>
      <c r="C138" s="2145"/>
      <c r="D138" s="2145"/>
      <c r="E138" s="2145"/>
      <c r="F138" s="2145"/>
      <c r="G138" s="2145"/>
      <c r="H138" s="2145"/>
      <c r="I138" s="2145"/>
      <c r="J138" s="2145"/>
      <c r="K138" s="2145"/>
      <c r="L138" s="2145"/>
      <c r="M138" s="2145"/>
      <c r="N138" s="2145"/>
      <c r="O138" s="2145"/>
      <c r="P138" s="2145"/>
      <c r="Q138" s="2145"/>
      <c r="R138" s="2145"/>
      <c r="S138" s="2145"/>
      <c r="T138" s="2145"/>
      <c r="U138" s="2145"/>
      <c r="V138" s="2145"/>
      <c r="W138" s="2145"/>
      <c r="X138" s="2145"/>
      <c r="Y138" s="2145"/>
      <c r="Z138" s="2145"/>
      <c r="AA138" s="2145"/>
      <c r="AB138" s="2145"/>
      <c r="AC138" s="2145"/>
      <c r="AD138" s="2145"/>
      <c r="AE138" s="2145"/>
      <c r="AF138" s="2145"/>
      <c r="AG138" s="2145"/>
      <c r="AH138" s="2145"/>
      <c r="AI138" s="2145"/>
      <c r="AJ138" s="2145"/>
      <c r="AK138" s="2145"/>
      <c r="AL138" s="2145"/>
      <c r="AM138" s="2145"/>
      <c r="AN138" s="2145"/>
      <c r="AO138" s="2145"/>
      <c r="AP138" s="2145"/>
      <c r="AQ138" s="2145"/>
      <c r="AR138" s="2145"/>
      <c r="AS138" s="2145"/>
      <c r="AT138" s="2145"/>
      <c r="AU138" s="2145"/>
      <c r="AV138" s="2145"/>
      <c r="AW138" s="2145"/>
      <c r="AX138" s="2146"/>
      <c r="AY138" s="1208"/>
      <c r="AZ138" s="1208"/>
      <c r="BA138" s="1208"/>
      <c r="BB138" s="1208"/>
      <c r="BC138" s="1208"/>
      <c r="BD138" s="1208"/>
      <c r="BE138" s="1215"/>
    </row>
    <row r="139" spans="1:57" ht="15.75" customHeight="1">
      <c r="A139" s="1208"/>
      <c r="B139" s="2144"/>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145"/>
      <c r="AI139" s="2145"/>
      <c r="AJ139" s="2145"/>
      <c r="AK139" s="2145"/>
      <c r="AL139" s="2145"/>
      <c r="AM139" s="2145"/>
      <c r="AN139" s="2145"/>
      <c r="AO139" s="2145"/>
      <c r="AP139" s="2145"/>
      <c r="AQ139" s="2145"/>
      <c r="AR139" s="2145"/>
      <c r="AS139" s="2145"/>
      <c r="AT139" s="2145"/>
      <c r="AU139" s="2145"/>
      <c r="AV139" s="2145"/>
      <c r="AW139" s="2145"/>
      <c r="AX139" s="2146"/>
      <c r="AY139" s="1208"/>
      <c r="AZ139" s="1208"/>
      <c r="BA139" s="1208"/>
      <c r="BB139" s="1208"/>
      <c r="BC139" s="1208"/>
      <c r="BD139" s="1208"/>
      <c r="BE139" s="1215"/>
    </row>
    <row r="140" spans="1:57" ht="15.75" customHeight="1">
      <c r="A140" s="1208"/>
      <c r="B140" s="2144"/>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5"/>
      <c r="AH140" s="2145"/>
      <c r="AI140" s="2145"/>
      <c r="AJ140" s="2145"/>
      <c r="AK140" s="2145"/>
      <c r="AL140" s="2145"/>
      <c r="AM140" s="2145"/>
      <c r="AN140" s="2145"/>
      <c r="AO140" s="2145"/>
      <c r="AP140" s="2145"/>
      <c r="AQ140" s="2145"/>
      <c r="AR140" s="2145"/>
      <c r="AS140" s="2145"/>
      <c r="AT140" s="2145"/>
      <c r="AU140" s="2145"/>
      <c r="AV140" s="2145"/>
      <c r="AW140" s="2145"/>
      <c r="AX140" s="2146"/>
      <c r="AY140" s="1208"/>
      <c r="AZ140" s="1208"/>
      <c r="BA140" s="1208"/>
      <c r="BB140" s="1208"/>
      <c r="BC140" s="1208"/>
      <c r="BD140" s="1208"/>
      <c r="BE140" s="1215"/>
    </row>
    <row r="141" spans="1:57" ht="15.75" customHeight="1">
      <c r="A141" s="1208"/>
      <c r="B141" s="2144"/>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5"/>
      <c r="AH141" s="2145"/>
      <c r="AI141" s="2145"/>
      <c r="AJ141" s="2145"/>
      <c r="AK141" s="2145"/>
      <c r="AL141" s="2145"/>
      <c r="AM141" s="2145"/>
      <c r="AN141" s="2145"/>
      <c r="AO141" s="2145"/>
      <c r="AP141" s="2145"/>
      <c r="AQ141" s="2145"/>
      <c r="AR141" s="2145"/>
      <c r="AS141" s="2145"/>
      <c r="AT141" s="2145"/>
      <c r="AU141" s="2145"/>
      <c r="AV141" s="2145"/>
      <c r="AW141" s="2145"/>
      <c r="AX141" s="2146"/>
      <c r="AY141" s="1208"/>
      <c r="AZ141" s="1208"/>
      <c r="BA141" s="1208"/>
      <c r="BB141" s="1208"/>
      <c r="BC141" s="1208"/>
      <c r="BD141" s="1208"/>
      <c r="BE141" s="1215"/>
    </row>
    <row r="142" spans="1:57" ht="15.75" customHeight="1">
      <c r="A142" s="1208"/>
      <c r="B142" s="2144"/>
      <c r="C142" s="2145"/>
      <c r="D142" s="2145"/>
      <c r="E142" s="2145"/>
      <c r="F142" s="2145"/>
      <c r="G142" s="2145"/>
      <c r="H142" s="2145"/>
      <c r="I142" s="2145"/>
      <c r="J142" s="2145"/>
      <c r="K142" s="2145"/>
      <c r="L142" s="2145"/>
      <c r="M142" s="2145"/>
      <c r="N142" s="2145"/>
      <c r="O142" s="2145"/>
      <c r="P142" s="2145"/>
      <c r="Q142" s="2145"/>
      <c r="R142" s="2145"/>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208"/>
      <c r="AZ142" s="1208"/>
      <c r="BA142" s="1208"/>
      <c r="BB142" s="1208"/>
      <c r="BC142" s="1208"/>
      <c r="BD142" s="1208"/>
      <c r="BE142" s="1215"/>
    </row>
    <row r="143" spans="1:57" ht="15.75" customHeight="1">
      <c r="A143" s="1208"/>
      <c r="B143" s="2144"/>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208"/>
      <c r="AZ143" s="1208"/>
      <c r="BA143" s="1208"/>
      <c r="BB143" s="1208"/>
      <c r="BC143" s="1208"/>
      <c r="BD143" s="1208"/>
      <c r="BE143" s="1215"/>
    </row>
    <row r="144" spans="1:57" ht="15.75" customHeight="1">
      <c r="A144" s="1208"/>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208"/>
      <c r="AZ144" s="1208"/>
      <c r="BA144" s="1208"/>
      <c r="BB144" s="1208"/>
      <c r="BC144" s="1208"/>
      <c r="BD144" s="1208"/>
      <c r="BE144" s="1215"/>
    </row>
    <row r="145" spans="1:57" ht="15.75" customHeight="1">
      <c r="A145" s="1208"/>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208"/>
      <c r="AZ145" s="1208"/>
      <c r="BA145" s="1208"/>
      <c r="BB145" s="1208"/>
      <c r="BC145" s="1208"/>
      <c r="BD145" s="1208"/>
      <c r="BE145" s="1215"/>
    </row>
    <row r="146" spans="1:57" ht="15.75" customHeight="1">
      <c r="A146" s="1208"/>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208"/>
      <c r="AZ146" s="1208"/>
      <c r="BA146" s="1208"/>
      <c r="BB146" s="1208"/>
      <c r="BC146" s="1208"/>
      <c r="BD146" s="1208"/>
      <c r="BE146" s="1215"/>
    </row>
    <row r="147" spans="1:57" ht="15.75" customHeight="1" thickBot="1">
      <c r="A147" s="1208"/>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3" t="s">
        <v>2293</v>
      </c>
      <c r="C151" s="2024"/>
      <c r="D151" s="2024"/>
      <c r="E151" s="2024"/>
      <c r="F151" s="2024"/>
      <c r="G151" s="2024"/>
      <c r="H151" s="2024"/>
      <c r="I151" s="2024"/>
      <c r="J151" s="2024"/>
      <c r="K151" s="2024"/>
      <c r="L151" s="2024"/>
      <c r="M151" s="2024"/>
      <c r="N151" s="2024"/>
      <c r="O151" s="2024"/>
      <c r="P151" s="2024"/>
      <c r="Q151" s="2024"/>
      <c r="R151" s="2024"/>
      <c r="S151" s="2024"/>
      <c r="T151" s="2024"/>
      <c r="U151" s="2025"/>
      <c r="V151" s="1208"/>
      <c r="W151" s="1209"/>
      <c r="X151" s="2023" t="s">
        <v>2292</v>
      </c>
      <c r="Y151" s="2024"/>
      <c r="Z151" s="2024"/>
      <c r="AA151" s="2024"/>
      <c r="AB151" s="2024"/>
      <c r="AC151" s="2024"/>
      <c r="AD151" s="2024"/>
      <c r="AE151" s="2024"/>
      <c r="AF151" s="2024"/>
      <c r="AG151" s="2024"/>
      <c r="AH151" s="2024"/>
      <c r="AI151" s="2024"/>
      <c r="AJ151" s="2024"/>
      <c r="AK151" s="2024"/>
      <c r="AL151" s="2024"/>
      <c r="AM151" s="2024"/>
      <c r="AN151" s="2024"/>
      <c r="AO151" s="2024"/>
      <c r="AP151" s="2024"/>
      <c r="AQ151" s="2025"/>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2"/>
      <c r="C152" s="2153"/>
      <c r="D152" s="2153"/>
      <c r="E152" s="2153"/>
      <c r="F152" s="2153"/>
      <c r="G152" s="2153"/>
      <c r="H152" s="2153"/>
      <c r="I152" s="2154" t="s">
        <v>2290</v>
      </c>
      <c r="J152" s="2154"/>
      <c r="K152" s="2154"/>
      <c r="L152" s="2154"/>
      <c r="M152" s="2154"/>
      <c r="N152" s="2154"/>
      <c r="O152" s="2154"/>
      <c r="P152" s="2154" t="s">
        <v>2291</v>
      </c>
      <c r="Q152" s="2154"/>
      <c r="R152" s="2154"/>
      <c r="S152" s="2154"/>
      <c r="T152" s="2154"/>
      <c r="U152" s="2155"/>
      <c r="V152" s="1208"/>
      <c r="W152" s="1208"/>
      <c r="X152" s="2152"/>
      <c r="Y152" s="2153"/>
      <c r="Z152" s="2153"/>
      <c r="AA152" s="2153"/>
      <c r="AB152" s="2153"/>
      <c r="AC152" s="2153"/>
      <c r="AD152" s="2153"/>
      <c r="AE152" s="2154" t="s">
        <v>2290</v>
      </c>
      <c r="AF152" s="2154"/>
      <c r="AG152" s="2154"/>
      <c r="AH152" s="2154"/>
      <c r="AI152" s="2154"/>
      <c r="AJ152" s="2154"/>
      <c r="AK152" s="2154"/>
      <c r="AL152" s="2154" t="s">
        <v>2289</v>
      </c>
      <c r="AM152" s="2154"/>
      <c r="AN152" s="2154"/>
      <c r="AO152" s="2154"/>
      <c r="AP152" s="2154"/>
      <c r="AQ152" s="2155"/>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2"/>
      <c r="C153" s="2153"/>
      <c r="D153" s="2153"/>
      <c r="E153" s="2153"/>
      <c r="F153" s="2153"/>
      <c r="G153" s="2153"/>
      <c r="H153" s="2153"/>
      <c r="I153" s="2154"/>
      <c r="J153" s="2154"/>
      <c r="K153" s="2154"/>
      <c r="L153" s="2154"/>
      <c r="M153" s="2154"/>
      <c r="N153" s="2154"/>
      <c r="O153" s="2154"/>
      <c r="P153" s="2154"/>
      <c r="Q153" s="2154"/>
      <c r="R153" s="2154"/>
      <c r="S153" s="2154"/>
      <c r="T153" s="2154"/>
      <c r="U153" s="2155"/>
      <c r="V153" s="1208"/>
      <c r="W153" s="1208"/>
      <c r="X153" s="2152"/>
      <c r="Y153" s="2153"/>
      <c r="Z153" s="2153"/>
      <c r="AA153" s="2153"/>
      <c r="AB153" s="2153"/>
      <c r="AC153" s="2153"/>
      <c r="AD153" s="2153"/>
      <c r="AE153" s="2154"/>
      <c r="AF153" s="2154"/>
      <c r="AG153" s="2154"/>
      <c r="AH153" s="2154"/>
      <c r="AI153" s="2154"/>
      <c r="AJ153" s="2154"/>
      <c r="AK153" s="2154"/>
      <c r="AL153" s="2154"/>
      <c r="AM153" s="2154"/>
      <c r="AN153" s="2154"/>
      <c r="AO153" s="2154"/>
      <c r="AP153" s="2154"/>
      <c r="AQ153" s="215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6" t="s">
        <v>2288</v>
      </c>
      <c r="C154" s="2127"/>
      <c r="D154" s="2127"/>
      <c r="E154" s="2127"/>
      <c r="F154" s="2127"/>
      <c r="G154" s="2127"/>
      <c r="H154" s="2127"/>
      <c r="I154" s="2104">
        <v>0</v>
      </c>
      <c r="J154" s="2104"/>
      <c r="K154" s="2104"/>
      <c r="L154" s="2104"/>
      <c r="M154" s="2104"/>
      <c r="N154" s="2104"/>
      <c r="O154" s="2104"/>
      <c r="P154" s="2104">
        <v>0</v>
      </c>
      <c r="Q154" s="2104"/>
      <c r="R154" s="2104"/>
      <c r="S154" s="2104"/>
      <c r="T154" s="2104"/>
      <c r="U154" s="2105"/>
      <c r="V154" s="1208"/>
      <c r="W154" s="1208"/>
      <c r="X154" s="2128" t="s">
        <v>2288</v>
      </c>
      <c r="Y154" s="2129"/>
      <c r="Z154" s="2129"/>
      <c r="AA154" s="2129"/>
      <c r="AB154" s="2129"/>
      <c r="AC154" s="2129"/>
      <c r="AD154" s="2129"/>
      <c r="AE154" s="2102">
        <v>0</v>
      </c>
      <c r="AF154" s="2102"/>
      <c r="AG154" s="2102"/>
      <c r="AH154" s="2102"/>
      <c r="AI154" s="2102"/>
      <c r="AJ154" s="2102"/>
      <c r="AK154" s="2102"/>
      <c r="AL154" s="2102">
        <v>0</v>
      </c>
      <c r="AM154" s="2102"/>
      <c r="AN154" s="2102"/>
      <c r="AO154" s="2102"/>
      <c r="AP154" s="2102"/>
      <c r="AQ154" s="210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8" t="s">
        <v>2287</v>
      </c>
      <c r="C155" s="2129"/>
      <c r="D155" s="2129"/>
      <c r="E155" s="2129"/>
      <c r="F155" s="2129"/>
      <c r="G155" s="2129"/>
      <c r="H155" s="2129"/>
      <c r="I155" s="2102">
        <v>0</v>
      </c>
      <c r="J155" s="2102"/>
      <c r="K155" s="2102"/>
      <c r="L155" s="2102"/>
      <c r="M155" s="2102"/>
      <c r="N155" s="2102"/>
      <c r="O155" s="2102"/>
      <c r="P155" s="2102">
        <v>0</v>
      </c>
      <c r="Q155" s="2102"/>
      <c r="R155" s="2102"/>
      <c r="S155" s="2102"/>
      <c r="T155" s="2102"/>
      <c r="U155" s="210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3" t="s">
        <v>2286</v>
      </c>
      <c r="D157" s="2024"/>
      <c r="E157" s="2024"/>
      <c r="F157" s="2024"/>
      <c r="G157" s="2024"/>
      <c r="H157" s="2024"/>
      <c r="I157" s="2024"/>
      <c r="J157" s="2024"/>
      <c r="K157" s="2024"/>
      <c r="L157" s="2024"/>
      <c r="M157" s="2024"/>
      <c r="N157" s="2024"/>
      <c r="O157" s="2024"/>
      <c r="P157" s="2024"/>
      <c r="Q157" s="2024"/>
      <c r="R157" s="2024"/>
      <c r="S157" s="2024"/>
      <c r="T157" s="2024"/>
      <c r="U157" s="2024"/>
      <c r="V157" s="2024"/>
      <c r="W157" s="2024"/>
      <c r="X157" s="2024"/>
      <c r="Y157" s="2024"/>
      <c r="Z157" s="2024"/>
      <c r="AA157" s="2024"/>
      <c r="AB157" s="2024"/>
      <c r="AC157" s="2024"/>
      <c r="AD157" s="2024"/>
      <c r="AE157" s="2024"/>
      <c r="AF157" s="2024"/>
      <c r="AG157" s="202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2" t="s">
        <v>2271</v>
      </c>
      <c r="D158" s="2153"/>
      <c r="E158" s="2153"/>
      <c r="F158" s="2153"/>
      <c r="G158" s="2153"/>
      <c r="H158" s="2153"/>
      <c r="I158" s="2153"/>
      <c r="J158" s="2153"/>
      <c r="K158" s="2153"/>
      <c r="L158" s="2153"/>
      <c r="M158" s="2153"/>
      <c r="N158" s="2153"/>
      <c r="O158" s="2153"/>
      <c r="P158" s="2153"/>
      <c r="Q158" s="2153" t="s">
        <v>2285</v>
      </c>
      <c r="R158" s="2153"/>
      <c r="S158" s="2153"/>
      <c r="T158" s="2100" t="s">
        <v>2284</v>
      </c>
      <c r="U158" s="2100"/>
      <c r="V158" s="2100"/>
      <c r="W158" s="2100"/>
      <c r="X158" s="2100"/>
      <c r="Y158" s="2100"/>
      <c r="Z158" s="2100"/>
      <c r="AA158" s="2100"/>
      <c r="AB158" s="2153" t="s">
        <v>2283</v>
      </c>
      <c r="AC158" s="2153"/>
      <c r="AD158" s="2153"/>
      <c r="AE158" s="2153"/>
      <c r="AF158" s="2153"/>
      <c r="AG158" s="216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8" t="s">
        <v>2282</v>
      </c>
      <c r="D159" s="2159"/>
      <c r="E159" s="2159"/>
      <c r="F159" s="2159"/>
      <c r="G159" s="2159"/>
      <c r="H159" s="2159"/>
      <c r="I159" s="2159"/>
      <c r="J159" s="2159"/>
      <c r="K159" s="2159"/>
      <c r="L159" s="2159"/>
      <c r="M159" s="2159"/>
      <c r="N159" s="2159"/>
      <c r="O159" s="2159"/>
      <c r="P159" s="2159"/>
      <c r="Q159" s="2160">
        <v>55</v>
      </c>
      <c r="R159" s="2160"/>
      <c r="S159" s="2160"/>
      <c r="T159" s="2161"/>
      <c r="U159" s="2161"/>
      <c r="V159" s="2161"/>
      <c r="W159" s="2161"/>
      <c r="X159" s="2161"/>
      <c r="Y159" s="2161"/>
      <c r="Z159" s="2161"/>
      <c r="AA159" s="2161"/>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8" t="s">
        <v>2281</v>
      </c>
      <c r="D160" s="2159"/>
      <c r="E160" s="2159"/>
      <c r="F160" s="2159"/>
      <c r="G160" s="2159"/>
      <c r="H160" s="2159"/>
      <c r="I160" s="2159"/>
      <c r="J160" s="2159"/>
      <c r="K160" s="2159"/>
      <c r="L160" s="2159"/>
      <c r="M160" s="2159"/>
      <c r="N160" s="2159"/>
      <c r="O160" s="2159"/>
      <c r="P160" s="2159"/>
      <c r="Q160" s="2160">
        <v>55</v>
      </c>
      <c r="R160" s="2160"/>
      <c r="S160" s="2160"/>
      <c r="T160" s="2162"/>
      <c r="U160" s="2162"/>
      <c r="V160" s="2162"/>
      <c r="W160" s="2162"/>
      <c r="X160" s="2162"/>
      <c r="Y160" s="2162"/>
      <c r="Z160" s="2162"/>
      <c r="AA160" s="21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8" t="s">
        <v>2280</v>
      </c>
      <c r="D161" s="2159"/>
      <c r="E161" s="2159"/>
      <c r="F161" s="2159"/>
      <c r="G161" s="2159"/>
      <c r="H161" s="2159"/>
      <c r="I161" s="2159"/>
      <c r="J161" s="2159"/>
      <c r="K161" s="2159"/>
      <c r="L161" s="2159"/>
      <c r="M161" s="2159"/>
      <c r="N161" s="2159"/>
      <c r="O161" s="2159"/>
      <c r="P161" s="2159"/>
      <c r="Q161" s="2160">
        <v>55</v>
      </c>
      <c r="R161" s="2160"/>
      <c r="S161" s="2160"/>
      <c r="T161" s="2161"/>
      <c r="U161" s="2161"/>
      <c r="V161" s="2161"/>
      <c r="W161" s="2161"/>
      <c r="X161" s="2161"/>
      <c r="Y161" s="2161"/>
      <c r="Z161" s="2161"/>
      <c r="AA161" s="216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8" t="s">
        <v>2279</v>
      </c>
      <c r="D162" s="2159"/>
      <c r="E162" s="2159"/>
      <c r="F162" s="2159"/>
      <c r="G162" s="2159"/>
      <c r="H162" s="2159"/>
      <c r="I162" s="2159"/>
      <c r="J162" s="2159"/>
      <c r="K162" s="2159"/>
      <c r="L162" s="2159"/>
      <c r="M162" s="2159"/>
      <c r="N162" s="2159"/>
      <c r="O162" s="2159"/>
      <c r="P162" s="2159"/>
      <c r="Q162" s="2160">
        <v>55</v>
      </c>
      <c r="R162" s="2160"/>
      <c r="S162" s="2160"/>
      <c r="T162" s="2161"/>
      <c r="U162" s="2161"/>
      <c r="V162" s="2161"/>
      <c r="W162" s="2161"/>
      <c r="X162" s="2161"/>
      <c r="Y162" s="2161"/>
      <c r="Z162" s="2161"/>
      <c r="AA162" s="2161"/>
      <c r="AB162" s="2164">
        <v>0</v>
      </c>
      <c r="AC162" s="2164"/>
      <c r="AD162" s="2164"/>
      <c r="AE162" s="2164"/>
      <c r="AF162" s="2164"/>
      <c r="AG162" s="21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8" t="s">
        <v>170</v>
      </c>
      <c r="D163" s="2159"/>
      <c r="E163" s="2159"/>
      <c r="F163" s="2166" t="s">
        <v>2260</v>
      </c>
      <c r="G163" s="2166"/>
      <c r="H163" s="2166"/>
      <c r="I163" s="2166"/>
      <c r="J163" s="2166"/>
      <c r="K163" s="2166"/>
      <c r="L163" s="2166"/>
      <c r="M163" s="2166"/>
      <c r="N163" s="2166"/>
      <c r="O163" s="2166"/>
      <c r="P163" s="2166"/>
      <c r="Q163" s="2160">
        <v>55</v>
      </c>
      <c r="R163" s="2160"/>
      <c r="S163" s="2160"/>
      <c r="T163" s="2162"/>
      <c r="U163" s="2162"/>
      <c r="V163" s="2162"/>
      <c r="W163" s="2162"/>
      <c r="X163" s="2162"/>
      <c r="Y163" s="2162"/>
      <c r="Z163" s="2162"/>
      <c r="AA163" s="2162"/>
      <c r="AB163" s="2164">
        <v>0</v>
      </c>
      <c r="AC163" s="2164"/>
      <c r="AD163" s="2164"/>
      <c r="AE163" s="2164"/>
      <c r="AF163" s="2164"/>
      <c r="AG163" s="21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8" t="s">
        <v>170</v>
      </c>
      <c r="D164" s="2159"/>
      <c r="E164" s="2159"/>
      <c r="F164" s="2166" t="s">
        <v>2260</v>
      </c>
      <c r="G164" s="2166"/>
      <c r="H164" s="2166"/>
      <c r="I164" s="2166"/>
      <c r="J164" s="2166"/>
      <c r="K164" s="2166"/>
      <c r="L164" s="2166"/>
      <c r="M164" s="2166"/>
      <c r="N164" s="2166"/>
      <c r="O164" s="2166"/>
      <c r="P164" s="2166"/>
      <c r="Q164" s="2160">
        <v>55</v>
      </c>
      <c r="R164" s="2160"/>
      <c r="S164" s="2160"/>
      <c r="T164" s="2162"/>
      <c r="U164" s="2162"/>
      <c r="V164" s="2162"/>
      <c r="W164" s="2162"/>
      <c r="X164" s="2162"/>
      <c r="Y164" s="2162"/>
      <c r="Z164" s="2162"/>
      <c r="AA164" s="2162"/>
      <c r="AB164" s="2164">
        <v>0</v>
      </c>
      <c r="AC164" s="2164"/>
      <c r="AD164" s="2164"/>
      <c r="AE164" s="2164"/>
      <c r="AF164" s="2164"/>
      <c r="AG164" s="2165"/>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7" t="s">
        <v>170</v>
      </c>
      <c r="D165" s="2168"/>
      <c r="E165" s="2168"/>
      <c r="F165" s="2169" t="s">
        <v>2260</v>
      </c>
      <c r="G165" s="2169"/>
      <c r="H165" s="2169"/>
      <c r="I165" s="2169"/>
      <c r="J165" s="2169"/>
      <c r="K165" s="2169"/>
      <c r="L165" s="2169"/>
      <c r="M165" s="2169"/>
      <c r="N165" s="2169"/>
      <c r="O165" s="2169"/>
      <c r="P165" s="2169"/>
      <c r="Q165" s="2170">
        <v>55</v>
      </c>
      <c r="R165" s="2170"/>
      <c r="S165" s="2170"/>
      <c r="T165" s="2171"/>
      <c r="U165" s="2171"/>
      <c r="V165" s="2171"/>
      <c r="W165" s="2171"/>
      <c r="X165" s="2171"/>
      <c r="Y165" s="2171"/>
      <c r="Z165" s="2171"/>
      <c r="AA165" s="2171"/>
      <c r="AB165" s="2172">
        <v>0</v>
      </c>
      <c r="AC165" s="2172"/>
      <c r="AD165" s="2172"/>
      <c r="AE165" s="2172"/>
      <c r="AF165" s="2172"/>
      <c r="AG165" s="21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0" t="s">
        <v>2278</v>
      </c>
      <c r="D167" s="2071"/>
      <c r="E167" s="2071"/>
      <c r="F167" s="2071"/>
      <c r="G167" s="2071"/>
      <c r="H167" s="2071"/>
      <c r="I167" s="2071"/>
      <c r="J167" s="2071"/>
      <c r="K167" s="2071"/>
      <c r="L167" s="2071"/>
      <c r="M167" s="2071"/>
      <c r="N167" s="2109"/>
      <c r="O167" s="1208"/>
      <c r="P167" s="2174" t="s">
        <v>2277</v>
      </c>
      <c r="Q167" s="2175"/>
      <c r="R167" s="2175"/>
      <c r="S167" s="2175"/>
      <c r="T167" s="2175"/>
      <c r="U167" s="2175"/>
      <c r="V167" s="2175"/>
      <c r="W167" s="2175"/>
      <c r="X167" s="2175"/>
      <c r="Y167" s="2175"/>
      <c r="Z167" s="2175"/>
      <c r="AA167" s="2175"/>
      <c r="AB167" s="2175"/>
      <c r="AC167" s="2175"/>
      <c r="AD167" s="2175"/>
      <c r="AE167" s="2175"/>
      <c r="AF167" s="2175"/>
      <c r="AG167" s="2175"/>
      <c r="AH167" s="2175"/>
      <c r="AI167" s="2175"/>
      <c r="AJ167" s="2175"/>
      <c r="AK167" s="2175"/>
      <c r="AL167" s="2175"/>
      <c r="AM167" s="2175"/>
      <c r="AN167" s="2175"/>
      <c r="AO167" s="217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2" t="s">
        <v>2276</v>
      </c>
      <c r="D168" s="2153"/>
      <c r="E168" s="2153"/>
      <c r="F168" s="2153"/>
      <c r="G168" s="2153"/>
      <c r="H168" s="2153"/>
      <c r="I168" s="2153" t="s">
        <v>2275</v>
      </c>
      <c r="J168" s="2153"/>
      <c r="K168" s="2153"/>
      <c r="L168" s="2153"/>
      <c r="M168" s="2153"/>
      <c r="N168" s="2163"/>
      <c r="O168" s="1208"/>
      <c r="P168" s="2074" t="s">
        <v>2274</v>
      </c>
      <c r="Q168" s="2075"/>
      <c r="R168" s="2075"/>
      <c r="S168" s="2075"/>
      <c r="T168" s="2075"/>
      <c r="U168" s="2075"/>
      <c r="V168" s="2075"/>
      <c r="W168" s="2075"/>
      <c r="X168" s="2075"/>
      <c r="Y168" s="2075"/>
      <c r="Z168" s="2075"/>
      <c r="AA168" s="2075"/>
      <c r="AB168" s="2075"/>
      <c r="AC168" s="2075"/>
      <c r="AD168" s="2075"/>
      <c r="AE168" s="2075"/>
      <c r="AF168" s="2075"/>
      <c r="AG168" s="2075"/>
      <c r="AH168" s="2075"/>
      <c r="AI168" s="2075"/>
      <c r="AJ168" s="2075"/>
      <c r="AK168" s="2075"/>
      <c r="AL168" s="2075"/>
      <c r="AM168" s="2075"/>
      <c r="AN168" s="2075"/>
      <c r="AO168" s="207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0"/>
      <c r="D169" s="2030"/>
      <c r="E169" s="2030"/>
      <c r="F169" s="2030"/>
      <c r="G169" s="2030"/>
      <c r="H169" s="2030"/>
      <c r="I169" s="2161"/>
      <c r="J169" s="2161"/>
      <c r="K169" s="2161"/>
      <c r="L169" s="2161"/>
      <c r="M169" s="2161"/>
      <c r="N169" s="2177"/>
      <c r="O169" s="1208"/>
      <c r="P169" s="2074"/>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2075"/>
      <c r="AN169" s="2075"/>
      <c r="AO169" s="207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0"/>
      <c r="D170" s="2030"/>
      <c r="E170" s="2030"/>
      <c r="F170" s="2030"/>
      <c r="G170" s="2030"/>
      <c r="H170" s="2030"/>
      <c r="I170" s="2161"/>
      <c r="J170" s="2161"/>
      <c r="K170" s="2161"/>
      <c r="L170" s="2161"/>
      <c r="M170" s="2161"/>
      <c r="N170" s="2177"/>
      <c r="O170" s="1208"/>
      <c r="P170" s="2074"/>
      <c r="Q170" s="2075"/>
      <c r="R170" s="2075"/>
      <c r="S170" s="2075"/>
      <c r="T170" s="2075"/>
      <c r="U170" s="2075"/>
      <c r="V170" s="2075"/>
      <c r="W170" s="2075"/>
      <c r="X170" s="2075"/>
      <c r="Y170" s="2075"/>
      <c r="Z170" s="2075"/>
      <c r="AA170" s="2075"/>
      <c r="AB170" s="2075"/>
      <c r="AC170" s="2075"/>
      <c r="AD170" s="2075"/>
      <c r="AE170" s="2075"/>
      <c r="AF170" s="2075"/>
      <c r="AG170" s="2075"/>
      <c r="AH170" s="2075"/>
      <c r="AI170" s="2075"/>
      <c r="AJ170" s="2075"/>
      <c r="AK170" s="2075"/>
      <c r="AL170" s="2075"/>
      <c r="AM170" s="2075"/>
      <c r="AN170" s="2075"/>
      <c r="AO170" s="207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0"/>
      <c r="D171" s="2030"/>
      <c r="E171" s="2030"/>
      <c r="F171" s="2030"/>
      <c r="G171" s="2030"/>
      <c r="H171" s="2030"/>
      <c r="I171" s="2161"/>
      <c r="J171" s="2161"/>
      <c r="K171" s="2161"/>
      <c r="L171" s="2161"/>
      <c r="M171" s="2161"/>
      <c r="N171" s="2177"/>
      <c r="O171" s="1208"/>
      <c r="P171" s="2074"/>
      <c r="Q171" s="2075"/>
      <c r="R171" s="2075"/>
      <c r="S171" s="2075"/>
      <c r="T171" s="2075"/>
      <c r="U171" s="2075"/>
      <c r="V171" s="2075"/>
      <c r="W171" s="2075"/>
      <c r="X171" s="2075"/>
      <c r="Y171" s="2075"/>
      <c r="Z171" s="2075"/>
      <c r="AA171" s="2075"/>
      <c r="AB171" s="2075"/>
      <c r="AC171" s="2075"/>
      <c r="AD171" s="2075"/>
      <c r="AE171" s="2075"/>
      <c r="AF171" s="2075"/>
      <c r="AG171" s="2075"/>
      <c r="AH171" s="2075"/>
      <c r="AI171" s="2075"/>
      <c r="AJ171" s="2075"/>
      <c r="AK171" s="2075"/>
      <c r="AL171" s="2075"/>
      <c r="AM171" s="2075"/>
      <c r="AN171" s="2075"/>
      <c r="AO171" s="207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0"/>
      <c r="D172" s="2030"/>
      <c r="E172" s="2030"/>
      <c r="F172" s="2030"/>
      <c r="G172" s="2030"/>
      <c r="H172" s="2030"/>
      <c r="I172" s="2161"/>
      <c r="J172" s="2161"/>
      <c r="K172" s="2161"/>
      <c r="L172" s="2161"/>
      <c r="M172" s="2161"/>
      <c r="N172" s="2177"/>
      <c r="O172" s="1208"/>
      <c r="P172" s="2074"/>
      <c r="Q172" s="2075"/>
      <c r="R172" s="2075"/>
      <c r="S172" s="2075"/>
      <c r="T172" s="2075"/>
      <c r="U172" s="2075"/>
      <c r="V172" s="2075"/>
      <c r="W172" s="2075"/>
      <c r="X172" s="2075"/>
      <c r="Y172" s="2075"/>
      <c r="Z172" s="2075"/>
      <c r="AA172" s="2075"/>
      <c r="AB172" s="2075"/>
      <c r="AC172" s="2075"/>
      <c r="AD172" s="2075"/>
      <c r="AE172" s="2075"/>
      <c r="AF172" s="2075"/>
      <c r="AG172" s="2075"/>
      <c r="AH172" s="2075"/>
      <c r="AI172" s="2075"/>
      <c r="AJ172" s="2075"/>
      <c r="AK172" s="2075"/>
      <c r="AL172" s="2075"/>
      <c r="AM172" s="2075"/>
      <c r="AN172" s="2075"/>
      <c r="AO172" s="207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0"/>
      <c r="D173" s="2030"/>
      <c r="E173" s="2030"/>
      <c r="F173" s="2030"/>
      <c r="G173" s="2030"/>
      <c r="H173" s="2030"/>
      <c r="I173" s="2161"/>
      <c r="J173" s="2161"/>
      <c r="K173" s="2161"/>
      <c r="L173" s="2161"/>
      <c r="M173" s="2161"/>
      <c r="N173" s="2177"/>
      <c r="O173" s="1208"/>
      <c r="P173" s="2074"/>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0"/>
      <c r="D174" s="2030"/>
      <c r="E174" s="2030"/>
      <c r="F174" s="2030"/>
      <c r="G174" s="2030"/>
      <c r="H174" s="2030"/>
      <c r="I174" s="2161"/>
      <c r="J174" s="2161"/>
      <c r="K174" s="2161"/>
      <c r="L174" s="2161"/>
      <c r="M174" s="2161"/>
      <c r="N174" s="2177"/>
      <c r="O174" s="1208"/>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8"/>
      <c r="D175" s="2179"/>
      <c r="E175" s="2179"/>
      <c r="F175" s="2179"/>
      <c r="G175" s="2179"/>
      <c r="H175" s="2179"/>
      <c r="I175" s="2180"/>
      <c r="J175" s="2180"/>
      <c r="K175" s="2180"/>
      <c r="L175" s="2180"/>
      <c r="M175" s="2180"/>
      <c r="N175" s="2181"/>
      <c r="O175" s="1208"/>
      <c r="P175" s="2077"/>
      <c r="Q175" s="2078"/>
      <c r="R175" s="2078"/>
      <c r="S175" s="2078"/>
      <c r="T175" s="2078"/>
      <c r="U175" s="2078"/>
      <c r="V175" s="2078"/>
      <c r="W175" s="2078"/>
      <c r="X175" s="2078"/>
      <c r="Y175" s="2078"/>
      <c r="Z175" s="2078"/>
      <c r="AA175" s="2078"/>
      <c r="AB175" s="2078"/>
      <c r="AC175" s="2078"/>
      <c r="AD175" s="2078"/>
      <c r="AE175" s="2078"/>
      <c r="AF175" s="2078"/>
      <c r="AG175" s="2078"/>
      <c r="AH175" s="2078"/>
      <c r="AI175" s="2078"/>
      <c r="AJ175" s="2078"/>
      <c r="AK175" s="2078"/>
      <c r="AL175" s="2078"/>
      <c r="AM175" s="2078"/>
      <c r="AN175" s="2078"/>
      <c r="AO175" s="207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5" t="s">
        <v>2273</v>
      </c>
      <c r="D177" s="2186"/>
      <c r="E177" s="2186"/>
      <c r="F177" s="2186"/>
      <c r="G177" s="2186"/>
      <c r="H177" s="2186"/>
      <c r="I177" s="2186"/>
      <c r="J177" s="2186"/>
      <c r="K177" s="2186"/>
      <c r="L177" s="2186"/>
      <c r="M177" s="2186"/>
      <c r="N177" s="2186"/>
      <c r="O177" s="2186"/>
      <c r="P177" s="2186"/>
      <c r="Q177" s="2186"/>
      <c r="R177" s="2186"/>
      <c r="S177" s="2186"/>
      <c r="T177" s="2186"/>
      <c r="U177" s="2186"/>
      <c r="V177" s="2186"/>
      <c r="W177" s="2186"/>
      <c r="X177" s="2186"/>
      <c r="Y177" s="2186"/>
      <c r="Z177" s="2186"/>
      <c r="AA177" s="2186"/>
      <c r="AB177" s="2186"/>
      <c r="AC177" s="2186"/>
      <c r="AD177" s="2186"/>
      <c r="AE177" s="2187"/>
      <c r="AF177" s="1208"/>
      <c r="AG177" s="1208"/>
      <c r="AH177" s="2195"/>
      <c r="AI177" s="2195"/>
      <c r="AJ177" s="2195"/>
      <c r="AK177" s="2195"/>
      <c r="AL177" s="2195"/>
      <c r="AM177" s="2195"/>
      <c r="AN177" s="2195"/>
      <c r="AO177" s="2195"/>
      <c r="AP177" s="2195"/>
      <c r="AQ177" s="2195"/>
      <c r="AR177" s="2195"/>
      <c r="AS177" s="2195"/>
      <c r="AT177" s="2195"/>
      <c r="AU177" s="2195"/>
      <c r="AV177" s="2195"/>
      <c r="AW177" s="2195"/>
      <c r="AX177" s="2195"/>
      <c r="AY177" s="2195"/>
      <c r="AZ177" s="2195"/>
      <c r="BA177" s="2195"/>
      <c r="BB177" s="2195"/>
      <c r="BC177" s="2195"/>
      <c r="BD177" s="2195"/>
      <c r="BE177" s="2195"/>
    </row>
    <row r="178" spans="1:57" ht="15.75" customHeight="1" thickBot="1">
      <c r="A178" s="1208"/>
      <c r="B178" s="1208"/>
      <c r="C178" s="2188"/>
      <c r="D178" s="2189"/>
      <c r="E178" s="2189"/>
      <c r="F178" s="2189"/>
      <c r="G178" s="2189"/>
      <c r="H178" s="2189"/>
      <c r="I178" s="2189"/>
      <c r="J178" s="2189"/>
      <c r="K178" s="2189"/>
      <c r="L178" s="2189"/>
      <c r="M178" s="2189"/>
      <c r="N178" s="2189"/>
      <c r="O178" s="2189"/>
      <c r="P178" s="2189"/>
      <c r="Q178" s="2189"/>
      <c r="R178" s="2189"/>
      <c r="S178" s="2189"/>
      <c r="T178" s="2189"/>
      <c r="U178" s="2189"/>
      <c r="V178" s="2189"/>
      <c r="W178" s="2189"/>
      <c r="X178" s="2189"/>
      <c r="Y178" s="2189"/>
      <c r="Z178" s="2189"/>
      <c r="AA178" s="2189"/>
      <c r="AB178" s="2189"/>
      <c r="AC178" s="2189"/>
      <c r="AD178" s="2189"/>
      <c r="AE178" s="2190"/>
      <c r="AF178" s="1208"/>
      <c r="AG178" s="1208"/>
      <c r="AH178" s="2195"/>
      <c r="AI178" s="2195"/>
      <c r="AJ178" s="2195"/>
      <c r="AK178" s="2195"/>
      <c r="AL178" s="2195"/>
      <c r="AM178" s="2195"/>
      <c r="AN178" s="2195"/>
      <c r="AO178" s="2195"/>
      <c r="AP178" s="2195"/>
      <c r="AQ178" s="2195"/>
      <c r="AR178" s="2195"/>
      <c r="AS178" s="2195"/>
      <c r="AT178" s="2195"/>
      <c r="AU178" s="2195"/>
      <c r="AV178" s="2195"/>
      <c r="AW178" s="2195"/>
      <c r="AX178" s="2195"/>
      <c r="AY178" s="2195"/>
      <c r="AZ178" s="2195"/>
      <c r="BA178" s="2195"/>
      <c r="BB178" s="2195"/>
      <c r="BC178" s="2195"/>
      <c r="BD178" s="2195"/>
      <c r="BE178" s="2195"/>
    </row>
    <row r="179" spans="1:57" ht="15.75" customHeight="1">
      <c r="A179" s="1208"/>
      <c r="B179" s="1208"/>
      <c r="C179" s="2070" t="s">
        <v>2271</v>
      </c>
      <c r="D179" s="2071"/>
      <c r="E179" s="2071"/>
      <c r="F179" s="2071"/>
      <c r="G179" s="2071"/>
      <c r="H179" s="2071"/>
      <c r="I179" s="2071"/>
      <c r="J179" s="2071"/>
      <c r="K179" s="2071"/>
      <c r="L179" s="2071"/>
      <c r="M179" s="2071"/>
      <c r="N179" s="2071" t="s">
        <v>2272</v>
      </c>
      <c r="O179" s="2071"/>
      <c r="P179" s="2071"/>
      <c r="Q179" s="2071"/>
      <c r="R179" s="2071"/>
      <c r="S179" s="2071"/>
      <c r="T179" s="2071"/>
      <c r="U179" s="2024" t="s">
        <v>2271</v>
      </c>
      <c r="V179" s="2024"/>
      <c r="W179" s="2024"/>
      <c r="X179" s="2024"/>
      <c r="Y179" s="2024"/>
      <c r="Z179" s="2024"/>
      <c r="AA179" s="2024"/>
      <c r="AB179" s="2024"/>
      <c r="AC179" s="2024"/>
      <c r="AD179" s="2024"/>
      <c r="AE179" s="2025"/>
      <c r="AF179" s="1208"/>
      <c r="AG179" s="1208"/>
      <c r="AH179" s="2195"/>
      <c r="AI179" s="2195"/>
      <c r="AJ179" s="2195"/>
      <c r="AK179" s="2195"/>
      <c r="AL179" s="2195"/>
      <c r="AM179" s="2195"/>
      <c r="AN179" s="2195"/>
      <c r="AO179" s="2195"/>
      <c r="AP179" s="2195"/>
      <c r="AQ179" s="2195"/>
      <c r="AR179" s="2195"/>
      <c r="AS179" s="2195"/>
      <c r="AT179" s="2195"/>
      <c r="AU179" s="2195"/>
      <c r="AV179" s="2195"/>
      <c r="AW179" s="2195"/>
      <c r="AX179" s="2195"/>
      <c r="AY179" s="2195"/>
      <c r="AZ179" s="2195"/>
      <c r="BA179" s="2195"/>
      <c r="BB179" s="2195"/>
      <c r="BC179" s="2195"/>
      <c r="BD179" s="2195"/>
      <c r="BE179" s="2195"/>
    </row>
    <row r="180" spans="1:57" ht="15.75" customHeight="1">
      <c r="A180" s="1208"/>
      <c r="B180" s="1208"/>
      <c r="C180" s="2182" t="s">
        <v>2270</v>
      </c>
      <c r="D180" s="2183"/>
      <c r="E180" s="2183"/>
      <c r="F180" s="2183"/>
      <c r="G180" s="2183"/>
      <c r="H180" s="2183"/>
      <c r="I180" s="2183"/>
      <c r="J180" s="2183"/>
      <c r="K180" s="2183"/>
      <c r="L180" s="2183"/>
      <c r="M180" s="2183"/>
      <c r="N180" s="2184">
        <f>'Sources and Uses Budget'!B105</f>
        <v>142708832</v>
      </c>
      <c r="O180" s="2184"/>
      <c r="P180" s="2184"/>
      <c r="Q180" s="2184"/>
      <c r="R180" s="2184"/>
      <c r="S180" s="2184"/>
      <c r="T180" s="2184"/>
      <c r="U180" s="2196"/>
      <c r="V180" s="2196"/>
      <c r="W180" s="2196"/>
      <c r="X180" s="2196"/>
      <c r="Y180" s="2196"/>
      <c r="Z180" s="2196"/>
      <c r="AA180" s="2196"/>
      <c r="AB180" s="2196"/>
      <c r="AC180" s="2196"/>
      <c r="AD180" s="2196"/>
      <c r="AE180" s="2197"/>
      <c r="AF180" s="1208"/>
      <c r="AG180" s="1208"/>
      <c r="AH180" s="2195"/>
      <c r="AI180" s="2195"/>
      <c r="AJ180" s="2195"/>
      <c r="AK180" s="2195"/>
      <c r="AL180" s="2195"/>
      <c r="AM180" s="2195"/>
      <c r="AN180" s="2195"/>
      <c r="AO180" s="2195"/>
      <c r="AP180" s="2195"/>
      <c r="AQ180" s="2195"/>
      <c r="AR180" s="2195"/>
      <c r="AS180" s="2195"/>
      <c r="AT180" s="2195"/>
      <c r="AU180" s="2195"/>
      <c r="AV180" s="2195"/>
      <c r="AW180" s="2195"/>
      <c r="AX180" s="2195"/>
      <c r="AY180" s="2195"/>
      <c r="AZ180" s="2195"/>
      <c r="BA180" s="2195"/>
      <c r="BB180" s="2195"/>
      <c r="BC180" s="2195"/>
      <c r="BD180" s="2195"/>
      <c r="BE180" s="2195"/>
    </row>
    <row r="181" spans="1:57" ht="15.75" customHeight="1">
      <c r="A181" s="1208"/>
      <c r="B181" s="1208"/>
      <c r="C181" s="2182" t="s">
        <v>2269</v>
      </c>
      <c r="D181" s="2183"/>
      <c r="E181" s="2183"/>
      <c r="F181" s="2183"/>
      <c r="G181" s="2183"/>
      <c r="H181" s="2183"/>
      <c r="I181" s="2183"/>
      <c r="J181" s="2183"/>
      <c r="K181" s="2183"/>
      <c r="L181" s="2183"/>
      <c r="M181" s="2183"/>
      <c r="N181" s="2184">
        <f>N180/J29</f>
        <v>410082.85057471262</v>
      </c>
      <c r="O181" s="2184"/>
      <c r="P181" s="2184"/>
      <c r="Q181" s="2184"/>
      <c r="R181" s="2184"/>
      <c r="S181" s="2184"/>
      <c r="T181" s="2184"/>
      <c r="U181" s="1248"/>
      <c r="V181" s="1248"/>
      <c r="W181" s="1248"/>
      <c r="X181" s="1248"/>
      <c r="Y181" s="1248"/>
      <c r="Z181" s="1248"/>
      <c r="AA181" s="1248"/>
      <c r="AB181" s="1248"/>
      <c r="AC181" s="1248"/>
      <c r="AD181" s="1248"/>
      <c r="AE181" s="1249"/>
      <c r="AF181" s="1208"/>
      <c r="AG181" s="1208"/>
      <c r="AH181" s="2195"/>
      <c r="AI181" s="2195"/>
      <c r="AJ181" s="2195"/>
      <c r="AK181" s="2195"/>
      <c r="AL181" s="2195"/>
      <c r="AM181" s="2195"/>
      <c r="AN181" s="2195"/>
      <c r="AO181" s="2195"/>
      <c r="AP181" s="2195"/>
      <c r="AQ181" s="2195"/>
      <c r="AR181" s="2195"/>
      <c r="AS181" s="2195"/>
      <c r="AT181" s="2195"/>
      <c r="AU181" s="2195"/>
      <c r="AV181" s="2195"/>
      <c r="AW181" s="2195"/>
      <c r="AX181" s="2195"/>
      <c r="AY181" s="2195"/>
      <c r="AZ181" s="2195"/>
      <c r="BA181" s="2195"/>
      <c r="BB181" s="2195"/>
      <c r="BC181" s="2195"/>
      <c r="BD181" s="2195"/>
      <c r="BE181" s="2195"/>
    </row>
    <row r="182" spans="1:57" ht="15.75" customHeight="1">
      <c r="A182" s="1208"/>
      <c r="B182" s="1208"/>
      <c r="C182" s="2198" t="s">
        <v>2268</v>
      </c>
      <c r="D182" s="2199"/>
      <c r="E182" s="2199"/>
      <c r="F182" s="2199"/>
      <c r="G182" s="2199"/>
      <c r="H182" s="2199"/>
      <c r="I182" s="2199"/>
      <c r="J182" s="2199"/>
      <c r="K182" s="2199"/>
      <c r="L182" s="2199"/>
      <c r="M182" s="2199"/>
      <c r="N182" s="2064">
        <v>0</v>
      </c>
      <c r="O182" s="2064"/>
      <c r="P182" s="2064"/>
      <c r="Q182" s="2064"/>
      <c r="R182" s="2064"/>
      <c r="S182" s="2064"/>
      <c r="T182" s="2064"/>
      <c r="U182" s="2042"/>
      <c r="V182" s="2042"/>
      <c r="W182" s="2042"/>
      <c r="X182" s="2042"/>
      <c r="Y182" s="2042"/>
      <c r="Z182" s="2042"/>
      <c r="AA182" s="2042"/>
      <c r="AB182" s="2042"/>
      <c r="AC182" s="2042"/>
      <c r="AD182" s="2042"/>
      <c r="AE182" s="2043"/>
      <c r="AF182" s="1208"/>
      <c r="AG182" s="1208"/>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208"/>
      <c r="B183" s="1208"/>
      <c r="C183" s="2182" t="s">
        <v>2267</v>
      </c>
      <c r="D183" s="2183"/>
      <c r="E183" s="2183"/>
      <c r="F183" s="2183"/>
      <c r="G183" s="2183"/>
      <c r="H183" s="2183"/>
      <c r="I183" s="2183"/>
      <c r="J183" s="2183"/>
      <c r="K183" s="2183"/>
      <c r="L183" s="2183"/>
      <c r="M183" s="2183"/>
      <c r="N183" s="2200">
        <f>SUM('Sources and Uses Budget'!B85:B86)</f>
        <v>7145258</v>
      </c>
      <c r="O183" s="2200"/>
      <c r="P183" s="2200"/>
      <c r="Q183" s="2200"/>
      <c r="R183" s="2200"/>
      <c r="S183" s="2200"/>
      <c r="T183" s="2200"/>
      <c r="U183" s="2042"/>
      <c r="V183" s="2042"/>
      <c r="W183" s="2042"/>
      <c r="X183" s="2042"/>
      <c r="Y183" s="2042"/>
      <c r="Z183" s="2042"/>
      <c r="AA183" s="2042"/>
      <c r="AB183" s="2042"/>
      <c r="AC183" s="2042"/>
      <c r="AD183" s="2042"/>
      <c r="AE183" s="2043"/>
      <c r="AF183" s="1208"/>
      <c r="AG183" s="1208"/>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thickBot="1">
      <c r="A184" s="1208"/>
      <c r="B184" s="1208"/>
      <c r="C184" s="2182" t="s">
        <v>2266</v>
      </c>
      <c r="D184" s="2183"/>
      <c r="E184" s="2183"/>
      <c r="F184" s="2183"/>
      <c r="G184" s="2183"/>
      <c r="H184" s="2183"/>
      <c r="I184" s="2183"/>
      <c r="J184" s="2183"/>
      <c r="K184" s="2183"/>
      <c r="L184" s="2183"/>
      <c r="M184" s="2183"/>
      <c r="N184" s="2200">
        <f>'Sources and Uses Budget'!B8</f>
        <v>7622500</v>
      </c>
      <c r="O184" s="2200"/>
      <c r="P184" s="2200"/>
      <c r="Q184" s="2200"/>
      <c r="R184" s="2200"/>
      <c r="S184" s="2200"/>
      <c r="T184" s="2200"/>
      <c r="U184" s="2042"/>
      <c r="V184" s="2042"/>
      <c r="W184" s="2042"/>
      <c r="X184" s="2042"/>
      <c r="Y184" s="2042"/>
      <c r="Z184" s="2042"/>
      <c r="AA184" s="2042"/>
      <c r="AB184" s="2042"/>
      <c r="AC184" s="2042"/>
      <c r="AD184" s="2042"/>
      <c r="AE184" s="2043"/>
      <c r="AF184" s="1208"/>
      <c r="AG184" s="1208"/>
      <c r="AH184" s="2204" t="s">
        <v>2264</v>
      </c>
      <c r="AI184" s="2205"/>
      <c r="AJ184" s="2205"/>
      <c r="AK184" s="2205"/>
      <c r="AL184" s="2205"/>
      <c r="AM184" s="2205"/>
      <c r="AN184" s="2205"/>
      <c r="AO184" s="2205"/>
      <c r="AP184" s="2205"/>
      <c r="AQ184" s="2205"/>
      <c r="AR184" s="2205"/>
      <c r="AS184" s="2205"/>
      <c r="AT184" s="2205"/>
      <c r="AU184" s="2205"/>
      <c r="AV184" s="2205"/>
      <c r="AW184" s="2205"/>
      <c r="AX184" s="2205"/>
      <c r="AY184" s="2205"/>
      <c r="AZ184" s="2205"/>
      <c r="BA184" s="2205"/>
      <c r="BB184" s="2205"/>
      <c r="BC184" s="2205"/>
      <c r="BD184" s="2205"/>
      <c r="BE184" s="2206"/>
    </row>
    <row r="185" spans="1:57" ht="15.75" customHeight="1">
      <c r="A185" s="1208"/>
      <c r="B185" s="1208"/>
      <c r="C185" s="2182" t="s">
        <v>2265</v>
      </c>
      <c r="D185" s="2183"/>
      <c r="E185" s="2183"/>
      <c r="F185" s="2183"/>
      <c r="G185" s="2183"/>
      <c r="H185" s="2183"/>
      <c r="I185" s="2183"/>
      <c r="J185" s="2183"/>
      <c r="K185" s="2183"/>
      <c r="L185" s="2183"/>
      <c r="M185" s="2183"/>
      <c r="N185" s="2191">
        <v>0</v>
      </c>
      <c r="O185" s="2191"/>
      <c r="P185" s="2191"/>
      <c r="Q185" s="2191"/>
      <c r="R185" s="2191"/>
      <c r="S185" s="2191"/>
      <c r="T185" s="2191"/>
      <c r="U185" s="2042"/>
      <c r="V185" s="2042"/>
      <c r="W185" s="2042"/>
      <c r="X185" s="2042"/>
      <c r="Y185" s="2042"/>
      <c r="Z185" s="2042"/>
      <c r="AA185" s="2042"/>
      <c r="AB185" s="2042"/>
      <c r="AC185" s="2042"/>
      <c r="AD185" s="2042"/>
      <c r="AE185" s="2043"/>
      <c r="AF185" s="1208"/>
      <c r="AG185" s="1208"/>
      <c r="AH185" s="2207" t="s">
        <v>2264</v>
      </c>
      <c r="AI185" s="2208"/>
      <c r="AJ185" s="2208"/>
      <c r="AK185" s="2208"/>
      <c r="AL185" s="2208"/>
      <c r="AM185" s="2208"/>
      <c r="AN185" s="2208"/>
      <c r="AO185" s="2208"/>
      <c r="AP185" s="2208"/>
      <c r="AQ185" s="2208"/>
      <c r="AR185" s="2208"/>
      <c r="AS185" s="2208"/>
      <c r="AT185" s="2208"/>
      <c r="AU185" s="2209">
        <v>0</v>
      </c>
      <c r="AV185" s="2209"/>
      <c r="AW185" s="2209"/>
      <c r="AX185" s="2209"/>
      <c r="AY185" s="2209"/>
      <c r="AZ185" s="2209"/>
      <c r="BA185" s="2209"/>
      <c r="BB185" s="2209"/>
      <c r="BC185" s="2210"/>
      <c r="BD185" s="2211"/>
      <c r="BE185" s="2212"/>
    </row>
    <row r="186" spans="1:57" ht="15.75" customHeight="1">
      <c r="A186" s="1208"/>
      <c r="B186" s="1208"/>
      <c r="C186" s="2182" t="s">
        <v>2263</v>
      </c>
      <c r="D186" s="2183"/>
      <c r="E186" s="2183"/>
      <c r="F186" s="2183"/>
      <c r="G186" s="2183"/>
      <c r="H186" s="2183"/>
      <c r="I186" s="2183"/>
      <c r="J186" s="2183"/>
      <c r="K186" s="2183"/>
      <c r="L186" s="2183"/>
      <c r="M186" s="2183"/>
      <c r="N186" s="2191">
        <v>0</v>
      </c>
      <c r="O186" s="2191"/>
      <c r="P186" s="2191"/>
      <c r="Q186" s="2191"/>
      <c r="R186" s="2191"/>
      <c r="S186" s="2191"/>
      <c r="T186" s="2191"/>
      <c r="U186" s="2042"/>
      <c r="V186" s="2042"/>
      <c r="W186" s="2042"/>
      <c r="X186" s="2042"/>
      <c r="Y186" s="2042"/>
      <c r="Z186" s="2042"/>
      <c r="AA186" s="2042"/>
      <c r="AB186" s="2042"/>
      <c r="AC186" s="2042"/>
      <c r="AD186" s="2042"/>
      <c r="AE186" s="2043"/>
      <c r="AF186" s="1208"/>
      <c r="AG186" s="1208"/>
      <c r="AH186" s="2192" t="s">
        <v>2262</v>
      </c>
      <c r="AI186" s="2193"/>
      <c r="AJ186" s="2193"/>
      <c r="AK186" s="2193"/>
      <c r="AL186" s="2193"/>
      <c r="AM186" s="2193"/>
      <c r="AN186" s="2193"/>
      <c r="AO186" s="2193"/>
      <c r="AP186" s="2193"/>
      <c r="AQ186" s="2193"/>
      <c r="AR186" s="2193"/>
      <c r="AS186" s="2193"/>
      <c r="AT186" s="2193"/>
      <c r="AU186" s="2194"/>
      <c r="AV186" s="2194"/>
      <c r="AW186" s="2194"/>
      <c r="AX186" s="2194"/>
      <c r="AY186" s="2194"/>
      <c r="AZ186" s="2194"/>
      <c r="BA186" s="2194"/>
      <c r="BB186" s="2194"/>
      <c r="BC186" s="2201"/>
      <c r="BD186" s="2202"/>
      <c r="BE186" s="2203"/>
    </row>
    <row r="187" spans="1:57" ht="15.75" customHeight="1">
      <c r="A187" s="1208"/>
      <c r="B187" s="1208"/>
      <c r="C187" s="2217" t="s">
        <v>300</v>
      </c>
      <c r="D187" s="2160"/>
      <c r="E187" s="2213" t="s">
        <v>2260</v>
      </c>
      <c r="F187" s="2213"/>
      <c r="G187" s="2213"/>
      <c r="H187" s="2213"/>
      <c r="I187" s="2213"/>
      <c r="J187" s="2213"/>
      <c r="K187" s="2213"/>
      <c r="L187" s="2213"/>
      <c r="M187" s="2213"/>
      <c r="N187" s="2191">
        <v>0</v>
      </c>
      <c r="O187" s="2191"/>
      <c r="P187" s="2191"/>
      <c r="Q187" s="2191"/>
      <c r="R187" s="2191"/>
      <c r="S187" s="2191"/>
      <c r="T187" s="2191"/>
      <c r="U187" s="2042"/>
      <c r="V187" s="2042"/>
      <c r="W187" s="2042"/>
      <c r="X187" s="2042"/>
      <c r="Y187" s="2042"/>
      <c r="Z187" s="2042"/>
      <c r="AA187" s="2042"/>
      <c r="AB187" s="2042"/>
      <c r="AC187" s="2042"/>
      <c r="AD187" s="2042"/>
      <c r="AE187" s="2043"/>
      <c r="AF187" s="1208"/>
      <c r="AG187" s="1208"/>
      <c r="AH187" s="2218" t="s">
        <v>2261</v>
      </c>
      <c r="AI187" s="2219"/>
      <c r="AJ187" s="2219"/>
      <c r="AK187" s="2219"/>
      <c r="AL187" s="2219"/>
      <c r="AM187" s="2219"/>
      <c r="AN187" s="2219"/>
      <c r="AO187" s="2219"/>
      <c r="AP187" s="2219"/>
      <c r="AQ187" s="2219"/>
      <c r="AR187" s="2219"/>
      <c r="AS187" s="2219"/>
      <c r="AT187" s="2219"/>
      <c r="AU187" s="2220">
        <f>SUM(AU185:BB186)</f>
        <v>0</v>
      </c>
      <c r="AV187" s="2220"/>
      <c r="AW187" s="2220"/>
      <c r="AX187" s="2220"/>
      <c r="AY187" s="2220"/>
      <c r="AZ187" s="2220"/>
      <c r="BA187" s="2220"/>
      <c r="BB187" s="2220"/>
      <c r="BC187" s="2201"/>
      <c r="BD187" s="2202"/>
      <c r="BE187" s="2203"/>
    </row>
    <row r="188" spans="1:57" ht="15.75" customHeight="1" thickBot="1">
      <c r="A188" s="1208"/>
      <c r="B188" s="1208"/>
      <c r="C188" s="2080" t="s">
        <v>300</v>
      </c>
      <c r="D188" s="2030"/>
      <c r="E188" s="2213" t="s">
        <v>2260</v>
      </c>
      <c r="F188" s="2213"/>
      <c r="G188" s="2213"/>
      <c r="H188" s="2213"/>
      <c r="I188" s="2213"/>
      <c r="J188" s="2213"/>
      <c r="K188" s="2213"/>
      <c r="L188" s="2213"/>
      <c r="M188" s="2213"/>
      <c r="N188" s="2191">
        <v>0</v>
      </c>
      <c r="O188" s="2191"/>
      <c r="P188" s="2191"/>
      <c r="Q188" s="2191"/>
      <c r="R188" s="2191"/>
      <c r="S188" s="2191"/>
      <c r="T188" s="2191"/>
      <c r="U188" s="2042"/>
      <c r="V188" s="2042"/>
      <c r="W188" s="2042"/>
      <c r="X188" s="2042"/>
      <c r="Y188" s="2042"/>
      <c r="Z188" s="2042"/>
      <c r="AA188" s="2042"/>
      <c r="AB188" s="2042"/>
      <c r="AC188" s="2042"/>
      <c r="AD188" s="2042"/>
      <c r="AE188" s="204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4"/>
      <c r="BD188" s="2215"/>
      <c r="BE188" s="2216"/>
    </row>
    <row r="189" spans="1:57" ht="15.75" customHeight="1" thickBot="1">
      <c r="A189" s="1208"/>
      <c r="B189" s="1208"/>
      <c r="C189" s="2238" t="s">
        <v>300</v>
      </c>
      <c r="D189" s="2239"/>
      <c r="E189" s="2240" t="s">
        <v>2260</v>
      </c>
      <c r="F189" s="2240"/>
      <c r="G189" s="2240"/>
      <c r="H189" s="2240"/>
      <c r="I189" s="2240"/>
      <c r="J189" s="2240"/>
      <c r="K189" s="2240"/>
      <c r="L189" s="2240"/>
      <c r="M189" s="2241"/>
      <c r="N189" s="2242">
        <v>0</v>
      </c>
      <c r="O189" s="2242"/>
      <c r="P189" s="2242"/>
      <c r="Q189" s="2242"/>
      <c r="R189" s="2242"/>
      <c r="S189" s="2242"/>
      <c r="T189" s="2243"/>
      <c r="U189" s="2244"/>
      <c r="V189" s="2245"/>
      <c r="W189" s="2245"/>
      <c r="X189" s="2245"/>
      <c r="Y189" s="2245"/>
      <c r="Z189" s="2245"/>
      <c r="AA189" s="2245"/>
      <c r="AB189" s="2245"/>
      <c r="AC189" s="2245"/>
      <c r="AD189" s="2245"/>
      <c r="AE189" s="2246"/>
      <c r="AF189" s="1208"/>
      <c r="AG189" s="1208"/>
      <c r="AH189" s="2247" t="s">
        <v>2259</v>
      </c>
      <c r="AI189" s="2248"/>
      <c r="AJ189" s="2248"/>
      <c r="AK189" s="2248"/>
      <c r="AL189" s="2248"/>
      <c r="AM189" s="2248"/>
      <c r="AN189" s="2248"/>
      <c r="AO189" s="2248"/>
      <c r="AP189" s="2248"/>
      <c r="AQ189" s="2248"/>
      <c r="AR189" s="2248"/>
      <c r="AS189" s="2248"/>
      <c r="AT189" s="2248"/>
      <c r="AU189" s="2249"/>
      <c r="AV189" s="2249"/>
      <c r="AW189" s="2249"/>
      <c r="AX189" s="2249"/>
      <c r="AY189" s="2249"/>
      <c r="AZ189" s="2249"/>
      <c r="BA189" s="2249"/>
      <c r="BB189" s="2249"/>
      <c r="BC189" s="1164"/>
      <c r="BD189" s="1164"/>
      <c r="BE189" s="1252"/>
    </row>
    <row r="190" spans="1:57" ht="15.75" customHeight="1">
      <c r="A190" s="1208"/>
      <c r="B190" s="1208"/>
      <c r="C190" s="2221" t="s">
        <v>2258</v>
      </c>
      <c r="D190" s="2222"/>
      <c r="E190" s="2222"/>
      <c r="F190" s="2222"/>
      <c r="G190" s="2222"/>
      <c r="H190" s="2222"/>
      <c r="I190" s="2222"/>
      <c r="J190" s="2222"/>
      <c r="K190" s="2222"/>
      <c r="L190" s="2222"/>
      <c r="M190" s="2222"/>
      <c r="N190" s="2223">
        <f>SUM(N182:T189)</f>
        <v>14767758</v>
      </c>
      <c r="O190" s="2223"/>
      <c r="P190" s="2223"/>
      <c r="Q190" s="2223"/>
      <c r="R190" s="2223"/>
      <c r="S190" s="2223"/>
      <c r="T190" s="2224"/>
      <c r="U190" s="1208"/>
      <c r="V190" s="1208"/>
      <c r="W190" s="1208"/>
      <c r="X190" s="1208"/>
      <c r="Y190" s="1208"/>
      <c r="Z190" s="1208"/>
      <c r="AA190" s="1208"/>
      <c r="AB190" s="1208"/>
      <c r="AC190" s="1208"/>
      <c r="AD190" s="1208"/>
      <c r="AE190" s="1208"/>
      <c r="AF190" s="1208"/>
      <c r="AG190" s="1208"/>
      <c r="AH190" s="2225" t="s">
        <v>2257</v>
      </c>
      <c r="AI190" s="2226"/>
      <c r="AJ190" s="2226"/>
      <c r="AK190" s="2226"/>
      <c r="AL190" s="2226"/>
      <c r="AM190" s="2226"/>
      <c r="AN190" s="2226"/>
      <c r="AO190" s="2226"/>
      <c r="AP190" s="2226"/>
      <c r="AQ190" s="2226"/>
      <c r="AR190" s="2226"/>
      <c r="AS190" s="2226"/>
      <c r="AT190" s="2226"/>
      <c r="AU190" s="2226"/>
      <c r="AV190" s="2226"/>
      <c r="AW190" s="2226"/>
      <c r="AX190" s="2226"/>
      <c r="AY190" s="2226"/>
      <c r="AZ190" s="2226"/>
      <c r="BA190" s="2226"/>
      <c r="BB190" s="2226"/>
      <c r="BC190" s="2226"/>
      <c r="BD190" s="2226"/>
      <c r="BE190" s="2227"/>
    </row>
    <row r="191" spans="1:57" ht="15.75" customHeight="1" thickBot="1">
      <c r="A191" s="1208"/>
      <c r="B191" s="1208"/>
      <c r="C191" s="2231" t="s">
        <v>2256</v>
      </c>
      <c r="D191" s="2232"/>
      <c r="E191" s="2232"/>
      <c r="F191" s="2232"/>
      <c r="G191" s="2232"/>
      <c r="H191" s="2232"/>
      <c r="I191" s="2232"/>
      <c r="J191" s="2232"/>
      <c r="K191" s="2232"/>
      <c r="L191" s="2232"/>
      <c r="M191" s="2232"/>
      <c r="N191" s="2233">
        <f>(N180-N190)/J29</f>
        <v>367646.7643678161</v>
      </c>
      <c r="O191" s="2234"/>
      <c r="P191" s="2234"/>
      <c r="Q191" s="2234"/>
      <c r="R191" s="2234"/>
      <c r="S191" s="2234"/>
      <c r="T191" s="2235"/>
      <c r="U191" s="1216"/>
      <c r="V191" s="1208"/>
      <c r="W191" s="1208"/>
      <c r="X191" s="1208"/>
      <c r="Y191" s="1208"/>
      <c r="Z191" s="1208"/>
      <c r="AA191" s="1208"/>
      <c r="AB191" s="1208"/>
      <c r="AC191" s="1208"/>
      <c r="AD191" s="1208"/>
      <c r="AE191" s="1208"/>
      <c r="AF191" s="1208"/>
      <c r="AG191" s="1208"/>
      <c r="AH191" s="2228"/>
      <c r="AI191" s="2229"/>
      <c r="AJ191" s="2229"/>
      <c r="AK191" s="2229"/>
      <c r="AL191" s="2229"/>
      <c r="AM191" s="2229"/>
      <c r="AN191" s="2229"/>
      <c r="AO191" s="2229"/>
      <c r="AP191" s="2229"/>
      <c r="AQ191" s="2229"/>
      <c r="AR191" s="2229"/>
      <c r="AS191" s="2229"/>
      <c r="AT191" s="2229"/>
      <c r="AU191" s="2229"/>
      <c r="AV191" s="2229"/>
      <c r="AW191" s="2229"/>
      <c r="AX191" s="2229"/>
      <c r="AY191" s="2229"/>
      <c r="AZ191" s="2229"/>
      <c r="BA191" s="2229"/>
      <c r="BB191" s="2229"/>
      <c r="BC191" s="2229"/>
      <c r="BD191" s="2229"/>
      <c r="BE191" s="223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6"/>
      <c r="AI192" s="2236"/>
      <c r="AJ192" s="2236"/>
      <c r="AK192" s="2236"/>
      <c r="AL192" s="2236"/>
      <c r="AM192" s="2236"/>
      <c r="AN192" s="2236"/>
      <c r="AO192" s="2236"/>
      <c r="AP192" s="2236"/>
      <c r="AQ192" s="2236"/>
      <c r="AR192" s="2236"/>
      <c r="AS192" s="2237"/>
      <c r="AT192" s="2237"/>
      <c r="AU192" s="2237"/>
      <c r="AV192" s="2237"/>
      <c r="AW192" s="2237"/>
      <c r="AX192" s="2237"/>
      <c r="AY192" s="2237"/>
      <c r="AZ192" s="2237"/>
      <c r="BA192" s="2237"/>
      <c r="BB192" s="2237"/>
      <c r="BC192" s="2237"/>
      <c r="BD192" s="223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5" t="s">
        <v>2255</v>
      </c>
      <c r="D194" s="2256"/>
      <c r="E194" s="2256"/>
      <c r="F194" s="2256"/>
      <c r="G194" s="2256"/>
      <c r="H194" s="2256"/>
      <c r="I194" s="2256"/>
      <c r="J194" s="2256"/>
      <c r="K194" s="2256"/>
      <c r="L194" s="2256"/>
      <c r="M194" s="2256"/>
      <c r="N194" s="2256"/>
      <c r="O194" s="2256"/>
      <c r="P194" s="2256"/>
      <c r="Q194" s="2256"/>
      <c r="R194" s="2256"/>
      <c r="S194" s="2256"/>
      <c r="T194" s="2256"/>
      <c r="U194" s="2256"/>
      <c r="V194" s="2256"/>
      <c r="W194" s="2256"/>
      <c r="X194" s="2256"/>
      <c r="Y194" s="2256"/>
      <c r="Z194" s="2256"/>
      <c r="AA194" s="2256"/>
      <c r="AB194" s="2256"/>
      <c r="AC194" s="2256"/>
      <c r="AD194" s="2256"/>
      <c r="AE194" s="22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8" t="s">
        <v>2254</v>
      </c>
      <c r="D195" s="2258"/>
      <c r="E195" s="2258"/>
      <c r="F195" s="2258"/>
      <c r="G195" s="2258"/>
      <c r="H195" s="2258"/>
      <c r="I195" s="2258"/>
      <c r="J195" s="2258"/>
      <c r="K195" s="2258"/>
      <c r="L195" s="2258"/>
      <c r="M195" s="2258"/>
      <c r="N195" s="2258"/>
      <c r="O195" s="2259" t="s">
        <v>2253</v>
      </c>
      <c r="P195" s="2259"/>
      <c r="Q195" s="2259"/>
      <c r="R195" s="2259"/>
      <c r="S195" s="2259"/>
      <c r="T195" s="2259"/>
      <c r="U195" s="2259"/>
      <c r="V195" s="2259"/>
      <c r="W195" s="2259"/>
      <c r="X195" s="2259" t="s">
        <v>2252</v>
      </c>
      <c r="Y195" s="2259"/>
      <c r="Z195" s="2259"/>
      <c r="AA195" s="2259"/>
      <c r="AB195" s="2259"/>
      <c r="AC195" s="2259"/>
      <c r="AD195" s="2259"/>
      <c r="AE195" s="22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0" t="s">
        <v>2251</v>
      </c>
      <c r="D196" s="2250"/>
      <c r="E196" s="2250"/>
      <c r="F196" s="2250"/>
      <c r="G196" s="2250"/>
      <c r="H196" s="2250"/>
      <c r="I196" s="2250"/>
      <c r="J196" s="2250"/>
      <c r="K196" s="2250"/>
      <c r="L196" s="2250"/>
      <c r="M196" s="2250"/>
      <c r="N196" s="2250"/>
      <c r="O196" s="2251" t="s">
        <v>2250</v>
      </c>
      <c r="P196" s="2251"/>
      <c r="Q196" s="2251"/>
      <c r="R196" s="2251"/>
      <c r="S196" s="2251"/>
      <c r="T196" s="2251"/>
      <c r="U196" s="2251"/>
      <c r="V196" s="2251"/>
      <c r="W196" s="2251"/>
      <c r="X196" s="2252">
        <v>0.03</v>
      </c>
      <c r="Y196" s="2252"/>
      <c r="Z196" s="2252"/>
      <c r="AA196" s="2252"/>
      <c r="AB196" s="2252"/>
      <c r="AC196" s="2252"/>
      <c r="AD196" s="2252"/>
      <c r="AE196" s="22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0" t="s">
        <v>854</v>
      </c>
      <c r="D197" s="2250"/>
      <c r="E197" s="2250"/>
      <c r="F197" s="2250"/>
      <c r="G197" s="2250"/>
      <c r="H197" s="2250"/>
      <c r="I197" s="2250"/>
      <c r="J197" s="2250"/>
      <c r="K197" s="2250"/>
      <c r="L197" s="2250"/>
      <c r="M197" s="2250"/>
      <c r="N197" s="2250"/>
      <c r="O197" s="2251" t="s">
        <v>2250</v>
      </c>
      <c r="P197" s="2251"/>
      <c r="Q197" s="2251"/>
      <c r="R197" s="2251"/>
      <c r="S197" s="2251"/>
      <c r="T197" s="2251"/>
      <c r="U197" s="2251"/>
      <c r="V197" s="2251"/>
      <c r="W197" s="2251"/>
      <c r="X197" s="2252">
        <v>0.03</v>
      </c>
      <c r="Y197" s="2252"/>
      <c r="Z197" s="2252"/>
      <c r="AA197" s="2252"/>
      <c r="AB197" s="2252"/>
      <c r="AC197" s="2252"/>
      <c r="AD197" s="2252"/>
      <c r="AE197" s="22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0" t="s">
        <v>2249</v>
      </c>
      <c r="D198" s="2250"/>
      <c r="E198" s="2250"/>
      <c r="F198" s="2250"/>
      <c r="G198" s="2250"/>
      <c r="H198" s="2250"/>
      <c r="I198" s="2250"/>
      <c r="J198" s="2250"/>
      <c r="K198" s="2250"/>
      <c r="L198" s="2250"/>
      <c r="M198" s="2250"/>
      <c r="N198" s="2250"/>
      <c r="O198" s="2253">
        <f>SUM(O196:W197)</f>
        <v>0</v>
      </c>
      <c r="P198" s="2254"/>
      <c r="Q198" s="2254"/>
      <c r="R198" s="2254"/>
      <c r="S198" s="2254"/>
      <c r="T198" s="2254"/>
      <c r="U198" s="2254"/>
      <c r="V198" s="2254"/>
      <c r="W198" s="2254"/>
      <c r="X198" s="2254" t="s">
        <v>2248</v>
      </c>
      <c r="Y198" s="2254"/>
      <c r="Z198" s="2254"/>
      <c r="AA198" s="2254"/>
      <c r="AB198" s="2254"/>
      <c r="AC198" s="2254"/>
      <c r="AD198" s="2254"/>
      <c r="AE198" s="22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0" t="s">
        <v>2247</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1" t="s">
        <v>2246</v>
      </c>
      <c r="D201" s="2262"/>
      <c r="E201" s="2262"/>
      <c r="F201" s="2262"/>
      <c r="G201" s="2262"/>
      <c r="H201" s="2262"/>
      <c r="I201" s="2262"/>
      <c r="J201" s="2262"/>
      <c r="K201" s="2262"/>
      <c r="L201" s="2262"/>
      <c r="M201" s="2262"/>
      <c r="N201" s="2262"/>
      <c r="O201" s="2262"/>
      <c r="P201" s="2262"/>
      <c r="Q201" s="2262"/>
      <c r="R201" s="2262"/>
      <c r="S201" s="2262"/>
      <c r="T201" s="2262"/>
      <c r="U201" s="2262"/>
      <c r="V201" s="2262"/>
      <c r="W201" s="2262"/>
      <c r="X201" s="2262"/>
      <c r="Y201" s="2262"/>
      <c r="Z201" s="2262"/>
      <c r="AA201" s="2262"/>
      <c r="AB201" s="2262"/>
      <c r="AC201" s="2262"/>
      <c r="AD201" s="2262"/>
      <c r="AE201" s="2262"/>
      <c r="AF201" s="2262"/>
      <c r="AG201" s="2262"/>
      <c r="AH201" s="2262"/>
      <c r="AI201" s="2262"/>
      <c r="AJ201" s="2262"/>
      <c r="AK201" s="226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4" t="s">
        <v>2245</v>
      </c>
      <c r="D202" s="2265"/>
      <c r="E202" s="2265"/>
      <c r="F202" s="2266"/>
      <c r="G202" s="2270" t="s">
        <v>2244</v>
      </c>
      <c r="H202" s="2265"/>
      <c r="I202" s="2265"/>
      <c r="J202" s="2265"/>
      <c r="K202" s="2265"/>
      <c r="L202" s="2265"/>
      <c r="M202" s="2265"/>
      <c r="N202" s="2265"/>
      <c r="O202" s="2266"/>
      <c r="P202" s="2272" t="s">
        <v>2243</v>
      </c>
      <c r="Q202" s="2273"/>
      <c r="R202" s="2273"/>
      <c r="S202" s="2273"/>
      <c r="T202" s="2274"/>
      <c r="U202" s="2278" t="s">
        <v>2242</v>
      </c>
      <c r="V202" s="2279"/>
      <c r="W202" s="2279"/>
      <c r="X202" s="2280"/>
      <c r="Y202" s="2278" t="s">
        <v>2241</v>
      </c>
      <c r="Z202" s="2279"/>
      <c r="AA202" s="2279"/>
      <c r="AB202" s="2280"/>
      <c r="AC202" s="2278" t="s">
        <v>2240</v>
      </c>
      <c r="AD202" s="2279"/>
      <c r="AE202" s="2279"/>
      <c r="AF202" s="2280"/>
      <c r="AG202" s="2270" t="s">
        <v>2239</v>
      </c>
      <c r="AH202" s="2265"/>
      <c r="AI202" s="2265"/>
      <c r="AJ202" s="2265"/>
      <c r="AK202" s="228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7"/>
      <c r="D203" s="2268"/>
      <c r="E203" s="2268"/>
      <c r="F203" s="2269"/>
      <c r="G203" s="2271"/>
      <c r="H203" s="2268"/>
      <c r="I203" s="2268"/>
      <c r="J203" s="2268"/>
      <c r="K203" s="2268"/>
      <c r="L203" s="2268"/>
      <c r="M203" s="2268"/>
      <c r="N203" s="2268"/>
      <c r="O203" s="2269"/>
      <c r="P203" s="2275"/>
      <c r="Q203" s="2276"/>
      <c r="R203" s="2276"/>
      <c r="S203" s="2276"/>
      <c r="T203" s="2277"/>
      <c r="U203" s="2281"/>
      <c r="V203" s="2282"/>
      <c r="W203" s="2282"/>
      <c r="X203" s="2283"/>
      <c r="Y203" s="2281"/>
      <c r="Z203" s="2282"/>
      <c r="AA203" s="2282"/>
      <c r="AB203" s="2283"/>
      <c r="AC203" s="2281"/>
      <c r="AD203" s="2282"/>
      <c r="AE203" s="2282"/>
      <c r="AF203" s="2283"/>
      <c r="AG203" s="2271"/>
      <c r="AH203" s="2268"/>
      <c r="AI203" s="2268"/>
      <c r="AJ203" s="2268"/>
      <c r="AK203" s="228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9">
        <v>1</v>
      </c>
      <c r="D204" s="2290"/>
      <c r="E204" s="2290"/>
      <c r="F204" s="2290"/>
      <c r="G204" s="2291" t="s">
        <v>1859</v>
      </c>
      <c r="H204" s="2291"/>
      <c r="I204" s="2291"/>
      <c r="J204" s="2291"/>
      <c r="K204" s="2291"/>
      <c r="L204" s="2291"/>
      <c r="M204" s="2291"/>
      <c r="N204" s="2291"/>
      <c r="O204" s="2291"/>
      <c r="P204" s="2292"/>
      <c r="Q204" s="2295"/>
      <c r="R204" s="2295"/>
      <c r="S204" s="2295"/>
      <c r="T204" s="2295"/>
      <c r="U204" s="2293" t="s">
        <v>1859</v>
      </c>
      <c r="V204" s="2293"/>
      <c r="W204" s="2293"/>
      <c r="X204" s="2293"/>
      <c r="Y204" s="2293" t="s">
        <v>1859</v>
      </c>
      <c r="Z204" s="2293"/>
      <c r="AA204" s="2293"/>
      <c r="AB204" s="2293"/>
      <c r="AC204" s="2294" t="s">
        <v>1859</v>
      </c>
      <c r="AD204" s="2294"/>
      <c r="AE204" s="2294"/>
      <c r="AF204" s="2294"/>
      <c r="AG204" s="2286"/>
      <c r="AH204" s="2287"/>
      <c r="AI204" s="2287"/>
      <c r="AJ204" s="2287"/>
      <c r="AK204" s="228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9">
        <v>2</v>
      </c>
      <c r="D205" s="2290"/>
      <c r="E205" s="2290"/>
      <c r="F205" s="2290"/>
      <c r="G205" s="2291" t="s">
        <v>1859</v>
      </c>
      <c r="H205" s="2291"/>
      <c r="I205" s="2291"/>
      <c r="J205" s="2291"/>
      <c r="K205" s="2291"/>
      <c r="L205" s="2291"/>
      <c r="M205" s="2291"/>
      <c r="N205" s="2291"/>
      <c r="O205" s="2291"/>
      <c r="P205" s="2292"/>
      <c r="Q205" s="2292"/>
      <c r="R205" s="2292"/>
      <c r="S205" s="2292"/>
      <c r="T205" s="2292"/>
      <c r="U205" s="2293" t="s">
        <v>1859</v>
      </c>
      <c r="V205" s="2293"/>
      <c r="W205" s="2293"/>
      <c r="X205" s="2293"/>
      <c r="Y205" s="2293" t="s">
        <v>1859</v>
      </c>
      <c r="Z205" s="2293"/>
      <c r="AA205" s="2293"/>
      <c r="AB205" s="2293"/>
      <c r="AC205" s="2294" t="s">
        <v>1859</v>
      </c>
      <c r="AD205" s="2294"/>
      <c r="AE205" s="2294"/>
      <c r="AF205" s="2294"/>
      <c r="AG205" s="2286"/>
      <c r="AH205" s="2287"/>
      <c r="AI205" s="2287"/>
      <c r="AJ205" s="2287"/>
      <c r="AK205" s="228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9">
        <v>3</v>
      </c>
      <c r="D206" s="2290"/>
      <c r="E206" s="2290"/>
      <c r="F206" s="2290"/>
      <c r="G206" s="2291" t="s">
        <v>1859</v>
      </c>
      <c r="H206" s="2291"/>
      <c r="I206" s="2291"/>
      <c r="J206" s="2291"/>
      <c r="K206" s="2291"/>
      <c r="L206" s="2291"/>
      <c r="M206" s="2291"/>
      <c r="N206" s="2291"/>
      <c r="O206" s="2291"/>
      <c r="P206" s="2292"/>
      <c r="Q206" s="2292"/>
      <c r="R206" s="2292"/>
      <c r="S206" s="2292"/>
      <c r="T206" s="2292"/>
      <c r="U206" s="2293" t="s">
        <v>1859</v>
      </c>
      <c r="V206" s="2293"/>
      <c r="W206" s="2293"/>
      <c r="X206" s="2293"/>
      <c r="Y206" s="2293" t="s">
        <v>1859</v>
      </c>
      <c r="Z206" s="2293"/>
      <c r="AA206" s="2293"/>
      <c r="AB206" s="2293"/>
      <c r="AC206" s="2294" t="s">
        <v>1859</v>
      </c>
      <c r="AD206" s="2294"/>
      <c r="AE206" s="2294"/>
      <c r="AF206" s="2294"/>
      <c r="AG206" s="2286"/>
      <c r="AH206" s="2287"/>
      <c r="AI206" s="2287"/>
      <c r="AJ206" s="2287"/>
      <c r="AK206" s="228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9">
        <v>4</v>
      </c>
      <c r="D207" s="2290"/>
      <c r="E207" s="2290"/>
      <c r="F207" s="2290"/>
      <c r="G207" s="2291" t="s">
        <v>1859</v>
      </c>
      <c r="H207" s="2291"/>
      <c r="I207" s="2291"/>
      <c r="J207" s="2291"/>
      <c r="K207" s="2291"/>
      <c r="L207" s="2291"/>
      <c r="M207" s="2291"/>
      <c r="N207" s="2291"/>
      <c r="O207" s="2291"/>
      <c r="P207" s="2292"/>
      <c r="Q207" s="2292"/>
      <c r="R207" s="2292"/>
      <c r="S207" s="2292"/>
      <c r="T207" s="2292"/>
      <c r="U207" s="2293" t="s">
        <v>1859</v>
      </c>
      <c r="V207" s="2293"/>
      <c r="W207" s="2293"/>
      <c r="X207" s="2293"/>
      <c r="Y207" s="2293" t="s">
        <v>1859</v>
      </c>
      <c r="Z207" s="2293"/>
      <c r="AA207" s="2293"/>
      <c r="AB207" s="2293"/>
      <c r="AC207" s="2294" t="s">
        <v>1859</v>
      </c>
      <c r="AD207" s="2294"/>
      <c r="AE207" s="2294"/>
      <c r="AF207" s="2294"/>
      <c r="AG207" s="2286"/>
      <c r="AH207" s="2287"/>
      <c r="AI207" s="2287"/>
      <c r="AJ207" s="2287"/>
      <c r="AK207" s="228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9">
        <v>5</v>
      </c>
      <c r="D208" s="2290"/>
      <c r="E208" s="2290"/>
      <c r="F208" s="2290"/>
      <c r="G208" s="2291" t="s">
        <v>1859</v>
      </c>
      <c r="H208" s="2291"/>
      <c r="I208" s="2291"/>
      <c r="J208" s="2291"/>
      <c r="K208" s="2291"/>
      <c r="L208" s="2291"/>
      <c r="M208" s="2291"/>
      <c r="N208" s="2291"/>
      <c r="O208" s="2291"/>
      <c r="P208" s="2292"/>
      <c r="Q208" s="2292"/>
      <c r="R208" s="2292"/>
      <c r="S208" s="2292"/>
      <c r="T208" s="2292"/>
      <c r="U208" s="2293" t="s">
        <v>1859</v>
      </c>
      <c r="V208" s="2293"/>
      <c r="W208" s="2293"/>
      <c r="X208" s="2293"/>
      <c r="Y208" s="2293" t="s">
        <v>1859</v>
      </c>
      <c r="Z208" s="2293"/>
      <c r="AA208" s="2293"/>
      <c r="AB208" s="2293"/>
      <c r="AC208" s="2294" t="s">
        <v>1859</v>
      </c>
      <c r="AD208" s="2294"/>
      <c r="AE208" s="2294"/>
      <c r="AF208" s="2294"/>
      <c r="AG208" s="2286"/>
      <c r="AH208" s="2287"/>
      <c r="AI208" s="2287"/>
      <c r="AJ208" s="2287"/>
      <c r="AK208" s="228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9">
        <v>6</v>
      </c>
      <c r="D209" s="2290"/>
      <c r="E209" s="2290"/>
      <c r="F209" s="2290"/>
      <c r="G209" s="2291" t="s">
        <v>1859</v>
      </c>
      <c r="H209" s="2291"/>
      <c r="I209" s="2291"/>
      <c r="J209" s="2291"/>
      <c r="K209" s="2291"/>
      <c r="L209" s="2291"/>
      <c r="M209" s="2291"/>
      <c r="N209" s="2291"/>
      <c r="O209" s="2291"/>
      <c r="P209" s="2292"/>
      <c r="Q209" s="2292"/>
      <c r="R209" s="2292"/>
      <c r="S209" s="2292"/>
      <c r="T209" s="2292"/>
      <c r="U209" s="2293"/>
      <c r="V209" s="2293"/>
      <c r="W209" s="2293"/>
      <c r="X209" s="2293"/>
      <c r="Y209" s="2293"/>
      <c r="Z209" s="2293"/>
      <c r="AA209" s="2293"/>
      <c r="AB209" s="2293"/>
      <c r="AC209" s="2294" t="s">
        <v>1859</v>
      </c>
      <c r="AD209" s="2294"/>
      <c r="AE209" s="2294"/>
      <c r="AF209" s="2294"/>
      <c r="AG209" s="2286"/>
      <c r="AH209" s="2287"/>
      <c r="AI209" s="2287"/>
      <c r="AJ209" s="2287"/>
      <c r="AK209" s="228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9">
        <v>7</v>
      </c>
      <c r="D210" s="2290"/>
      <c r="E210" s="2290"/>
      <c r="F210" s="2290"/>
      <c r="G210" s="2291"/>
      <c r="H210" s="2291"/>
      <c r="I210" s="2291"/>
      <c r="J210" s="2291"/>
      <c r="K210" s="2291"/>
      <c r="L210" s="2291"/>
      <c r="M210" s="2291"/>
      <c r="N210" s="2291"/>
      <c r="O210" s="2291"/>
      <c r="P210" s="2292"/>
      <c r="Q210" s="2292"/>
      <c r="R210" s="2292"/>
      <c r="S210" s="2292"/>
      <c r="T210" s="2292"/>
      <c r="U210" s="2293"/>
      <c r="V210" s="2293"/>
      <c r="W210" s="2293"/>
      <c r="X210" s="2293"/>
      <c r="Y210" s="2293"/>
      <c r="Z210" s="2293"/>
      <c r="AA210" s="2293"/>
      <c r="AB210" s="2293"/>
      <c r="AC210" s="2294" t="s">
        <v>1859</v>
      </c>
      <c r="AD210" s="2294"/>
      <c r="AE210" s="2294"/>
      <c r="AF210" s="2294"/>
      <c r="AG210" s="2286"/>
      <c r="AH210" s="2287"/>
      <c r="AI210" s="2287"/>
      <c r="AJ210" s="2287"/>
      <c r="AK210" s="228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8" t="s">
        <v>2238</v>
      </c>
      <c r="D211" s="2309"/>
      <c r="E211" s="2309"/>
      <c r="F211" s="2309"/>
      <c r="G211" s="2309"/>
      <c r="H211" s="2309"/>
      <c r="I211" s="2309"/>
      <c r="J211" s="2309"/>
      <c r="K211" s="2309"/>
      <c r="L211" s="2309"/>
      <c r="M211" s="2309"/>
      <c r="N211" s="2309"/>
      <c r="O211" s="2309"/>
      <c r="P211" s="2310"/>
      <c r="Q211" s="2310"/>
      <c r="R211" s="2310"/>
      <c r="S211" s="2310"/>
      <c r="T211" s="2310"/>
      <c r="U211" s="2311">
        <f>-SUM(U204:U210)</f>
        <v>0</v>
      </c>
      <c r="V211" s="2311"/>
      <c r="W211" s="2311"/>
      <c r="X211" s="2311"/>
      <c r="Y211" s="2311">
        <f>-SUM(Y204:Y210)</f>
        <v>0</v>
      </c>
      <c r="Z211" s="2311"/>
      <c r="AA211" s="2311"/>
      <c r="AB211" s="2311"/>
      <c r="AC211" s="2312">
        <f>-SUM(AC204:AC210)</f>
        <v>0</v>
      </c>
      <c r="AD211" s="2312"/>
      <c r="AE211" s="2312"/>
      <c r="AF211" s="2312"/>
      <c r="AG211" s="2313"/>
      <c r="AH211" s="2314"/>
      <c r="AI211" s="2314"/>
      <c r="AJ211" s="2314"/>
      <c r="AK211" s="23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6" t="s">
        <v>2236</v>
      </c>
      <c r="C216" s="2297"/>
      <c r="D216" s="2297"/>
      <c r="E216" s="2297"/>
      <c r="F216" s="2297"/>
      <c r="G216" s="2297"/>
      <c r="H216" s="2297"/>
      <c r="I216" s="2297"/>
      <c r="J216" s="2297"/>
      <c r="K216" s="2297"/>
      <c r="L216" s="2297"/>
      <c r="M216" s="2297"/>
      <c r="N216" s="2297"/>
      <c r="O216" s="2297"/>
      <c r="P216" s="2297"/>
      <c r="Q216" s="2297"/>
      <c r="R216" s="2297"/>
      <c r="S216" s="2297"/>
      <c r="T216" s="2297"/>
      <c r="U216" s="2297"/>
      <c r="V216" s="2297"/>
      <c r="W216" s="2297"/>
      <c r="X216" s="2297"/>
      <c r="Y216" s="2297"/>
      <c r="Z216" s="2297"/>
      <c r="AA216" s="2297"/>
      <c r="AB216" s="2297"/>
      <c r="AC216" s="2297"/>
      <c r="AD216" s="2297"/>
      <c r="AE216" s="2297"/>
      <c r="AF216" s="2297"/>
      <c r="AG216" s="2297"/>
      <c r="AH216" s="2297"/>
      <c r="AI216" s="2297"/>
      <c r="AJ216" s="2297"/>
      <c r="AK216" s="2297"/>
      <c r="AL216" s="2297"/>
      <c r="AM216" s="2297"/>
      <c r="AN216" s="2297"/>
      <c r="AO216" s="2297"/>
      <c r="AP216" s="2297"/>
      <c r="AQ216" s="2297"/>
      <c r="AR216" s="2297"/>
      <c r="AS216" s="2297"/>
      <c r="AT216" s="2297"/>
      <c r="AU216" s="2297"/>
      <c r="AV216" s="2297"/>
      <c r="AW216" s="2297"/>
      <c r="AX216" s="2297"/>
      <c r="AY216" s="2297"/>
      <c r="AZ216" s="2297"/>
      <c r="BA216" s="2297"/>
      <c r="BB216" s="2297"/>
      <c r="BC216" s="2297"/>
      <c r="BD216" s="2298"/>
      <c r="BE216" s="1215"/>
    </row>
    <row r="217" spans="1:57" ht="15.75" customHeight="1">
      <c r="A217" s="1208"/>
      <c r="B217" s="2299"/>
      <c r="C217" s="2300"/>
      <c r="D217" s="2300"/>
      <c r="E217" s="2300"/>
      <c r="F217" s="2300"/>
      <c r="G217" s="2300"/>
      <c r="H217" s="2300"/>
      <c r="I217" s="2300"/>
      <c r="J217" s="2300"/>
      <c r="K217" s="2300"/>
      <c r="L217" s="2300"/>
      <c r="M217" s="2300"/>
      <c r="N217" s="2300"/>
      <c r="O217" s="2300"/>
      <c r="P217" s="2300"/>
      <c r="Q217" s="2300"/>
      <c r="R217" s="2300"/>
      <c r="S217" s="2300"/>
      <c r="T217" s="2300"/>
      <c r="U217" s="2300"/>
      <c r="V217" s="2300"/>
      <c r="W217" s="2300"/>
      <c r="X217" s="2300"/>
      <c r="Y217" s="2300"/>
      <c r="Z217" s="2300"/>
      <c r="AA217" s="2300"/>
      <c r="AB217" s="2300"/>
      <c r="AC217" s="2300"/>
      <c r="AD217" s="2300"/>
      <c r="AE217" s="2300"/>
      <c r="AF217" s="2300"/>
      <c r="AG217" s="2300"/>
      <c r="AH217" s="2300"/>
      <c r="AI217" s="2300"/>
      <c r="AJ217" s="2300"/>
      <c r="AK217" s="2300"/>
      <c r="AL217" s="2300"/>
      <c r="AM217" s="2300"/>
      <c r="AN217" s="2300"/>
      <c r="AO217" s="2300"/>
      <c r="AP217" s="2300"/>
      <c r="AQ217" s="2300"/>
      <c r="AR217" s="2300"/>
      <c r="AS217" s="2300"/>
      <c r="AT217" s="2300"/>
      <c r="AU217" s="2300"/>
      <c r="AV217" s="2300"/>
      <c r="AW217" s="2300"/>
      <c r="AX217" s="2300"/>
      <c r="AY217" s="2300"/>
      <c r="AZ217" s="2300"/>
      <c r="BA217" s="2300"/>
      <c r="BB217" s="2300"/>
      <c r="BC217" s="2300"/>
      <c r="BD217" s="2301"/>
      <c r="BE217" s="1215"/>
    </row>
    <row r="218" spans="1:57" ht="15.75" customHeight="1">
      <c r="A218" s="1208"/>
      <c r="B218" s="2302" t="s">
        <v>2235</v>
      </c>
      <c r="C218" s="2303"/>
      <c r="D218" s="2303"/>
      <c r="E218" s="2303"/>
      <c r="F218" s="2303"/>
      <c r="G218" s="2303"/>
      <c r="H218" s="2303"/>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303"/>
      <c r="AD218" s="2303"/>
      <c r="AE218" s="2303"/>
      <c r="AF218" s="2303"/>
      <c r="AG218" s="2303"/>
      <c r="AH218" s="2303"/>
      <c r="AI218" s="2303"/>
      <c r="AJ218" s="2303"/>
      <c r="AK218" s="2303"/>
      <c r="AL218" s="2303"/>
      <c r="AM218" s="2303"/>
      <c r="AN218" s="2303"/>
      <c r="AO218" s="2303"/>
      <c r="AP218" s="2303"/>
      <c r="AQ218" s="2303"/>
      <c r="AR218" s="2303"/>
      <c r="AS218" s="2303"/>
      <c r="AT218" s="2303"/>
      <c r="AU218" s="2303"/>
      <c r="AV218" s="2303"/>
      <c r="AW218" s="2303"/>
      <c r="AX218" s="2303"/>
      <c r="AY218" s="2303"/>
      <c r="AZ218" s="2303"/>
      <c r="BA218" s="2303"/>
      <c r="BB218" s="2303"/>
      <c r="BC218" s="2303"/>
      <c r="BD218" s="2304"/>
      <c r="BE218" s="1215"/>
    </row>
    <row r="219" spans="1:57" ht="15.75" customHeight="1">
      <c r="A219" s="1208"/>
      <c r="B219" s="2302" t="s">
        <v>2234</v>
      </c>
      <c r="C219" s="2303"/>
      <c r="D219" s="2303"/>
      <c r="E219" s="2303"/>
      <c r="F219" s="2303"/>
      <c r="G219" s="2303"/>
      <c r="H219" s="2303"/>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303"/>
      <c r="AD219" s="2303"/>
      <c r="AE219" s="2303"/>
      <c r="AF219" s="2303"/>
      <c r="AG219" s="2303"/>
      <c r="AH219" s="2303"/>
      <c r="AI219" s="2303"/>
      <c r="AJ219" s="2303"/>
      <c r="AK219" s="2303"/>
      <c r="AL219" s="2303"/>
      <c r="AM219" s="2303"/>
      <c r="AN219" s="2303"/>
      <c r="AO219" s="2303"/>
      <c r="AP219" s="2303"/>
      <c r="AQ219" s="2303"/>
      <c r="AR219" s="2303"/>
      <c r="AS219" s="2303"/>
      <c r="AT219" s="2303"/>
      <c r="AU219" s="2303"/>
      <c r="AV219" s="2303"/>
      <c r="AW219" s="2303"/>
      <c r="AX219" s="2303"/>
      <c r="AY219" s="2303"/>
      <c r="AZ219" s="2303"/>
      <c r="BA219" s="2303"/>
      <c r="BB219" s="2303"/>
      <c r="BC219" s="2303"/>
      <c r="BD219" s="23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5" t="s">
        <v>2233</v>
      </c>
      <c r="C221" s="2195"/>
      <c r="D221" s="2195"/>
      <c r="E221" s="2195"/>
      <c r="F221" s="2195"/>
      <c r="G221" s="2195"/>
      <c r="H221" s="2195"/>
      <c r="I221" s="2195"/>
      <c r="J221" s="2195"/>
      <c r="K221" s="2195"/>
      <c r="L221" s="2195"/>
      <c r="M221" s="2195"/>
      <c r="N221" s="2195"/>
      <c r="O221" s="2195"/>
      <c r="P221" s="2195"/>
      <c r="Q221" s="2195"/>
      <c r="R221" s="2195"/>
      <c r="S221" s="2195"/>
      <c r="T221" s="2195"/>
      <c r="U221" s="2195"/>
      <c r="V221" s="2195"/>
      <c r="W221" s="2195"/>
      <c r="X221" s="2195"/>
      <c r="Y221" s="2195"/>
      <c r="Z221" s="2195"/>
      <c r="AA221" s="2195"/>
      <c r="AB221" s="2195"/>
      <c r="AC221" s="2195"/>
      <c r="AD221" s="2195"/>
      <c r="AE221" s="2195"/>
      <c r="AF221" s="2195"/>
      <c r="AG221" s="2195"/>
      <c r="AH221" s="2195"/>
      <c r="AI221" s="2195"/>
      <c r="AJ221" s="2195"/>
      <c r="AK221" s="2195"/>
      <c r="AL221" s="2195"/>
      <c r="AM221" s="2195"/>
      <c r="AN221" s="2195"/>
      <c r="AO221" s="2195"/>
      <c r="AP221" s="2195"/>
      <c r="AQ221" s="2195"/>
      <c r="AR221" s="2195"/>
      <c r="AS221" s="2195"/>
      <c r="AT221" s="2195"/>
      <c r="AU221" s="2195"/>
      <c r="AV221" s="2195"/>
      <c r="AW221" s="2195"/>
      <c r="AX221" s="2195"/>
      <c r="AY221" s="2195"/>
      <c r="AZ221" s="2195"/>
      <c r="BA221" s="2195"/>
      <c r="BB221" s="2195"/>
      <c r="BC221" s="2195"/>
      <c r="BD221" s="23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7" t="s">
        <v>2231</v>
      </c>
      <c r="I225" s="2307"/>
      <c r="J225" s="2307"/>
      <c r="K225" s="2307"/>
      <c r="L225" s="2307"/>
      <c r="M225" s="2307"/>
      <c r="N225" s="2307"/>
      <c r="O225" s="2307"/>
      <c r="P225" s="2307"/>
      <c r="Q225" s="2307"/>
      <c r="R225" s="2307"/>
      <c r="S225" s="2307"/>
      <c r="T225" s="2307"/>
      <c r="U225" s="2307"/>
      <c r="V225" s="2307"/>
      <c r="W225" s="2307"/>
      <c r="X225" s="2307"/>
      <c r="Y225" s="2307"/>
      <c r="Z225" s="2307"/>
      <c r="AA225" s="2307"/>
      <c r="AB225" s="2307"/>
      <c r="AC225" s="2307"/>
      <c r="AD225" s="2307"/>
      <c r="AE225" s="2307"/>
      <c r="AF225" s="2307"/>
      <c r="AG225" s="2307"/>
      <c r="AH225" s="2307"/>
      <c r="AI225" s="2307"/>
      <c r="AJ225" s="2307"/>
      <c r="AK225" s="2307"/>
      <c r="AL225" s="2307"/>
      <c r="AM225" s="2307"/>
      <c r="AN225" s="2307"/>
      <c r="AO225" s="2307"/>
      <c r="AP225" s="2307"/>
      <c r="AQ225" s="2307"/>
      <c r="AR225" s="2307"/>
      <c r="AS225" s="2307"/>
      <c r="AT225" s="2307"/>
      <c r="AU225" s="2307"/>
      <c r="AV225" s="2307"/>
      <c r="AW225" s="2307"/>
      <c r="AX225" s="2307"/>
      <c r="AY225" s="23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5" t="s">
        <v>2230</v>
      </c>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2325"/>
      <c r="AD227" s="2325"/>
      <c r="AE227" s="2325"/>
      <c r="AF227" s="2325"/>
      <c r="AG227" s="2325"/>
      <c r="AH227" s="2325"/>
      <c r="AI227" s="2325"/>
      <c r="AJ227" s="2325"/>
      <c r="AK227" s="2325"/>
      <c r="AL227" s="2325"/>
      <c r="AM227" s="2325"/>
      <c r="AN227" s="2325"/>
      <c r="AO227" s="2325"/>
      <c r="AP227" s="2325"/>
      <c r="AQ227" s="2325"/>
      <c r="AR227" s="2325"/>
      <c r="AS227" s="2325"/>
      <c r="AT227" s="2325"/>
      <c r="AU227" s="2325"/>
      <c r="AV227" s="2325"/>
      <c r="AW227" s="2325"/>
      <c r="AX227" s="2325"/>
      <c r="AY227" s="2325"/>
      <c r="AZ227" s="2325"/>
      <c r="BA227" s="1208"/>
      <c r="BB227" s="1208"/>
      <c r="BC227" s="1208"/>
      <c r="BD227" s="1215"/>
      <c r="BE227" s="1215"/>
    </row>
    <row r="228" spans="1:57" ht="15.75" customHeight="1">
      <c r="A228" s="1208"/>
      <c r="B228" s="1207"/>
      <c r="C228" s="1208"/>
      <c r="D228" s="1208"/>
      <c r="E228" s="1208"/>
      <c r="F228" s="1208"/>
      <c r="G228" s="1208"/>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325"/>
      <c r="AD228" s="2325"/>
      <c r="AE228" s="2325"/>
      <c r="AF228" s="2325"/>
      <c r="AG228" s="2325"/>
      <c r="AH228" s="2325"/>
      <c r="AI228" s="2325"/>
      <c r="AJ228" s="2325"/>
      <c r="AK228" s="2325"/>
      <c r="AL228" s="2325"/>
      <c r="AM228" s="2325"/>
      <c r="AN228" s="2325"/>
      <c r="AO228" s="2325"/>
      <c r="AP228" s="2325"/>
      <c r="AQ228" s="2325"/>
      <c r="AR228" s="2325"/>
      <c r="AS228" s="2325"/>
      <c r="AT228" s="2325"/>
      <c r="AU228" s="2325"/>
      <c r="AV228" s="2325"/>
      <c r="AW228" s="2325"/>
      <c r="AX228" s="2325"/>
      <c r="AY228" s="2325"/>
      <c r="AZ228" s="2325"/>
      <c r="BA228" s="1208"/>
      <c r="BB228" s="1208"/>
      <c r="BC228" s="1208"/>
      <c r="BD228" s="1215"/>
      <c r="BE228" s="1215"/>
    </row>
    <row r="229" spans="1:57" ht="15.75" customHeight="1">
      <c r="A229" s="1208"/>
      <c r="B229" s="1207"/>
      <c r="C229" s="1208"/>
      <c r="D229" s="1208"/>
      <c r="E229" s="1208"/>
      <c r="F229" s="1208"/>
      <c r="G229" s="1208"/>
      <c r="H229" s="2325"/>
      <c r="I229" s="2325"/>
      <c r="J229" s="2325"/>
      <c r="K229" s="2325"/>
      <c r="L229" s="2325"/>
      <c r="M229" s="2325"/>
      <c r="N229" s="2325"/>
      <c r="O229" s="2325"/>
      <c r="P229" s="2325"/>
      <c r="Q229" s="2325"/>
      <c r="R229" s="2325"/>
      <c r="S229" s="2325"/>
      <c r="T229" s="2325"/>
      <c r="U229" s="2325"/>
      <c r="V229" s="2325"/>
      <c r="W229" s="2325"/>
      <c r="X229" s="2325"/>
      <c r="Y229" s="2325"/>
      <c r="Z229" s="2325"/>
      <c r="AA229" s="2325"/>
      <c r="AB229" s="2325"/>
      <c r="AC229" s="2325"/>
      <c r="AD229" s="2325"/>
      <c r="AE229" s="2325"/>
      <c r="AF229" s="2325"/>
      <c r="AG229" s="2325"/>
      <c r="AH229" s="2325"/>
      <c r="AI229" s="2325"/>
      <c r="AJ229" s="2325"/>
      <c r="AK229" s="2325"/>
      <c r="AL229" s="2325"/>
      <c r="AM229" s="2325"/>
      <c r="AN229" s="2325"/>
      <c r="AO229" s="2325"/>
      <c r="AP229" s="2325"/>
      <c r="AQ229" s="2325"/>
      <c r="AR229" s="2325"/>
      <c r="AS229" s="2325"/>
      <c r="AT229" s="2325"/>
      <c r="AU229" s="2325"/>
      <c r="AV229" s="2325"/>
      <c r="AW229" s="2325"/>
      <c r="AX229" s="2325"/>
      <c r="AY229" s="2325"/>
      <c r="AZ229" s="2325"/>
      <c r="BA229" s="1208"/>
      <c r="BB229" s="1208"/>
      <c r="BC229" s="1208"/>
      <c r="BD229" s="1215"/>
      <c r="BE229" s="1215"/>
    </row>
    <row r="230" spans="1:57" ht="15.75" customHeight="1">
      <c r="A230" s="1208"/>
      <c r="B230" s="1207"/>
      <c r="C230" s="1208"/>
      <c r="D230" s="1208"/>
      <c r="E230" s="1208"/>
      <c r="F230" s="1208"/>
      <c r="G230" s="1208"/>
      <c r="H230" s="2325"/>
      <c r="I230" s="2325"/>
      <c r="J230" s="2325"/>
      <c r="K230" s="2325"/>
      <c r="L230" s="2325"/>
      <c r="M230" s="2325"/>
      <c r="N230" s="2325"/>
      <c r="O230" s="2325"/>
      <c r="P230" s="2325"/>
      <c r="Q230" s="2325"/>
      <c r="R230" s="2325"/>
      <c r="S230" s="2325"/>
      <c r="T230" s="2325"/>
      <c r="U230" s="2325"/>
      <c r="V230" s="2325"/>
      <c r="W230" s="2325"/>
      <c r="X230" s="2325"/>
      <c r="Y230" s="2325"/>
      <c r="Z230" s="2325"/>
      <c r="AA230" s="2325"/>
      <c r="AB230" s="2325"/>
      <c r="AC230" s="2325"/>
      <c r="AD230" s="2325"/>
      <c r="AE230" s="2325"/>
      <c r="AF230" s="2325"/>
      <c r="AG230" s="2325"/>
      <c r="AH230" s="2325"/>
      <c r="AI230" s="2325"/>
      <c r="AJ230" s="2325"/>
      <c r="AK230" s="2325"/>
      <c r="AL230" s="2325"/>
      <c r="AM230" s="2325"/>
      <c r="AN230" s="2325"/>
      <c r="AO230" s="2325"/>
      <c r="AP230" s="2325"/>
      <c r="AQ230" s="2325"/>
      <c r="AR230" s="2325"/>
      <c r="AS230" s="2325"/>
      <c r="AT230" s="2325"/>
      <c r="AU230" s="2325"/>
      <c r="AV230" s="2325"/>
      <c r="AW230" s="2325"/>
      <c r="AX230" s="2325"/>
      <c r="AY230" s="2325"/>
      <c r="AZ230" s="232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6" t="s">
        <v>2229</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6" t="s">
        <v>2228</v>
      </c>
      <c r="I234" s="2316"/>
      <c r="J234" s="2316"/>
      <c r="K234" s="2316"/>
      <c r="L234" s="1259"/>
      <c r="M234" s="1259"/>
      <c r="N234" s="1259"/>
      <c r="O234" s="1259"/>
      <c r="P234" s="1259"/>
      <c r="Q234" s="1259"/>
      <c r="R234" s="1259"/>
      <c r="S234" s="2327"/>
      <c r="T234" s="2328"/>
      <c r="U234" s="2328"/>
      <c r="V234" s="2328"/>
      <c r="W234" s="2328"/>
      <c r="X234" s="2328"/>
      <c r="Y234" s="2328"/>
      <c r="Z234" s="2328"/>
      <c r="AA234" s="2328"/>
      <c r="AB234" s="2328"/>
      <c r="AC234" s="2328"/>
      <c r="AD234" s="2328"/>
      <c r="AE234" s="2328"/>
      <c r="AF234" s="2328"/>
      <c r="AG234" s="2328"/>
      <c r="AH234" s="2328"/>
      <c r="AI234" s="2328"/>
      <c r="AJ234" s="232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6" t="s">
        <v>2227</v>
      </c>
      <c r="I236" s="2316"/>
      <c r="J236" s="2316"/>
      <c r="K236" s="1261"/>
      <c r="L236" s="1259"/>
      <c r="M236" s="1259"/>
      <c r="N236" s="1259"/>
      <c r="O236" s="1259"/>
      <c r="P236" s="1259"/>
      <c r="Q236" s="1259"/>
      <c r="R236" s="1259"/>
      <c r="S236" s="2317"/>
      <c r="T236" s="2318"/>
      <c r="U236" s="2318"/>
      <c r="V236" s="2318"/>
      <c r="W236" s="2318"/>
      <c r="X236" s="2318"/>
      <c r="Y236" s="2318"/>
      <c r="Z236" s="2318"/>
      <c r="AA236" s="2318"/>
      <c r="AB236" s="2318"/>
      <c r="AC236" s="2318"/>
      <c r="AD236" s="2318"/>
      <c r="AE236" s="2318"/>
      <c r="AF236" s="2318"/>
      <c r="AG236" s="2318"/>
      <c r="AH236" s="2318"/>
      <c r="AI236" s="2318"/>
      <c r="AJ236" s="231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6" t="s">
        <v>441</v>
      </c>
      <c r="I238" s="2316"/>
      <c r="J238" s="1261"/>
      <c r="K238" s="1261"/>
      <c r="L238" s="1259"/>
      <c r="M238" s="1259"/>
      <c r="N238" s="1259"/>
      <c r="O238" s="1259"/>
      <c r="P238" s="1259"/>
      <c r="Q238" s="1259"/>
      <c r="R238" s="1259"/>
      <c r="S238" s="2317"/>
      <c r="T238" s="2318"/>
      <c r="U238" s="2318"/>
      <c r="V238" s="2318"/>
      <c r="W238" s="2318"/>
      <c r="X238" s="2318"/>
      <c r="Y238" s="2318"/>
      <c r="Z238" s="2318"/>
      <c r="AA238" s="2318"/>
      <c r="AB238" s="2318"/>
      <c r="AC238" s="2318"/>
      <c r="AD238" s="2318"/>
      <c r="AE238" s="2318"/>
      <c r="AF238" s="2318"/>
      <c r="AG238" s="2318"/>
      <c r="AH238" s="2318"/>
      <c r="AI238" s="2318"/>
      <c r="AJ238" s="231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0" t="s">
        <v>2226</v>
      </c>
      <c r="I240" s="2320"/>
      <c r="J240" s="2320"/>
      <c r="K240" s="2320"/>
      <c r="L240" s="2320"/>
      <c r="M240" s="2320"/>
      <c r="N240" s="2320"/>
      <c r="O240" s="2320"/>
      <c r="P240" s="1259"/>
      <c r="Q240" s="1259"/>
      <c r="R240" s="1259"/>
      <c r="S240" s="2317"/>
      <c r="T240" s="2318"/>
      <c r="U240" s="2318"/>
      <c r="V240" s="2318"/>
      <c r="W240" s="2318"/>
      <c r="X240" s="2318"/>
      <c r="Y240" s="2318"/>
      <c r="Z240" s="2318"/>
      <c r="AA240" s="2318"/>
      <c r="AB240" s="2318"/>
      <c r="AC240" s="2318"/>
      <c r="AD240" s="2318"/>
      <c r="AE240" s="2318"/>
      <c r="AF240" s="2318"/>
      <c r="AG240" s="2318"/>
      <c r="AH240" s="2318"/>
      <c r="AI240" s="2318"/>
      <c r="AJ240" s="231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1" t="s">
        <v>2225</v>
      </c>
      <c r="I242" s="2321"/>
      <c r="J242" s="1259"/>
      <c r="K242" s="1259"/>
      <c r="L242" s="1259"/>
      <c r="M242" s="1259"/>
      <c r="N242" s="1259"/>
      <c r="O242" s="1259"/>
      <c r="P242" s="1259"/>
      <c r="Q242" s="1259"/>
      <c r="R242" s="1259"/>
      <c r="S242" s="2322"/>
      <c r="T242" s="2323"/>
      <c r="U242" s="2323"/>
      <c r="V242" s="2323"/>
      <c r="W242" s="2323"/>
      <c r="X242" s="2323"/>
      <c r="Y242" s="2323"/>
      <c r="Z242" s="2323"/>
      <c r="AA242" s="2323"/>
      <c r="AB242" s="2323"/>
      <c r="AC242" s="2323"/>
      <c r="AD242" s="2323"/>
      <c r="AE242" s="2323"/>
      <c r="AF242" s="2323"/>
      <c r="AG242" s="2323"/>
      <c r="AH242" s="2323"/>
      <c r="AI242" s="2323"/>
      <c r="AJ242" s="232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 zoomScale="85" zoomScaleNormal="85" workbookViewId="0">
      <selection activeCell="AN49" sqref="AN49"/>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7" t="s">
        <v>1280</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43" t="s">
        <v>375</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124371890</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5" customHeight="1">
      <c r="B12" s="2381" t="s">
        <v>497</v>
      </c>
      <c r="C12" s="1309"/>
      <c r="D12" s="1309"/>
      <c r="E12" s="1309"/>
      <c r="F12" s="1309"/>
      <c r="G12" s="1309"/>
      <c r="H12" s="1309"/>
      <c r="I12" s="1309"/>
      <c r="J12" s="1309"/>
      <c r="K12" s="1309"/>
      <c r="L12" s="1309"/>
      <c r="M12" s="1309"/>
      <c r="N12" s="1309"/>
      <c r="O12" s="1309"/>
      <c r="P12" s="1309"/>
      <c r="Q12" s="1309"/>
      <c r="R12" s="1309"/>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5" customHeight="1">
      <c r="B13" s="435"/>
      <c r="C13" s="2383" t="s">
        <v>498</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83" t="s">
        <v>499</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5" customHeight="1">
      <c r="B15" s="435"/>
      <c r="C15" s="2383" t="s">
        <v>500</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5" customHeight="1">
      <c r="B16" s="435"/>
      <c r="C16" s="2383" t="s">
        <v>805</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5" customHeight="1">
      <c r="B17" s="435"/>
      <c r="C17" s="2383" t="s">
        <v>501</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5" customHeight="1">
      <c r="A18"/>
      <c r="B18" s="1144"/>
      <c r="C18" s="1585" t="s">
        <v>960</v>
      </c>
      <c r="D18" s="1585"/>
      <c r="E18" s="1585"/>
      <c r="F18" s="1585"/>
      <c r="G18" s="1585"/>
      <c r="H18" s="1585"/>
      <c r="I18" s="1585"/>
      <c r="J18" s="1585"/>
      <c r="K18" s="1585"/>
      <c r="L18" s="1585"/>
      <c r="M18" s="1585"/>
      <c r="N18" s="1585"/>
      <c r="O18" s="1585"/>
      <c r="P18" s="1585"/>
      <c r="Q18" s="1585"/>
      <c r="R18" s="1585"/>
      <c r="S18" s="1586"/>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5" customHeight="1">
      <c r="B19" s="1144"/>
      <c r="C19" s="1585" t="s">
        <v>960</v>
      </c>
      <c r="D19" s="1585"/>
      <c r="E19" s="1585"/>
      <c r="F19" s="1585"/>
      <c r="G19" s="1585"/>
      <c r="H19" s="1585"/>
      <c r="I19" s="1585"/>
      <c r="J19" s="1585"/>
      <c r="K19" s="1585"/>
      <c r="L19" s="1585"/>
      <c r="M19" s="1585"/>
      <c r="N19" s="1585"/>
      <c r="O19" s="1585"/>
      <c r="P19" s="1585"/>
      <c r="Q19" s="1585"/>
      <c r="R19" s="1585"/>
      <c r="S19" s="1586"/>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5" customHeight="1">
      <c r="B20" s="2343" t="s">
        <v>502</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5" customHeight="1">
      <c r="B21" s="2343" t="s">
        <v>1263</v>
      </c>
      <c r="C21" s="2344"/>
      <c r="D21" s="2344"/>
      <c r="E21" s="2344"/>
      <c r="F21" s="2344"/>
      <c r="G21" s="2344"/>
      <c r="H21" s="2344"/>
      <c r="I21" s="2344"/>
      <c r="J21" s="2344"/>
      <c r="K21" s="2344"/>
      <c r="L21" s="2344"/>
      <c r="M21" s="2344"/>
      <c r="N21" s="2344"/>
      <c r="O21" s="2344"/>
      <c r="P21" s="2344"/>
      <c r="Q21" s="2344"/>
      <c r="R21" s="2344"/>
      <c r="S21" s="2345"/>
      <c r="T21" s="2365">
        <v>0</v>
      </c>
      <c r="U21" s="2366"/>
      <c r="V21" s="2366"/>
      <c r="W21" s="2366"/>
      <c r="X21" s="2366"/>
      <c r="Y21" s="2365">
        <v>0</v>
      </c>
      <c r="Z21" s="2366"/>
      <c r="AA21" s="2366"/>
      <c r="AB21" s="2366"/>
      <c r="AC21" s="2366"/>
      <c r="AD21" s="2372"/>
      <c r="AE21" s="2373"/>
      <c r="AF21" s="2373"/>
      <c r="AG21" s="2373"/>
      <c r="AH21" s="2374"/>
      <c r="AI21" s="2372"/>
      <c r="AJ21" s="2373"/>
      <c r="AK21" s="2373"/>
      <c r="AL21" s="2373"/>
      <c r="AM21" s="2374"/>
    </row>
    <row r="22" spans="1:40" ht="12.95" customHeight="1">
      <c r="B22" s="2343" t="s">
        <v>503</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43" t="s">
        <v>504</v>
      </c>
      <c r="C23" s="2344"/>
      <c r="D23" s="2344"/>
      <c r="E23" s="2344"/>
      <c r="F23" s="2344"/>
      <c r="G23" s="2344"/>
      <c r="H23" s="2344"/>
      <c r="I23" s="2344"/>
      <c r="J23" s="2344"/>
      <c r="K23" s="2344"/>
      <c r="L23" s="2344"/>
      <c r="M23" s="2344"/>
      <c r="N23" s="2344"/>
      <c r="O23" s="2344"/>
      <c r="P23" s="2344"/>
      <c r="Q23" s="2344"/>
      <c r="R23" s="2344"/>
      <c r="S23" s="2345"/>
      <c r="T23" s="2356">
        <f>T11+T22</f>
        <v>124371890</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2.95" customHeight="1">
      <c r="B24" s="2343" t="s">
        <v>961</v>
      </c>
      <c r="C24" s="2344"/>
      <c r="D24" s="2344"/>
      <c r="E24" s="2344"/>
      <c r="F24" s="2344"/>
      <c r="G24" s="2344"/>
      <c r="H24" s="2344"/>
      <c r="I24" s="2344"/>
      <c r="J24" s="2344"/>
      <c r="K24" s="2344"/>
      <c r="L24" s="2344"/>
      <c r="M24" s="2344"/>
      <c r="N24" s="2344"/>
      <c r="O24" s="2344"/>
      <c r="P24" s="2344"/>
      <c r="Q24" s="2344"/>
      <c r="R24" s="2344"/>
      <c r="S24" s="2345"/>
      <c r="T24" s="2347">
        <f>Application!AJ1062</f>
        <v>307784323.07999998</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5" customHeight="1">
      <c r="B25" s="2387" t="s">
        <v>1264</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43" t="s">
        <v>505</v>
      </c>
      <c r="C26" s="2344"/>
      <c r="D26" s="2344"/>
      <c r="E26" s="2344"/>
      <c r="F26" s="2344"/>
      <c r="G26" s="2344"/>
      <c r="H26" s="2344"/>
      <c r="I26" s="2344"/>
      <c r="J26" s="2344"/>
      <c r="K26" s="2344"/>
      <c r="L26" s="2344"/>
      <c r="M26" s="2344"/>
      <c r="N26" s="2344"/>
      <c r="O26" s="2344"/>
      <c r="P26" s="2344"/>
      <c r="Q26" s="2344"/>
      <c r="R26" s="2344"/>
      <c r="S26" s="2345"/>
      <c r="T26" s="2356">
        <f>T23*T25</f>
        <v>161683457</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2.95" customHeight="1">
      <c r="A27" s="410"/>
      <c r="B27" s="2390" t="s">
        <v>426</v>
      </c>
      <c r="C27" s="2391"/>
      <c r="D27" s="2391"/>
      <c r="E27" s="2391"/>
      <c r="F27" s="2391"/>
      <c r="G27" s="2391"/>
      <c r="H27" s="2391"/>
      <c r="I27" s="2391"/>
      <c r="J27" s="2391"/>
      <c r="K27" s="2391"/>
      <c r="L27" s="2391"/>
      <c r="M27" s="2391"/>
      <c r="N27" s="2391"/>
      <c r="O27" s="2391"/>
      <c r="P27" s="2391"/>
      <c r="Q27" s="2391"/>
      <c r="R27" s="2391"/>
      <c r="S27" s="2392"/>
      <c r="T27" s="2367">
        <f>Application!$AG$454</f>
        <v>1</v>
      </c>
      <c r="U27" s="2368"/>
      <c r="V27" s="2368"/>
      <c r="W27" s="2368"/>
      <c r="X27" s="2368"/>
      <c r="Y27" s="2367">
        <f>Application!$AG$454</f>
        <v>1</v>
      </c>
      <c r="Z27" s="2368"/>
      <c r="AA27" s="2368"/>
      <c r="AB27" s="2368"/>
      <c r="AC27" s="2368"/>
      <c r="AD27" s="2367">
        <f>Application!$AG$454</f>
        <v>1</v>
      </c>
      <c r="AE27" s="2368"/>
      <c r="AF27" s="2368"/>
      <c r="AG27" s="2368"/>
      <c r="AH27" s="2368"/>
      <c r="AI27" s="2367">
        <f>Application!$AG$454</f>
        <v>1</v>
      </c>
      <c r="AJ27" s="2368"/>
      <c r="AK27" s="2368"/>
      <c r="AL27" s="2368"/>
      <c r="AM27" s="2368"/>
    </row>
    <row r="28" spans="1:40" ht="12.95"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56">
        <f>IF(ISERROR((T26*T27)),0,(T26*T27))</f>
        <v>161683457</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2.95" customHeight="1">
      <c r="B29" s="2343" t="s">
        <v>523</v>
      </c>
      <c r="C29" s="2344"/>
      <c r="D29" s="2344"/>
      <c r="E29" s="2344"/>
      <c r="F29" s="2344"/>
      <c r="G29" s="2344"/>
      <c r="H29" s="2344"/>
      <c r="I29" s="2344"/>
      <c r="J29" s="2344"/>
      <c r="K29" s="2344"/>
      <c r="L29" s="2344"/>
      <c r="M29" s="2344"/>
      <c r="N29" s="2344"/>
      <c r="O29" s="2344"/>
      <c r="P29" s="2344"/>
      <c r="Q29" s="2344"/>
      <c r="R29" s="2344"/>
      <c r="S29" s="2345"/>
      <c r="T29" s="2347">
        <f>T28+Y28+AD28+AI28</f>
        <v>161683457</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5" customHeight="1">
      <c r="B30" s="2360" t="s">
        <v>1266</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5" customHeight="1">
      <c r="B31" s="2360" t="s">
        <v>1265</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58" t="s">
        <v>369</v>
      </c>
      <c r="AE35" s="2358"/>
      <c r="AF35" s="2358"/>
      <c r="AG35" s="2358"/>
      <c r="AH35" s="2358"/>
    </row>
    <row r="36" spans="1:76" ht="12.95" customHeight="1">
      <c r="B36" s="407"/>
      <c r="X36" s="412"/>
      <c r="Y36" s="2357"/>
      <c r="Z36" s="2357"/>
      <c r="AA36" s="2357"/>
      <c r="AB36" s="2357"/>
      <c r="AC36" s="2357"/>
      <c r="AD36" s="2358"/>
      <c r="AE36" s="2358"/>
      <c r="AF36" s="2358"/>
      <c r="AG36" s="2358"/>
      <c r="AH36" s="235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5"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161683457</v>
      </c>
      <c r="Z38" s="2337"/>
      <c r="AA38" s="2337"/>
      <c r="AB38" s="2337"/>
      <c r="AC38" s="2337"/>
      <c r="AD38" s="2337">
        <f>IF(T24&gt;=(T23+Y23+AD23+AI23),AD28+AI28,0)</f>
        <v>0</v>
      </c>
      <c r="AE38" s="2337"/>
      <c r="AF38" s="2337"/>
      <c r="AG38" s="2337"/>
      <c r="AH38" s="2337"/>
    </row>
    <row r="39" spans="1:76" ht="12.95" customHeight="1">
      <c r="B39" s="2343" t="s">
        <v>1680</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5" customHeight="1">
      <c r="A40" s="404"/>
      <c r="B40" s="2343" t="s">
        <v>642</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6467338</v>
      </c>
      <c r="Z40" s="2337"/>
      <c r="AA40" s="2337"/>
      <c r="AB40" s="2337"/>
      <c r="AC40" s="2337"/>
      <c r="AD40" s="2356">
        <f>ROUND(AD38*AD39,0)</f>
        <v>0</v>
      </c>
      <c r="AE40" s="2337"/>
      <c r="AF40" s="2337"/>
      <c r="AG40" s="2337"/>
      <c r="AH40" s="2337"/>
    </row>
    <row r="41" spans="1:76" ht="12.95" customHeight="1">
      <c r="B41" s="2343" t="s">
        <v>643</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6467338</v>
      </c>
      <c r="Z41" s="2355"/>
      <c r="AA41" s="2355"/>
      <c r="AB41" s="2355"/>
      <c r="AC41" s="2355"/>
      <c r="AD41" s="2355"/>
      <c r="AE41" s="2355"/>
      <c r="AF41" s="2355"/>
      <c r="AG41" s="2355"/>
      <c r="AH41" s="2356"/>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4" t="s">
        <v>1276</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5" customHeight="1" thickTop="1"/>
    <row r="46" spans="1:76" ht="12.95" customHeight="1">
      <c r="A46" s="404" t="s">
        <v>586</v>
      </c>
      <c r="C46" s="404" t="s">
        <v>282</v>
      </c>
    </row>
    <row r="47" spans="1:76" ht="12.95" customHeight="1">
      <c r="D47" s="404" t="s">
        <v>283</v>
      </c>
      <c r="AB47" s="2351">
        <f>'Sources and Uses Budget'!B105-MAX(IF('Sources and Uses Budget'!B15="",0,'Sources and Uses Budget'!B15),IF(Application!AG403="",0,Application!AG403))</f>
        <v>142708832</v>
      </c>
      <c r="AC47" s="2352"/>
      <c r="AD47" s="2352"/>
      <c r="AE47" s="2352"/>
      <c r="AF47" s="2353"/>
    </row>
    <row r="48" spans="1:76" ht="12.95" customHeight="1">
      <c r="D48" s="404" t="s">
        <v>21</v>
      </c>
      <c r="AB48" s="2351">
        <f>Application!AO647-MAX(IF('Sources and Uses Budget'!B15="",0,'Sources and Uses Budget'!B15),IF(Application!AG403="",0,Application!AG403))</f>
        <v>88388625</v>
      </c>
      <c r="AC48" s="2352"/>
      <c r="AD48" s="2352"/>
      <c r="AE48" s="2352"/>
      <c r="AF48" s="2353"/>
    </row>
    <row r="49" spans="1:76" ht="12.95" customHeight="1">
      <c r="D49" s="404" t="s">
        <v>91</v>
      </c>
      <c r="AB49" s="2351">
        <f>AB47-AB48</f>
        <v>54320207</v>
      </c>
      <c r="AC49" s="2352"/>
      <c r="AD49" s="2352"/>
      <c r="AE49" s="2352"/>
      <c r="AF49" s="2353"/>
    </row>
    <row r="50" spans="1:76" ht="12.95" customHeight="1">
      <c r="D50" s="404" t="s">
        <v>681</v>
      </c>
      <c r="AA50" s="415"/>
      <c r="AB50" s="2339">
        <f>AB49/(Y41*10)</f>
        <v>0.83991600562704471</v>
      </c>
      <c r="AC50" s="2340"/>
      <c r="AD50" s="2340"/>
      <c r="AE50" s="2340"/>
      <c r="AF50" s="2341"/>
    </row>
    <row r="51" spans="1:76" s="417" customFormat="1" ht="12.95" customHeight="1">
      <c r="A51" s="402"/>
      <c r="B51" s="402"/>
      <c r="C51" s="402"/>
      <c r="D51" s="402"/>
      <c r="E51" s="2350" t="s">
        <v>2538</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1">
        <f>ROUND(IF(ISERROR((AB49/AB50)),0,(AB49/AB50)),0)</f>
        <v>64673380</v>
      </c>
      <c r="AC54" s="2352"/>
      <c r="AD54" s="2352"/>
      <c r="AE54" s="2352"/>
      <c r="AF54" s="2353"/>
    </row>
    <row r="55" spans="1:76" ht="12.95" customHeight="1">
      <c r="D55" s="404" t="s">
        <v>333</v>
      </c>
      <c r="AB55" s="2351">
        <f>(AB54/10)</f>
        <v>6467338</v>
      </c>
      <c r="AC55" s="2352"/>
      <c r="AD55" s="2352"/>
      <c r="AE55" s="2352"/>
      <c r="AF55" s="2353"/>
    </row>
    <row r="56" spans="1:76" ht="12.95" customHeight="1">
      <c r="D56" s="404" t="s">
        <v>756</v>
      </c>
      <c r="AB56" s="2351">
        <f>ROUND((IF((Y41&lt;AB55),Y41,AB55)),0)</f>
        <v>6467338</v>
      </c>
      <c r="AC56" s="2352"/>
      <c r="AD56" s="2352"/>
      <c r="AE56" s="2352"/>
      <c r="AF56" s="2353"/>
    </row>
    <row r="57" spans="1:76" ht="12.95" customHeight="1">
      <c r="D57" s="404" t="s">
        <v>755</v>
      </c>
      <c r="AB57" s="2351">
        <f>ROUND((10*AB56*AB50),0)</f>
        <v>54320207</v>
      </c>
      <c r="AC57" s="2352"/>
      <c r="AD57" s="2352"/>
      <c r="AE57" s="2352"/>
      <c r="AF57" s="2353"/>
    </row>
    <row r="58" spans="1:76" ht="12.95" customHeight="1">
      <c r="D58" s="404"/>
      <c r="AB58" s="423"/>
      <c r="AC58" s="423"/>
      <c r="AD58" s="423"/>
      <c r="AE58" s="423"/>
      <c r="AF58" s="423"/>
    </row>
    <row r="59" spans="1:76" ht="12.95" customHeight="1">
      <c r="D59" s="404" t="s">
        <v>754</v>
      </c>
      <c r="AB59" s="2335">
        <f>AB49-AB57</f>
        <v>0</v>
      </c>
      <c r="AC59" s="2335"/>
      <c r="AD59" s="2335"/>
      <c r="AE59" s="2335"/>
      <c r="AF59" s="2335"/>
    </row>
    <row r="60" spans="1:76" ht="12.95" customHeight="1">
      <c r="D60" s="404"/>
      <c r="AB60" s="423"/>
      <c r="AC60" s="423"/>
      <c r="AD60" s="423"/>
      <c r="AE60" s="423"/>
      <c r="AF60" s="423"/>
    </row>
    <row r="61" spans="1:76" s="204" customFormat="1" ht="12.9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5" customHeight="1" thickTop="1"/>
    <row r="63" spans="1:76" ht="12.95" customHeight="1">
      <c r="A63" s="404" t="s">
        <v>589</v>
      </c>
      <c r="C63" s="205" t="s">
        <v>1248</v>
      </c>
      <c r="Y63" s="2346" t="s">
        <v>984</v>
      </c>
      <c r="Z63" s="2346"/>
      <c r="AA63" s="2346"/>
      <c r="AB63" s="2346"/>
      <c r="AC63" s="2346"/>
      <c r="AD63" s="2346" t="s">
        <v>369</v>
      </c>
      <c r="AE63" s="2346"/>
      <c r="AF63" s="2346"/>
      <c r="AG63" s="2346"/>
      <c r="AH63" s="2346"/>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0</v>
      </c>
      <c r="Z64" s="2348"/>
      <c r="AA64" s="2348"/>
      <c r="AB64" s="2348"/>
      <c r="AC64" s="2349"/>
      <c r="AD64" s="2347">
        <f>IF(AND(OR(Application!D211="At-Risk",Application!D211="At-Risk and Special Needs"),Application!M367="yes"),AD28+AI28,0)</f>
        <v>0</v>
      </c>
      <c r="AE64" s="2348"/>
      <c r="AF64" s="2348"/>
      <c r="AG64" s="2348"/>
      <c r="AH64" s="2349"/>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v>
      </c>
      <c r="Z67" s="2336"/>
      <c r="AA67" s="2336"/>
      <c r="AB67" s="2336"/>
      <c r="AC67" s="2336"/>
      <c r="AD67" s="2336">
        <f>IF(Application!Z205="15% set-aside with qualifying low value rehab", 0.95,IF(OR(Application!D211="At-Risk",'Points System'!B26="Yes"),0.13,0))</f>
        <v>0</v>
      </c>
      <c r="AE67" s="2336"/>
      <c r="AF67" s="2336"/>
      <c r="AG67" s="2336"/>
      <c r="AH67" s="2336"/>
    </row>
    <row r="68" spans="1:37" ht="12.95" customHeight="1">
      <c r="C68" s="404"/>
      <c r="D68" s="205" t="s">
        <v>2180</v>
      </c>
      <c r="Y68" s="2337">
        <f>IF(AND(T25=1.3,OR(Y67=0.13,Y67=0.95),NOT(Application!T212&gt;=50%)),0,ROUND(Y64*Y67,0))</f>
        <v>0</v>
      </c>
      <c r="Z68" s="2338"/>
      <c r="AA68" s="2338"/>
      <c r="AB68" s="2338"/>
      <c r="AC68" s="2338"/>
      <c r="AD68" s="2337">
        <f>IF(AND(T25=1.3,AD67&gt;0,NOT(Application!T212&gt;=50%)),0,ROUND(AD64*AD67,0))</f>
        <v>0</v>
      </c>
      <c r="AE68" s="2338"/>
      <c r="AF68" s="2338"/>
      <c r="AG68" s="2338"/>
      <c r="AH68" s="2338"/>
      <c r="AK68" s="1192"/>
    </row>
    <row r="69" spans="1:37" ht="12.95" customHeight="1">
      <c r="C69" s="404"/>
      <c r="D69" s="205" t="s">
        <v>2181</v>
      </c>
      <c r="Y69" s="2337">
        <f>IF(OR(Application!Z205="State Farmworker Credit",Application!Z205="$500M (Farmworker Housing)"),Y68+AD68,MIN(Y68+AD68,200000*(Application!G761+Application!O785)))</f>
        <v>0</v>
      </c>
      <c r="Z69" s="2337"/>
      <c r="AA69" s="2337"/>
      <c r="AB69" s="2337"/>
      <c r="AC69" s="2337"/>
      <c r="AD69" s="2337"/>
      <c r="AE69" s="2337"/>
      <c r="AF69" s="2337"/>
      <c r="AG69" s="2337"/>
      <c r="AH69" s="2337"/>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9"/>
      <c r="AC72" s="2340"/>
      <c r="AD72" s="2340"/>
      <c r="AE72" s="2340"/>
      <c r="AF72" s="2341"/>
    </row>
    <row r="73" spans="1:37" ht="12.95" customHeight="1">
      <c r="A73" s="404"/>
      <c r="C73" s="404"/>
      <c r="D73" s="404"/>
      <c r="E73" s="2342" t="s">
        <v>1251</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7" ht="12.9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7" ht="12.9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30">
        <f>ROUND(IF(ISERROR((AB59/AB72)),0,(AB59/AB72)),0)</f>
        <v>0</v>
      </c>
      <c r="AC77" s="2330"/>
      <c r="AD77" s="2330"/>
      <c r="AE77" s="2330"/>
      <c r="AF77" s="2330"/>
    </row>
    <row r="78" spans="1:37" ht="12.95" customHeight="1">
      <c r="C78" s="404"/>
      <c r="D78" s="205" t="s">
        <v>1253</v>
      </c>
      <c r="AB78" s="2331">
        <f>ROUNDUP(MIN(Y69,AB77),0)</f>
        <v>0</v>
      </c>
      <c r="AC78" s="2332"/>
      <c r="AD78" s="2332"/>
      <c r="AE78" s="2332"/>
      <c r="AF78" s="2333"/>
    </row>
    <row r="79" spans="1:37" ht="12.95" customHeight="1">
      <c r="C79" s="404"/>
      <c r="D79" s="205" t="s">
        <v>1254</v>
      </c>
      <c r="AB79" s="2334">
        <f>AB78*AB72</f>
        <v>0</v>
      </c>
      <c r="AC79" s="2334"/>
      <c r="AD79" s="2334"/>
      <c r="AE79" s="2334"/>
      <c r="AF79" s="2334"/>
    </row>
    <row r="80" spans="1:37" ht="12.95" customHeight="1">
      <c r="C80" s="404"/>
      <c r="D80" s="404"/>
      <c r="AB80" s="425"/>
      <c r="AC80" s="425"/>
      <c r="AD80" s="425"/>
      <c r="AE80" s="425"/>
      <c r="AF80" s="425"/>
    </row>
    <row r="81" spans="1:78" ht="12.95" customHeight="1">
      <c r="D81" s="404" t="s">
        <v>754</v>
      </c>
      <c r="AB81" s="2335">
        <f>AB49-(AB57+AB79)</f>
        <v>0</v>
      </c>
      <c r="AC81" s="2335"/>
      <c r="AD81" s="2335"/>
      <c r="AE81" s="2335"/>
      <c r="AF81" s="2335"/>
    </row>
    <row r="82" spans="1:78" ht="12.95" customHeight="1">
      <c r="F82" s="522"/>
      <c r="J82" s="522" t="str">
        <f>IF(AB81&gt;0,"FUNDING GAP MUST NOT EXCEED ZERO","")</f>
        <v/>
      </c>
    </row>
    <row r="83" spans="1:78" ht="12.95" customHeight="1">
      <c r="D83" s="523"/>
    </row>
    <row r="84" spans="1:78" ht="12.9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5" customHeight="1" thickTop="1"/>
    <row r="86" spans="1:78" ht="12.95" hidden="1" customHeight="1">
      <c r="A86" s="404"/>
      <c r="C86" s="205"/>
    </row>
    <row r="87" spans="1:78" ht="12.95" hidden="1" customHeight="1">
      <c r="D87" s="205"/>
      <c r="AB87" s="2386"/>
      <c r="AC87" s="2386"/>
      <c r="AD87" s="2386"/>
      <c r="AE87" s="2386"/>
      <c r="AF87" s="2386"/>
    </row>
    <row r="88" spans="1:78" ht="12.95" hidden="1"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4" zoomScale="85" zoomScaleNormal="85" workbookViewId="0">
      <selection activeCell="AK125" sqref="AK12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9" t="s">
        <v>1299</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1"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2" t="s">
        <v>1303</v>
      </c>
      <c r="AF7" s="2422"/>
      <c r="AG7" s="2422"/>
      <c r="AH7" s="2422"/>
      <c r="AI7" s="2422"/>
      <c r="AJ7" s="2422"/>
      <c r="AK7" s="2422"/>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4" t="s">
        <v>591</v>
      </c>
      <c r="C12" s="2394"/>
      <c r="D12" s="540"/>
      <c r="E12" s="2410" t="s">
        <v>2552</v>
      </c>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2"/>
      <c r="AK12" s="540"/>
      <c r="AL12" s="540"/>
      <c r="AM12" s="540"/>
      <c r="AN12" s="535"/>
      <c r="AO12" s="557"/>
    </row>
    <row r="13" spans="1:41" s="536" customFormat="1" ht="12.75" customHeight="1">
      <c r="A13" s="540"/>
      <c r="D13" s="546"/>
      <c r="E13" s="2439"/>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1"/>
      <c r="AK13" s="540"/>
      <c r="AL13" s="540"/>
      <c r="AM13" s="540"/>
      <c r="AN13" s="535"/>
      <c r="AO13" s="557"/>
    </row>
    <row r="14" spans="1:41" s="536" customFormat="1" ht="12.75" customHeight="1">
      <c r="A14" s="540"/>
      <c r="D14" s="540"/>
      <c r="E14" s="2413"/>
      <c r="F14" s="2414"/>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c r="AH14" s="2414"/>
      <c r="AI14" s="2414"/>
      <c r="AJ14" s="241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4" t="s">
        <v>591</v>
      </c>
      <c r="C16" s="2394"/>
      <c r="D16" s="540"/>
      <c r="E16" s="2410" t="s">
        <v>2553</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row>
    <row r="17" spans="1:50" s="536" customFormat="1" ht="12.75" customHeight="1">
      <c r="A17" s="540"/>
      <c r="B17" s="540"/>
      <c r="C17" s="540"/>
      <c r="D17" s="540"/>
      <c r="E17" s="2439"/>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1"/>
      <c r="AK17" s="540"/>
      <c r="AL17" s="540"/>
      <c r="AM17" s="540"/>
      <c r="AN17" s="535"/>
    </row>
    <row r="18" spans="1:50" s="536" customFormat="1" ht="12.75" customHeight="1">
      <c r="A18" s="540"/>
      <c r="B18" s="540"/>
      <c r="C18" s="1135"/>
      <c r="D18" s="540"/>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4" t="s">
        <v>591</v>
      </c>
      <c r="C20" s="2394"/>
      <c r="D20" s="540"/>
      <c r="E20" s="2410" t="s">
        <v>1980</v>
      </c>
      <c r="F20" s="2411"/>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2"/>
      <c r="AK20" s="540"/>
      <c r="AL20" s="540"/>
      <c r="AM20" s="540"/>
      <c r="AN20" s="535"/>
    </row>
    <row r="21" spans="1:50" s="536" customFormat="1" ht="12.75" customHeight="1">
      <c r="A21" s="540"/>
      <c r="B21" s="546"/>
      <c r="C21" s="546"/>
      <c r="D21" s="546"/>
      <c r="E21" s="2413"/>
      <c r="F21" s="2414"/>
      <c r="G21" s="2414"/>
      <c r="H21" s="2414"/>
      <c r="I21" s="2414"/>
      <c r="J21" s="2414"/>
      <c r="K21" s="2414"/>
      <c r="L21" s="241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5"/>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4" t="s">
        <v>591</v>
      </c>
      <c r="C26" s="2394"/>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1"/>
      <c r="AH26" s="2431"/>
      <c r="AI26" s="2431"/>
      <c r="AJ26" s="243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4" t="s">
        <v>591</v>
      </c>
      <c r="C30" s="2394"/>
      <c r="D30" s="546"/>
      <c r="E30" s="2395" t="s">
        <v>2560</v>
      </c>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7"/>
      <c r="AK30" s="540"/>
      <c r="AL30" s="540"/>
      <c r="AM30" s="540"/>
      <c r="AN30" s="535"/>
      <c r="AO30" s="549">
        <f>IF($B30="yes",9,0)</f>
        <v>0</v>
      </c>
    </row>
    <row r="31" spans="1:50" s="536" customFormat="1" ht="12.75" customHeight="1">
      <c r="A31" s="540"/>
      <c r="B31" s="540"/>
      <c r="C31" s="540"/>
      <c r="E31" s="2398"/>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40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4" t="s">
        <v>591</v>
      </c>
      <c r="C33" s="2394"/>
      <c r="D33" s="546"/>
      <c r="E33" s="2395" t="s">
        <v>2561</v>
      </c>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7"/>
      <c r="AK33" s="540"/>
      <c r="AL33" s="540"/>
      <c r="AM33" s="540"/>
      <c r="AN33" s="535"/>
      <c r="AO33" s="549">
        <f>IF($B39="yes",9,0)</f>
        <v>0</v>
      </c>
    </row>
    <row r="34" spans="1:43" s="536" customFormat="1" ht="12.75" customHeight="1">
      <c r="A34" s="540"/>
      <c r="B34" s="540"/>
      <c r="C34" s="540"/>
      <c r="D34" s="546"/>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c r="AO34" s="536">
        <f>MAX(AO30,AO31,AO32,AO33)</f>
        <v>0</v>
      </c>
      <c r="AP34" s="536" t="s">
        <v>1305</v>
      </c>
    </row>
    <row r="35" spans="1:43" s="536" customFormat="1" ht="12.75" customHeight="1">
      <c r="A35" s="540"/>
      <c r="B35" s="540"/>
      <c r="C35" s="540"/>
      <c r="E35" s="2398"/>
      <c r="F35" s="2399"/>
      <c r="G35" s="2399"/>
      <c r="H35" s="2399"/>
      <c r="I35" s="2399"/>
      <c r="J35" s="2399"/>
      <c r="K35" s="2399"/>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40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4" t="s">
        <v>591</v>
      </c>
      <c r="C37" s="2394"/>
      <c r="D37" s="1136"/>
      <c r="E37" s="2401" t="s">
        <v>2565</v>
      </c>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4" t="s">
        <v>591</v>
      </c>
      <c r="C39" s="2394"/>
      <c r="D39" s="1136"/>
      <c r="E39" s="2401" t="s">
        <v>2562</v>
      </c>
      <c r="F39" s="2402"/>
      <c r="G39" s="2402"/>
      <c r="H39" s="2402"/>
      <c r="I39" s="2402"/>
      <c r="J39" s="2402"/>
      <c r="K39" s="2402"/>
      <c r="L39" s="2402"/>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3"/>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4" t="s">
        <v>591</v>
      </c>
      <c r="C43" s="2394"/>
      <c r="D43" s="546"/>
      <c r="E43" s="2404" t="s">
        <v>2564</v>
      </c>
      <c r="F43" s="2405"/>
      <c r="G43" s="2405"/>
      <c r="H43" s="2405"/>
      <c r="I43" s="2405"/>
      <c r="J43" s="2405"/>
      <c r="K43" s="2405"/>
      <c r="L43" s="2405"/>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6"/>
      <c r="AK43" s="540"/>
      <c r="AL43" s="540"/>
      <c r="AM43" s="540"/>
      <c r="AN43" s="535"/>
      <c r="AO43" s="549">
        <f>IF($B43="yes",8,0)</f>
        <v>0</v>
      </c>
      <c r="AP43" s="14"/>
    </row>
    <row r="44" spans="1:43" s="536" customFormat="1" ht="12.75" customHeight="1">
      <c r="A44" s="540"/>
      <c r="B44" s="540"/>
      <c r="C44" s="540"/>
      <c r="D44" s="550"/>
      <c r="E44" s="2407"/>
      <c r="F44" s="2408"/>
      <c r="G44" s="2408"/>
      <c r="H44" s="2408"/>
      <c r="I44" s="2408"/>
      <c r="J44" s="2408"/>
      <c r="K44" s="2408"/>
      <c r="L44" s="24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9"/>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4" t="s">
        <v>591</v>
      </c>
      <c r="C46" s="2394"/>
      <c r="D46" s="546"/>
      <c r="E46" s="2395" t="s">
        <v>2563</v>
      </c>
      <c r="F46" s="2396"/>
      <c r="G46" s="2396"/>
      <c r="H46" s="2396"/>
      <c r="I46" s="2396"/>
      <c r="J46" s="2396"/>
      <c r="K46" s="2396"/>
      <c r="L46" s="2396"/>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7"/>
      <c r="AK46" s="540"/>
      <c r="AL46" s="540"/>
      <c r="AM46" s="540"/>
      <c r="AN46" s="535"/>
      <c r="AO46" s="549">
        <f>IF($B52="yes",8,0)</f>
        <v>0</v>
      </c>
    </row>
    <row r="47" spans="1:43" s="536" customFormat="1" ht="12.75" customHeight="1">
      <c r="A47" s="540"/>
      <c r="B47" s="540"/>
      <c r="C47" s="540"/>
      <c r="D47" s="549"/>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4" t="s">
        <v>591</v>
      </c>
      <c r="C49" s="2394"/>
      <c r="D49" s="546"/>
      <c r="E49" s="2410" t="s">
        <v>1994</v>
      </c>
      <c r="F49" s="2411"/>
      <c r="G49" s="2411"/>
      <c r="H49" s="2411"/>
      <c r="I49" s="2411"/>
      <c r="J49" s="2411"/>
      <c r="K49" s="2411"/>
      <c r="L49" s="24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2"/>
      <c r="AK49" s="540"/>
      <c r="AL49" s="540"/>
      <c r="AM49" s="540"/>
      <c r="AN49" s="535"/>
      <c r="AO49" s="549"/>
    </row>
    <row r="50" spans="1:42" s="536" customFormat="1" ht="12.75" customHeight="1">
      <c r="A50" s="540"/>
      <c r="B50" s="540"/>
      <c r="C50" s="540"/>
      <c r="D50" s="549"/>
      <c r="E50" s="2413"/>
      <c r="F50" s="2414"/>
      <c r="G50" s="2414"/>
      <c r="H50" s="2414"/>
      <c r="I50" s="2414"/>
      <c r="J50" s="2414"/>
      <c r="K50" s="2414"/>
      <c r="L50" s="241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4" t="s">
        <v>591</v>
      </c>
      <c r="C52" s="2394"/>
      <c r="D52" s="546"/>
      <c r="E52" s="2401" t="s">
        <v>2203</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4" t="s">
        <v>591</v>
      </c>
      <c r="C56" s="2394"/>
      <c r="D56" s="546"/>
      <c r="E56" s="2410" t="s">
        <v>2566</v>
      </c>
      <c r="F56" s="2411"/>
      <c r="G56" s="2411"/>
      <c r="H56" s="2411"/>
      <c r="I56" s="2411"/>
      <c r="J56" s="2411"/>
      <c r="K56" s="2411"/>
      <c r="L56" s="24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2"/>
      <c r="AK56" s="540"/>
      <c r="AL56" s="540"/>
      <c r="AM56" s="540"/>
      <c r="AN56" s="535"/>
      <c r="AO56" s="549">
        <f>IF($B59="yes",7,0)</f>
        <v>0</v>
      </c>
    </row>
    <row r="57" spans="1:42" s="536" customFormat="1" ht="12.75" customHeight="1">
      <c r="A57" s="540"/>
      <c r="B57" s="540"/>
      <c r="C57" s="540"/>
      <c r="D57" s="549"/>
      <c r="E57" s="2413"/>
      <c r="F57" s="2414"/>
      <c r="G57" s="2414"/>
      <c r="H57" s="2414"/>
      <c r="I57" s="2414"/>
      <c r="J57" s="2414"/>
      <c r="K57" s="2414"/>
      <c r="L57" s="241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5"/>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4" t="s">
        <v>591</v>
      </c>
      <c r="C59" s="2394"/>
      <c r="D59" s="546"/>
      <c r="E59" s="2401" t="s">
        <v>2567</v>
      </c>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33">
        <f>AO60</f>
        <v>0</v>
      </c>
      <c r="AL61" s="2434"/>
      <c r="AM61" s="243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2" t="s">
        <v>1308</v>
      </c>
      <c r="AF64" s="2422"/>
      <c r="AG64" s="2422"/>
      <c r="AH64" s="2422"/>
      <c r="AI64" s="2422"/>
      <c r="AJ64" s="2422"/>
      <c r="AK64" s="2422"/>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4" t="s">
        <v>591</v>
      </c>
      <c r="C67" s="2394"/>
      <c r="D67" s="546" t="s">
        <v>1309</v>
      </c>
      <c r="E67" s="2404" t="s">
        <v>1981</v>
      </c>
      <c r="F67" s="2405"/>
      <c r="G67" s="2405"/>
      <c r="H67" s="2405"/>
      <c r="I67" s="2405"/>
      <c r="J67" s="2405"/>
      <c r="K67" s="2405"/>
      <c r="L67" s="2405"/>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6"/>
      <c r="AK67" s="543"/>
      <c r="AL67" s="540"/>
      <c r="AM67" s="540"/>
      <c r="AN67" s="535"/>
      <c r="AO67" s="549">
        <f>IF($B67="yes",10,0)</f>
        <v>0</v>
      </c>
    </row>
    <row r="68" spans="1:42" s="536" customFormat="1" ht="12.75" customHeight="1">
      <c r="A68" s="538"/>
      <c r="B68" s="540"/>
      <c r="C68" s="540"/>
      <c r="D68" s="550"/>
      <c r="E68" s="2423"/>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5"/>
      <c r="AK68" s="543"/>
      <c r="AL68" s="540"/>
      <c r="AM68" s="540"/>
      <c r="AN68" s="535"/>
      <c r="AO68" s="549">
        <f>IF(AND($B73="yes",OR(E74="Yes",E75="Yes",E76="Yes")),10,0)</f>
        <v>0</v>
      </c>
    </row>
    <row r="69" spans="1:42" s="536" customFormat="1" ht="12.75" customHeight="1">
      <c r="A69" s="538"/>
      <c r="B69" s="540"/>
      <c r="C69" s="540"/>
      <c r="D69" s="550"/>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3"/>
      <c r="AL69" s="540"/>
      <c r="AM69" s="540"/>
      <c r="AN69" s="535"/>
      <c r="AO69" s="549">
        <f>IF($B78="yes",10,0)</f>
        <v>10</v>
      </c>
    </row>
    <row r="70" spans="1:42" s="536" customFormat="1" ht="12.75" customHeight="1">
      <c r="A70" s="538"/>
      <c r="B70" s="540"/>
      <c r="C70" s="540"/>
      <c r="D70" s="550"/>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3"/>
      <c r="AL70" s="540"/>
      <c r="AM70" s="540"/>
      <c r="AN70" s="535"/>
      <c r="AO70" s="549">
        <f>IF($B81="yes",10,0)</f>
        <v>0</v>
      </c>
    </row>
    <row r="71" spans="1:42" s="536" customFormat="1" ht="12.75" customHeight="1">
      <c r="A71" s="538"/>
      <c r="B71" s="540"/>
      <c r="C71" s="540"/>
      <c r="D71" s="550"/>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4" t="s">
        <v>591</v>
      </c>
      <c r="C73" s="2394"/>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6" t="s">
        <v>591</v>
      </c>
      <c r="F74" s="2394"/>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0" t="s">
        <v>591</v>
      </c>
      <c r="F75" s="2421"/>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0" t="s">
        <v>591</v>
      </c>
      <c r="F76" s="2421"/>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4" t="s">
        <v>545</v>
      </c>
      <c r="C78" s="2394"/>
      <c r="D78" s="546" t="s">
        <v>1314</v>
      </c>
      <c r="E78" s="2410" t="s">
        <v>1729</v>
      </c>
      <c r="F78" s="2411"/>
      <c r="G78" s="2411"/>
      <c r="H78" s="2411"/>
      <c r="I78" s="2411"/>
      <c r="J78" s="2411"/>
      <c r="K78" s="2411"/>
      <c r="L78" s="2411"/>
      <c r="M78" s="2411"/>
      <c r="N78" s="2411"/>
      <c r="O78" s="2411"/>
      <c r="P78" s="2411"/>
      <c r="Q78" s="2411"/>
      <c r="R78" s="2411"/>
      <c r="S78" s="2411"/>
      <c r="T78" s="2411"/>
      <c r="U78" s="2411"/>
      <c r="V78" s="2411"/>
      <c r="W78" s="2411"/>
      <c r="X78" s="2411"/>
      <c r="Y78" s="2411"/>
      <c r="Z78" s="2411"/>
      <c r="AA78" s="2411"/>
      <c r="AB78" s="2411"/>
      <c r="AC78" s="2411"/>
      <c r="AD78" s="2411"/>
      <c r="AE78" s="2411"/>
      <c r="AF78" s="2411"/>
      <c r="AG78" s="2411"/>
      <c r="AH78" s="2411"/>
      <c r="AI78" s="2411"/>
      <c r="AJ78" s="2412"/>
      <c r="AK78" s="543"/>
      <c r="AL78" s="540"/>
      <c r="AM78" s="540"/>
      <c r="AN78" s="535"/>
    </row>
    <row r="79" spans="1:42" s="536" customFormat="1" ht="12.75" customHeight="1">
      <c r="A79" s="538"/>
      <c r="B79" s="540"/>
      <c r="C79" s="540"/>
      <c r="E79" s="2413"/>
      <c r="F79" s="2414"/>
      <c r="G79" s="2414"/>
      <c r="H79" s="2414"/>
      <c r="I79" s="2414"/>
      <c r="J79" s="2414"/>
      <c r="K79" s="2414"/>
      <c r="L79" s="2414"/>
      <c r="M79" s="2414"/>
      <c r="N79" s="2414"/>
      <c r="O79" s="2414"/>
      <c r="P79" s="2414"/>
      <c r="Q79" s="2414"/>
      <c r="R79" s="2414"/>
      <c r="S79" s="2414"/>
      <c r="T79" s="2414"/>
      <c r="U79" s="2414"/>
      <c r="V79" s="2414"/>
      <c r="W79" s="2414"/>
      <c r="X79" s="2414"/>
      <c r="Y79" s="2414"/>
      <c r="Z79" s="2414"/>
      <c r="AA79" s="2414"/>
      <c r="AB79" s="2414"/>
      <c r="AC79" s="2414"/>
      <c r="AD79" s="2414"/>
      <c r="AE79" s="2414"/>
      <c r="AF79" s="2414"/>
      <c r="AG79" s="2414"/>
      <c r="AH79" s="2414"/>
      <c r="AI79" s="2414"/>
      <c r="AJ79" s="241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4" t="s">
        <v>591</v>
      </c>
      <c r="C81" s="2394"/>
      <c r="D81" s="546" t="s">
        <v>1461</v>
      </c>
      <c r="E81" s="2401" t="s">
        <v>1727</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33">
        <f>IF(AK61&gt;0,0,AO71)</f>
        <v>10</v>
      </c>
      <c r="AL83" s="2434"/>
      <c r="AM83" s="243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2" t="s">
        <v>1303</v>
      </c>
      <c r="AF86" s="2422"/>
      <c r="AG86" s="2422"/>
      <c r="AH86" s="2422"/>
      <c r="AI86" s="2422"/>
      <c r="AJ86" s="2422"/>
      <c r="AK86" s="2422"/>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4" t="s">
        <v>545</v>
      </c>
      <c r="C89" s="2394"/>
      <c r="D89" s="546" t="s">
        <v>1309</v>
      </c>
      <c r="E89" s="2404" t="s">
        <v>1319</v>
      </c>
      <c r="F89" s="2405"/>
      <c r="G89" s="2405"/>
      <c r="H89" s="2405"/>
      <c r="I89" s="2405"/>
      <c r="J89" s="2405"/>
      <c r="K89" s="2405"/>
      <c r="L89" s="2405"/>
      <c r="M89" s="2405"/>
      <c r="N89" s="2405"/>
      <c r="O89" s="2405"/>
      <c r="P89" s="2405"/>
      <c r="Q89" s="2405"/>
      <c r="R89" s="2405"/>
      <c r="S89" s="2405"/>
      <c r="T89" s="2405"/>
      <c r="U89" s="2405"/>
      <c r="V89" s="2405"/>
      <c r="W89" s="2405"/>
      <c r="X89" s="2405"/>
      <c r="Y89" s="2405"/>
      <c r="Z89" s="2405"/>
      <c r="AA89" s="2405"/>
      <c r="AB89" s="2405"/>
      <c r="AC89" s="2405"/>
      <c r="AD89" s="2405"/>
      <c r="AE89" s="2405"/>
      <c r="AF89" s="2405"/>
      <c r="AG89" s="2405"/>
      <c r="AH89" s="2405"/>
      <c r="AI89" s="2405"/>
      <c r="AJ89" s="2406"/>
      <c r="AK89" s="543"/>
      <c r="AL89" s="540"/>
      <c r="AM89" s="540"/>
      <c r="AN89" s="535"/>
    </row>
    <row r="90" spans="1:43" s="536" customFormat="1" ht="12.75" customHeight="1">
      <c r="A90" s="538"/>
      <c r="B90" s="539"/>
      <c r="C90" s="539"/>
      <c r="D90" s="539"/>
      <c r="E90" s="2423"/>
      <c r="F90" s="2424"/>
      <c r="G90" s="2424"/>
      <c r="H90" s="2424"/>
      <c r="I90" s="2424"/>
      <c r="J90" s="2424"/>
      <c r="K90" s="2424"/>
      <c r="L90" s="2424"/>
      <c r="M90" s="2424"/>
      <c r="N90" s="2424"/>
      <c r="O90" s="2424"/>
      <c r="P90" s="2424"/>
      <c r="Q90" s="2424"/>
      <c r="R90" s="2424"/>
      <c r="S90" s="2424"/>
      <c r="T90" s="2424"/>
      <c r="U90" s="2424"/>
      <c r="V90" s="2424"/>
      <c r="W90" s="2424"/>
      <c r="X90" s="2424"/>
      <c r="Y90" s="2424"/>
      <c r="Z90" s="2424"/>
      <c r="AA90" s="2424"/>
      <c r="AB90" s="2424"/>
      <c r="AC90" s="2424"/>
      <c r="AD90" s="2424"/>
      <c r="AE90" s="2424"/>
      <c r="AF90" s="2424"/>
      <c r="AG90" s="2424"/>
      <c r="AH90" s="2424"/>
      <c r="AI90" s="2424"/>
      <c r="AJ90" s="242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6">
        <f>Application!AC761</f>
        <v>0.49970930232558136</v>
      </c>
      <c r="F92" s="2417"/>
      <c r="G92" s="2417"/>
      <c r="H92" s="2417"/>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8">
        <f>0.6-ROUNDUP(E92,2)</f>
        <v>9.9999999999999978E-2</v>
      </c>
      <c r="F93" s="2419"/>
      <c r="G93" s="2419"/>
      <c r="H93" s="2419"/>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5">
        <f>IF(E93*200&gt;20,20,E93*200)</f>
        <v>19.999999999999996</v>
      </c>
      <c r="F94" s="2446"/>
      <c r="G94" s="2446"/>
      <c r="H94" s="2446"/>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19.999999999999996</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4" t="s">
        <v>591</v>
      </c>
      <c r="C97" s="2394"/>
      <c r="D97" s="546" t="s">
        <v>1311</v>
      </c>
      <c r="E97" s="2404" t="s">
        <v>1714</v>
      </c>
      <c r="F97" s="2405"/>
      <c r="G97" s="2405"/>
      <c r="H97" s="2405"/>
      <c r="I97" s="2405"/>
      <c r="J97" s="2405"/>
      <c r="K97" s="2405"/>
      <c r="L97" s="2405"/>
      <c r="M97" s="2405"/>
      <c r="N97" s="2405"/>
      <c r="O97" s="2405"/>
      <c r="P97" s="2405"/>
      <c r="Q97" s="2405"/>
      <c r="R97" s="2405"/>
      <c r="S97" s="2405"/>
      <c r="T97" s="2405"/>
      <c r="U97" s="2405"/>
      <c r="V97" s="2405"/>
      <c r="W97" s="2405"/>
      <c r="X97" s="2405"/>
      <c r="Y97" s="2405"/>
      <c r="Z97" s="2405"/>
      <c r="AA97" s="2405"/>
      <c r="AB97" s="2405"/>
      <c r="AC97" s="2405"/>
      <c r="AD97" s="2405"/>
      <c r="AE97" s="2405"/>
      <c r="AF97" s="2405"/>
      <c r="AG97" s="2405"/>
      <c r="AH97" s="2405"/>
      <c r="AI97" s="2405"/>
      <c r="AJ97" s="2406"/>
      <c r="AK97" s="543"/>
      <c r="AL97" s="540"/>
      <c r="AM97" s="540"/>
      <c r="AN97" s="535"/>
    </row>
    <row r="98" spans="1:47" s="536" customFormat="1" ht="12.75" customHeight="1">
      <c r="A98" s="538"/>
      <c r="B98" s="539"/>
      <c r="C98" s="539"/>
      <c r="D98" s="539"/>
      <c r="E98" s="2423"/>
      <c r="F98" s="2424"/>
      <c r="G98" s="2424"/>
      <c r="H98" s="2424"/>
      <c r="I98" s="2424"/>
      <c r="J98" s="2424"/>
      <c r="K98" s="2424"/>
      <c r="L98" s="2424"/>
      <c r="M98" s="2424"/>
      <c r="N98" s="2424"/>
      <c r="O98" s="2424"/>
      <c r="P98" s="2424"/>
      <c r="Q98" s="2424"/>
      <c r="R98" s="2424"/>
      <c r="S98" s="2424"/>
      <c r="T98" s="2424"/>
      <c r="U98" s="2424"/>
      <c r="V98" s="2424"/>
      <c r="W98" s="2424"/>
      <c r="X98" s="2424"/>
      <c r="Y98" s="2424"/>
      <c r="Z98" s="2424"/>
      <c r="AA98" s="2424"/>
      <c r="AB98" s="2424"/>
      <c r="AC98" s="2424"/>
      <c r="AD98" s="2424"/>
      <c r="AE98" s="2424"/>
      <c r="AF98" s="2424"/>
      <c r="AG98" s="2424"/>
      <c r="AH98" s="2424"/>
      <c r="AI98" s="2424"/>
      <c r="AJ98" s="2425"/>
      <c r="AK98" s="543"/>
      <c r="AL98" s="540"/>
      <c r="AM98" s="540"/>
      <c r="AN98" s="535"/>
    </row>
    <row r="99" spans="1:47" s="536" customFormat="1" ht="12.75" customHeight="1">
      <c r="A99" s="538"/>
      <c r="B99" s="539"/>
      <c r="C99" s="539"/>
      <c r="D99" s="539"/>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3"/>
      <c r="AL99" s="540"/>
      <c r="AM99" s="540"/>
      <c r="AN99" s="535"/>
    </row>
    <row r="100" spans="1:47" s="536" customFormat="1" ht="12.75" customHeight="1">
      <c r="A100" s="538"/>
      <c r="B100" s="539"/>
      <c r="C100" s="539"/>
      <c r="D100" s="539"/>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6">
        <f>Application!AC761</f>
        <v>0.49970930232558136</v>
      </c>
      <c r="F102" s="2417"/>
      <c r="G102" s="2417"/>
      <c r="H102" s="2417"/>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6">
        <f ca="1">SUMIF(Application!AC726:AG760,0.2,Application!G726:J760)/Application!G761+SUMIF(Application!AC726:AG760,0.25,Application!G726:J760)/Application!G761+SUMIF(Application!AC726:AG760,0.3,Application!G726:J760)/Application!G761</f>
        <v>0.25290697674418605</v>
      </c>
      <c r="F103" s="2417"/>
      <c r="G103" s="2417"/>
      <c r="H103" s="2417"/>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6">
        <f ca="1">SUMIF(Application!AC726:AG760,0.35,Application!G726:J760)/Application!G761+SUMIF(Application!AC726:AG760,0.4,Application!G726:J760)/Application!G761+SUMIF(Application!AC726:AG760,0.45,Application!G726:J760)/Application!G761+SUMIF(Application!AC726:AG760,0.5,Application!G726:J760)/Application!G761</f>
        <v>0.2441860465116279</v>
      </c>
      <c r="F104" s="2417"/>
      <c r="G104" s="2417"/>
      <c r="H104" s="2417"/>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1">
        <f ca="1">IF(AND(E102&lt;=0.6,OR(AND(E103&gt;=0.1,E104&gt;=0.1),AND(E103&gt;0.1,(E103+E104)&gt;=0.2))),20,0)</f>
        <v>20</v>
      </c>
      <c r="F105" s="2452"/>
      <c r="G105" s="2452"/>
      <c r="H105" s="245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33">
        <f>MAX(AP94,AP105)</f>
        <v>19.999999999999996</v>
      </c>
      <c r="AL108" s="2434"/>
      <c r="AM108" s="243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2" t="s">
        <v>1308</v>
      </c>
      <c r="AF111" s="2422"/>
      <c r="AG111" s="2422"/>
      <c r="AH111" s="2422"/>
      <c r="AI111" s="2422"/>
      <c r="AJ111" s="2422"/>
      <c r="AK111" s="2422"/>
      <c r="AL111" s="540"/>
      <c r="AM111" s="540"/>
      <c r="AN111" s="535"/>
      <c r="AO111" s="536" t="str">
        <f>Application!B726</f>
        <v>1 Bedroom</v>
      </c>
      <c r="AQ111" s="536">
        <f>Application!O726</f>
        <v>648.75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1131.75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1324.75</v>
      </c>
    </row>
    <row r="114" spans="1:52" s="536" customFormat="1" ht="12.75" customHeight="1">
      <c r="A114" s="540"/>
      <c r="B114" s="2394" t="s">
        <v>545</v>
      </c>
      <c r="C114" s="2394"/>
      <c r="D114" s="546" t="s">
        <v>1309</v>
      </c>
      <c r="E114" s="2404" t="s">
        <v>2569</v>
      </c>
      <c r="F114" s="2405"/>
      <c r="G114" s="2405"/>
      <c r="H114" s="2405"/>
      <c r="I114" s="2405"/>
      <c r="J114" s="2405"/>
      <c r="K114" s="2405"/>
      <c r="L114" s="2405"/>
      <c r="M114" s="2405"/>
      <c r="N114" s="2405"/>
      <c r="O114" s="2405"/>
      <c r="P114" s="2405"/>
      <c r="Q114" s="2405"/>
      <c r="R114" s="2405"/>
      <c r="S114" s="2405"/>
      <c r="T114" s="2405"/>
      <c r="U114" s="2405"/>
      <c r="V114" s="2405"/>
      <c r="W114" s="2405"/>
      <c r="X114" s="2405"/>
      <c r="Y114" s="2405"/>
      <c r="Z114" s="2405"/>
      <c r="AA114" s="2405"/>
      <c r="AB114" s="2405"/>
      <c r="AC114" s="2405"/>
      <c r="AD114" s="2405"/>
      <c r="AE114" s="2405"/>
      <c r="AF114" s="2405"/>
      <c r="AG114" s="2405"/>
      <c r="AH114" s="2405"/>
      <c r="AI114" s="2405"/>
      <c r="AJ114" s="2406"/>
      <c r="AK114" s="540"/>
      <c r="AL114" s="540"/>
      <c r="AM114" s="540"/>
      <c r="AN114" s="535"/>
      <c r="AO114" s="536" t="str">
        <f>Application!B729</f>
        <v>2 Bedrooms</v>
      </c>
      <c r="AQ114" s="536">
        <f>Application!O729</f>
        <v>785</v>
      </c>
      <c r="AU114" s="536" t="s">
        <v>1817</v>
      </c>
      <c r="AV114" s="593" t="s">
        <v>1818</v>
      </c>
      <c r="AW114" s="536" t="s">
        <v>1819</v>
      </c>
    </row>
    <row r="115" spans="1:52" s="536" customFormat="1" ht="12.75" customHeight="1">
      <c r="A115" s="540"/>
      <c r="B115" s="539"/>
      <c r="C115" s="539"/>
      <c r="D115" s="539"/>
      <c r="E115" s="2423"/>
      <c r="F115" s="2424"/>
      <c r="G115" s="2424"/>
      <c r="H115" s="2424"/>
      <c r="I115" s="2424"/>
      <c r="J115" s="2424"/>
      <c r="K115" s="2424"/>
      <c r="L115" s="2424"/>
      <c r="M115" s="2424"/>
      <c r="N115" s="2424"/>
      <c r="O115" s="2424"/>
      <c r="P115" s="2424"/>
      <c r="Q115" s="2424"/>
      <c r="R115" s="2424"/>
      <c r="S115" s="2424"/>
      <c r="T115" s="2424"/>
      <c r="U115" s="2424"/>
      <c r="V115" s="2424"/>
      <c r="W115" s="2424"/>
      <c r="X115" s="2424"/>
      <c r="Y115" s="2424"/>
      <c r="Z115" s="2424"/>
      <c r="AA115" s="2424"/>
      <c r="AB115" s="2424"/>
      <c r="AC115" s="2424"/>
      <c r="AD115" s="2424"/>
      <c r="AE115" s="2424"/>
      <c r="AF115" s="2424"/>
      <c r="AG115" s="2424"/>
      <c r="AH115" s="2424"/>
      <c r="AI115" s="2424"/>
      <c r="AJ115" s="2425"/>
      <c r="AK115" s="540"/>
      <c r="AL115" s="540"/>
      <c r="AM115" s="540"/>
      <c r="AN115" s="535"/>
      <c r="AO115" s="536" t="str">
        <f>Application!B730</f>
        <v>2 Bedrooms</v>
      </c>
      <c r="AQ115" s="536">
        <f>Application!O730</f>
        <v>1364.31</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40"/>
      <c r="AL116" s="540"/>
      <c r="AM116" s="540"/>
      <c r="AN116" s="535"/>
      <c r="AO116" s="536" t="str">
        <f>Application!B731</f>
        <v>2 Bedrooms</v>
      </c>
      <c r="AQ116" s="536">
        <f>Application!O731</f>
        <v>1630.31</v>
      </c>
      <c r="AU116" s="852" t="str">
        <f>J123</f>
        <v>1-bedroom</v>
      </c>
      <c r="AV116" s="536">
        <f t="array" ref="AV116">SUM(IF(Application!B726:F760="1 Bedroom",Application!G726:J760))</f>
        <v>130</v>
      </c>
      <c r="AW116" s="1006">
        <f>AV116/AV121</f>
        <v>0.37790697674418605</v>
      </c>
    </row>
    <row r="117" spans="1:52" s="536" customFormat="1" ht="12.75" customHeight="1">
      <c r="A117" s="540"/>
      <c r="B117" s="539"/>
      <c r="C117" s="539"/>
      <c r="D117" s="539"/>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40"/>
      <c r="AL117" s="540"/>
      <c r="AM117" s="540"/>
      <c r="AN117" s="535"/>
      <c r="AO117" s="536" t="str">
        <f>Application!B732</f>
        <v>3 Bedrooms</v>
      </c>
      <c r="AQ117" s="536">
        <f>Application!O732</f>
        <v>907.25</v>
      </c>
      <c r="AU117" s="852" t="str">
        <f>O123</f>
        <v>2-bedroom</v>
      </c>
      <c r="AV117" s="536">
        <f t="array" ref="AV117">SUM(IF(Application!B726:F760="2 Bedrooms",Application!G726:J760))</f>
        <v>117</v>
      </c>
      <c r="AW117" s="1006">
        <f>AV117/AV121</f>
        <v>0.34011627906976744</v>
      </c>
    </row>
    <row r="118" spans="1:52" s="536" customFormat="1" ht="12.75" customHeight="1">
      <c r="A118" s="540"/>
      <c r="B118" s="539"/>
      <c r="C118" s="539"/>
      <c r="D118" s="539"/>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40"/>
      <c r="AL118" s="540"/>
      <c r="AM118" s="540"/>
      <c r="AN118" s="535"/>
      <c r="AO118" s="536" t="str">
        <f>Application!B733</f>
        <v>3 Bedrooms</v>
      </c>
      <c r="AQ118" s="536">
        <f>Application!O733</f>
        <v>1575.25</v>
      </c>
      <c r="AU118" s="852" t="str">
        <f>T123</f>
        <v>3-bedroom</v>
      </c>
      <c r="AV118" s="536">
        <f t="array" ref="AV118">SUM(IF(Application!B726:F760="3 Bedrooms",Application!G726:J760))</f>
        <v>97</v>
      </c>
      <c r="AW118" s="1006">
        <f>AV118/AV121</f>
        <v>0.28197674418604651</v>
      </c>
    </row>
    <row r="119" spans="1:52" s="536" customFormat="1" ht="12.75" customHeight="1">
      <c r="A119" s="540"/>
      <c r="B119" s="539"/>
      <c r="C119" s="539"/>
      <c r="D119" s="539"/>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40"/>
      <c r="AL119" s="540"/>
      <c r="AM119" s="540"/>
      <c r="AN119" s="535"/>
      <c r="AO119" s="536" t="str">
        <f>Application!B734</f>
        <v>3 Bedrooms</v>
      </c>
      <c r="AQ119" s="536">
        <f>Application!O734</f>
        <v>1910.25</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40"/>
      <c r="AL121" s="540"/>
      <c r="AM121" s="540"/>
      <c r="AN121" s="535"/>
      <c r="AO121" s="536">
        <f>Application!B736</f>
        <v>0</v>
      </c>
      <c r="AQ121" s="536">
        <f>Application!O736</f>
        <v>0</v>
      </c>
      <c r="AV121" s="536">
        <f>SUM(AV115:AV120)</f>
        <v>344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6" t="s">
        <v>1577</v>
      </c>
      <c r="F123" s="2417"/>
      <c r="G123" s="2417"/>
      <c r="H123" s="2417"/>
      <c r="I123" s="575"/>
      <c r="J123" s="2417" t="s">
        <v>1620</v>
      </c>
      <c r="K123" s="2417"/>
      <c r="L123" s="2417"/>
      <c r="M123" s="2417"/>
      <c r="N123" s="575"/>
      <c r="O123" s="2417" t="s">
        <v>1621</v>
      </c>
      <c r="P123" s="2417"/>
      <c r="Q123" s="2417"/>
      <c r="R123" s="2417"/>
      <c r="S123" s="575"/>
      <c r="T123" s="2417" t="s">
        <v>1328</v>
      </c>
      <c r="U123" s="2417"/>
      <c r="V123" s="2417"/>
      <c r="W123" s="2417"/>
      <c r="X123" s="575"/>
      <c r="Y123" s="2417" t="s">
        <v>1622</v>
      </c>
      <c r="Z123" s="2417"/>
      <c r="AA123" s="2417"/>
      <c r="AB123" s="2417"/>
      <c r="AC123" s="575"/>
      <c r="AD123" s="2417" t="s">
        <v>1623</v>
      </c>
      <c r="AE123" s="2417"/>
      <c r="AF123" s="2417"/>
      <c r="AG123" s="241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3"/>
      <c r="F126" s="2454"/>
      <c r="G126" s="2454"/>
      <c r="H126" s="2454"/>
      <c r="I126" s="860"/>
      <c r="J126" s="2454">
        <v>1716</v>
      </c>
      <c r="K126" s="2454"/>
      <c r="L126" s="2454"/>
      <c r="M126" s="2454"/>
      <c r="N126" s="860"/>
      <c r="O126" s="2454">
        <v>1991</v>
      </c>
      <c r="P126" s="2454"/>
      <c r="Q126" s="2454"/>
      <c r="R126" s="2454"/>
      <c r="S126" s="860"/>
      <c r="T126" s="2454">
        <v>2687</v>
      </c>
      <c r="U126" s="2454"/>
      <c r="V126" s="2454"/>
      <c r="W126" s="2454"/>
      <c r="X126" s="860"/>
      <c r="Y126" s="2454"/>
      <c r="Z126" s="2454"/>
      <c r="AA126" s="2454"/>
      <c r="AB126" s="2454"/>
      <c r="AC126" s="860"/>
      <c r="AD126" s="2454"/>
      <c r="AE126" s="2454"/>
      <c r="AF126" s="2454"/>
      <c r="AG126" s="245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7">
        <f>Application!DX678</f>
        <v>0</v>
      </c>
      <c r="F129" s="2428"/>
      <c r="G129" s="2428"/>
      <c r="H129" s="2428"/>
      <c r="I129" s="860"/>
      <c r="J129" s="2428">
        <f>Application!EC678</f>
        <v>1140.5346153846153</v>
      </c>
      <c r="K129" s="2428"/>
      <c r="L129" s="2428"/>
      <c r="M129" s="2428"/>
      <c r="N129" s="860"/>
      <c r="O129" s="2428">
        <f>Application!EH678</f>
        <v>1277.9087179487178</v>
      </c>
      <c r="P129" s="2428"/>
      <c r="Q129" s="2428"/>
      <c r="R129" s="2428"/>
      <c r="S129" s="864"/>
      <c r="T129" s="2428">
        <f>Application!EM678</f>
        <v>1599.6314432989689</v>
      </c>
      <c r="U129" s="2428"/>
      <c r="V129" s="2428"/>
      <c r="W129" s="2428"/>
      <c r="X129" s="864"/>
      <c r="Y129" s="2428">
        <f>Application!ER678</f>
        <v>0</v>
      </c>
      <c r="Z129" s="2428"/>
      <c r="AA129" s="2428"/>
      <c r="AB129" s="2428"/>
      <c r="AC129" s="864"/>
      <c r="AD129" s="2428">
        <f>Application!EW678</f>
        <v>0</v>
      </c>
      <c r="AE129" s="2428"/>
      <c r="AF129" s="2428"/>
      <c r="AG129" s="2428"/>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6" t="e">
        <f>(E126-E129)/E126</f>
        <v>#DIV/0!</v>
      </c>
      <c r="F132" s="2419"/>
      <c r="G132" s="2419"/>
      <c r="H132" s="2627"/>
      <c r="I132" s="575"/>
      <c r="J132" s="2626">
        <f>(J126-J129)/J126</f>
        <v>0.33535278823740367</v>
      </c>
      <c r="K132" s="2419"/>
      <c r="L132" s="2419"/>
      <c r="M132" s="2627"/>
      <c r="N132" s="575"/>
      <c r="O132" s="2626">
        <f>(O126-O129)/O126</f>
        <v>0.35815734909657571</v>
      </c>
      <c r="P132" s="2419"/>
      <c r="Q132" s="2419"/>
      <c r="R132" s="2627"/>
      <c r="S132" s="575"/>
      <c r="T132" s="2626">
        <f>(T126-T129)/T126</f>
        <v>0.40467754250131416</v>
      </c>
      <c r="U132" s="2419"/>
      <c r="V132" s="2419"/>
      <c r="W132" s="2627"/>
      <c r="X132" s="575"/>
      <c r="Y132" s="2626" t="e">
        <f>(Y126-Y129)/Y126</f>
        <v>#DIV/0!</v>
      </c>
      <c r="Z132" s="2419"/>
      <c r="AA132" s="2419"/>
      <c r="AB132" s="2627"/>
      <c r="AC132" s="575"/>
      <c r="AD132" s="2626" t="e">
        <f>(AD126-AD129)/AD126</f>
        <v>#DIV/0!</v>
      </c>
      <c r="AE132" s="2419"/>
      <c r="AF132" s="2419"/>
      <c r="AG132" s="26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2" t="e">
        <f>IF(((E132-0.1)*AW115)&gt;0,((E132-0.1)*AW115),0)</f>
        <v>#DIV/0!</v>
      </c>
      <c r="F135" s="2443"/>
      <c r="G135" s="2443"/>
      <c r="H135" s="2444"/>
      <c r="I135" s="575"/>
      <c r="J135" s="2442">
        <f>IF(((J132-0.1)*AW116)&gt;0,((J132-0.1)*AW116),0)</f>
        <v>8.8941460671111847E-2</v>
      </c>
      <c r="K135" s="2443"/>
      <c r="L135" s="2443"/>
      <c r="M135" s="2444"/>
      <c r="N135" s="575"/>
      <c r="O135" s="2442">
        <f>IF(((O132-0.1)*AW117)&gt;0,((O132-0.1)*AW117),0)</f>
        <v>8.7803516989242325E-2</v>
      </c>
      <c r="P135" s="2443"/>
      <c r="Q135" s="2443"/>
      <c r="R135" s="2444"/>
      <c r="S135" s="575"/>
      <c r="T135" s="2442">
        <f>IF(((T132-0.1)*AW118)&gt;0,((T132-0.1)*AW118),0)</f>
        <v>8.5911981461126385E-2</v>
      </c>
      <c r="U135" s="2443"/>
      <c r="V135" s="2443"/>
      <c r="W135" s="2444"/>
      <c r="X135" s="575"/>
      <c r="Y135" s="2442" t="e">
        <f>IF(((Y132-0.1)*AW119)&gt;0,((Y132-0.1)*AW119),0)</f>
        <v>#DIV/0!</v>
      </c>
      <c r="Z135" s="2443"/>
      <c r="AA135" s="2443"/>
      <c r="AB135" s="2444"/>
      <c r="AC135" s="575"/>
      <c r="AD135" s="2442" t="e">
        <f>IF(((AD132-0.1)*AW120)&gt;0,((AD132-0.1)*AW120),0)</f>
        <v>#DIV/0!</v>
      </c>
      <c r="AE135" s="2443"/>
      <c r="AF135" s="2443"/>
      <c r="AG135" s="244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6">
        <f>ROUNDDOWN(SUMIF(E135:AG135,"&gt;0"),2)</f>
        <v>0.26</v>
      </c>
      <c r="F137" s="2419"/>
      <c r="G137" s="2419"/>
      <c r="H137" s="2627"/>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3">
        <f>IF((E137*100)&gt;10,10,E137*100)</f>
        <v>10</v>
      </c>
      <c r="F138" s="2434"/>
      <c r="G138" s="2434"/>
      <c r="H138" s="2435"/>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33">
        <f>E138</f>
        <v>10</v>
      </c>
      <c r="AL142" s="2434"/>
      <c r="AM142" s="243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22" t="s">
        <v>1308</v>
      </c>
      <c r="AF145" s="2422"/>
      <c r="AG145" s="2422"/>
      <c r="AH145" s="2422"/>
      <c r="AI145" s="2422"/>
      <c r="AJ145" s="2422"/>
      <c r="AK145" s="2422"/>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5" t="s">
        <v>1332</v>
      </c>
      <c r="AG147" s="2455"/>
      <c r="AH147" s="2455"/>
      <c r="AI147" s="2455"/>
      <c r="AJ147" s="2455"/>
      <c r="AK147" s="2455"/>
      <c r="AL147" s="2455"/>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5" t="s">
        <v>2716</v>
      </c>
      <c r="C149" s="2465"/>
      <c r="D149" s="2465"/>
      <c r="E149" s="2465"/>
      <c r="F149" s="2465"/>
      <c r="G149" s="2465"/>
      <c r="H149" s="2465"/>
      <c r="I149" s="2465"/>
      <c r="J149" s="2465"/>
      <c r="K149" s="2465"/>
      <c r="L149" s="2465"/>
      <c r="M149" s="2465"/>
      <c r="N149" s="2465"/>
      <c r="O149" s="2465"/>
      <c r="P149" s="2465"/>
      <c r="Q149" s="2465"/>
      <c r="R149" s="2465"/>
      <c r="S149" s="2465"/>
      <c r="T149" s="2465"/>
      <c r="U149" s="2465"/>
      <c r="V149" s="2465"/>
      <c r="W149" s="2465"/>
      <c r="X149" s="2465"/>
      <c r="Y149" s="2465"/>
      <c r="Z149" s="2465"/>
      <c r="AA149" s="2465"/>
      <c r="AB149" s="2465"/>
      <c r="AC149" s="246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6" t="s">
        <v>1335</v>
      </c>
      <c r="C152" s="2466"/>
      <c r="D152" s="2466"/>
      <c r="E152" s="2466"/>
      <c r="F152" s="2466"/>
      <c r="G152" s="2466"/>
      <c r="H152" s="2466"/>
      <c r="I152" s="2466"/>
      <c r="J152" s="2466"/>
      <c r="K152" s="2466"/>
      <c r="L152" s="2466"/>
      <c r="M152" s="2466"/>
      <c r="N152" s="2466"/>
      <c r="O152" s="2466"/>
      <c r="P152" s="2466"/>
      <c r="Q152" s="2466"/>
      <c r="R152" s="2466"/>
      <c r="S152" s="2466"/>
      <c r="T152" s="2466"/>
      <c r="U152" s="2466"/>
      <c r="V152" s="2466"/>
      <c r="W152" s="2466"/>
      <c r="X152" s="2466"/>
      <c r="Y152" s="2466"/>
      <c r="Z152" s="2466"/>
      <c r="AA152" s="2466"/>
      <c r="AB152" s="2466"/>
      <c r="AC152" s="2466"/>
      <c r="AD152" s="2466"/>
      <c r="AE152" s="2466"/>
      <c r="AF152" s="2466"/>
      <c r="AG152" s="2466"/>
      <c r="AH152" s="2466"/>
      <c r="AI152" s="2466"/>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67" t="s">
        <v>591</v>
      </c>
      <c r="AC154" s="246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6" t="s">
        <v>1337</v>
      </c>
      <c r="C157" s="2466"/>
      <c r="D157" s="2466"/>
      <c r="E157" s="2466"/>
      <c r="F157" s="2466"/>
      <c r="G157" s="2466"/>
      <c r="H157" s="2466"/>
      <c r="I157" s="2466"/>
      <c r="J157" s="2466"/>
      <c r="K157" s="2466"/>
      <c r="L157" s="2466"/>
      <c r="M157" s="2466"/>
      <c r="N157" s="2466"/>
      <c r="O157" s="2466"/>
      <c r="P157" s="2466"/>
      <c r="Q157" s="2466"/>
      <c r="R157" s="2466"/>
      <c r="S157" s="2466"/>
      <c r="T157" s="2466"/>
      <c r="U157" s="2466"/>
      <c r="V157" s="2466"/>
      <c r="W157" s="2466"/>
      <c r="X157" s="2466"/>
      <c r="Y157" s="2466"/>
      <c r="Z157" s="2466"/>
      <c r="AA157" s="2466"/>
      <c r="AB157" s="2466"/>
      <c r="AC157" s="2466"/>
      <c r="AD157" s="2466"/>
      <c r="AE157" s="2466"/>
      <c r="AF157" s="2466"/>
      <c r="AG157" s="2466"/>
      <c r="AH157" s="2466"/>
      <c r="AI157" s="2466"/>
      <c r="AJ157" s="2466"/>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1" t="s">
        <v>2408</v>
      </c>
      <c r="C160" s="2631"/>
      <c r="D160" s="2631"/>
      <c r="E160" s="2631"/>
      <c r="F160" s="2631"/>
      <c r="G160" s="2631"/>
      <c r="H160" s="2631"/>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31"/>
      <c r="AD160" s="2631"/>
      <c r="AE160" s="2631"/>
      <c r="AF160" s="2631"/>
      <c r="AG160" s="2631"/>
      <c r="AH160" s="2631"/>
      <c r="AI160" s="2631"/>
      <c r="AJ160" s="2631"/>
      <c r="AK160" s="1173"/>
      <c r="AM160" s="539"/>
      <c r="AN160" s="535"/>
      <c r="AO160" s="476"/>
      <c r="AP160" s="489"/>
    </row>
    <row r="161" spans="1:42" s="536" customFormat="1" ht="12.75" customHeight="1">
      <c r="B161" s="2631"/>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73"/>
      <c r="AM161" s="539"/>
      <c r="AN161" s="535"/>
      <c r="AO161" s="476"/>
      <c r="AP161" s="489"/>
    </row>
    <row r="162" spans="1:42" s="536" customFormat="1" ht="12.75" customHeight="1">
      <c r="C162" s="2542" t="s">
        <v>2409</v>
      </c>
      <c r="D162" s="2542"/>
      <c r="E162" s="2542"/>
      <c r="F162" s="2542"/>
      <c r="G162" s="2542"/>
      <c r="H162" s="2542"/>
      <c r="I162" s="2542"/>
      <c r="J162" s="2542"/>
      <c r="K162" s="2542"/>
      <c r="L162" s="2542"/>
      <c r="M162" s="2542"/>
      <c r="N162" s="2542"/>
      <c r="O162" s="2542"/>
      <c r="P162" s="2542"/>
      <c r="Q162" s="2542"/>
      <c r="R162" s="2542"/>
      <c r="S162" s="2542"/>
      <c r="T162" s="2542"/>
      <c r="U162" s="2542"/>
      <c r="V162" s="2542"/>
      <c r="W162" s="2542"/>
      <c r="X162" s="2542"/>
      <c r="Y162" s="2542"/>
      <c r="Z162" s="2542"/>
      <c r="AA162" s="2542"/>
      <c r="AB162" s="2542"/>
      <c r="AC162" s="2542"/>
      <c r="AD162" s="2542"/>
      <c r="AE162" s="2542"/>
      <c r="AF162" s="2542"/>
      <c r="AG162" s="2542"/>
      <c r="AH162" s="2542"/>
      <c r="AI162" s="2542"/>
      <c r="AJ162" s="2542"/>
      <c r="AK162" s="1173"/>
      <c r="AM162" s="539"/>
      <c r="AN162" s="535"/>
      <c r="AO162" s="476"/>
      <c r="AP162" s="489"/>
    </row>
    <row r="163" spans="1:42" s="536" customFormat="1" ht="12.75" customHeight="1">
      <c r="B163" s="1173"/>
      <c r="C163" s="2464" t="s">
        <v>2407</v>
      </c>
      <c r="D163" s="2464"/>
      <c r="E163" s="2464"/>
      <c r="F163" s="2464"/>
      <c r="G163" s="2464"/>
      <c r="H163" s="2464"/>
      <c r="I163" s="2464"/>
      <c r="J163" s="2464"/>
      <c r="K163" s="2464"/>
      <c r="L163" s="2464"/>
      <c r="M163" s="2464"/>
      <c r="N163" s="2464"/>
      <c r="O163" s="2464"/>
      <c r="P163" s="2464"/>
      <c r="Q163" s="2464"/>
      <c r="R163" s="2464"/>
      <c r="S163" s="2464"/>
      <c r="T163" s="2464"/>
      <c r="U163" s="2464"/>
      <c r="V163" s="2464"/>
      <c r="W163" s="2464"/>
      <c r="X163" s="2464"/>
      <c r="Y163" s="2464"/>
      <c r="Z163" s="2464"/>
      <c r="AA163" s="1163"/>
      <c r="AB163" s="1163"/>
      <c r="AC163" s="1163"/>
      <c r="AD163" s="1163"/>
      <c r="AE163" s="1163"/>
      <c r="AF163" s="1163"/>
      <c r="AG163" s="1163"/>
      <c r="AH163" s="1163"/>
      <c r="AJ163" s="2467" t="s">
        <v>591</v>
      </c>
      <c r="AK163" s="246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70">
        <f>IF($AB$154="N/A",VLOOKUP($B$152,$AO$150:$AP$153,2,FALSE),VLOOKUP($B$157,$AO$155:$AP$157,2,FALSE))</f>
        <v>7</v>
      </c>
      <c r="AK165" s="247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5" t="s">
        <v>1346</v>
      </c>
      <c r="AG167" s="2455"/>
      <c r="AH167" s="2455"/>
      <c r="AI167" s="2455"/>
      <c r="AJ167" s="2455"/>
      <c r="AK167" s="2455"/>
      <c r="AL167" s="2455"/>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6" t="s">
        <v>1344</v>
      </c>
      <c r="D169" s="2466"/>
      <c r="E169" s="2466"/>
      <c r="F169" s="2466"/>
      <c r="G169" s="2466"/>
      <c r="H169" s="2466"/>
      <c r="I169" s="2466"/>
      <c r="J169" s="2466"/>
      <c r="K169" s="2466"/>
      <c r="L169" s="2466"/>
      <c r="M169" s="2466"/>
      <c r="N169" s="2466"/>
      <c r="O169" s="2466"/>
      <c r="P169" s="2466"/>
      <c r="Q169" s="2466"/>
      <c r="R169" s="2466"/>
      <c r="S169" s="2466"/>
      <c r="T169" s="2466"/>
      <c r="U169" s="2466"/>
      <c r="V169" s="2466"/>
      <c r="W169" s="2466"/>
      <c r="X169" s="2466"/>
      <c r="Y169" s="2466"/>
      <c r="Z169" s="2466"/>
      <c r="AA169" s="2466"/>
      <c r="AB169" s="2466"/>
      <c r="AC169" s="2466"/>
      <c r="AD169" s="2466"/>
      <c r="AE169" s="2466"/>
      <c r="AF169" s="2466"/>
      <c r="AG169" s="2466"/>
      <c r="AH169" s="2466"/>
      <c r="AI169" s="2466"/>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7" t="s">
        <v>591</v>
      </c>
      <c r="AG171" s="2467"/>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66" t="s">
        <v>1337</v>
      </c>
      <c r="D173" s="2466"/>
      <c r="E173" s="2466"/>
      <c r="F173" s="2466"/>
      <c r="G173" s="2466"/>
      <c r="H173" s="2466"/>
      <c r="I173" s="2466"/>
      <c r="J173" s="2466"/>
      <c r="K173" s="2466"/>
      <c r="L173" s="2466"/>
      <c r="M173" s="2466"/>
      <c r="N173" s="2466"/>
      <c r="O173" s="2466"/>
      <c r="P173" s="2466"/>
      <c r="Q173" s="2466"/>
      <c r="R173" s="2466"/>
      <c r="S173" s="2466"/>
      <c r="T173" s="2466"/>
      <c r="U173" s="2466"/>
      <c r="V173" s="2466"/>
      <c r="W173" s="2466"/>
      <c r="X173" s="2466"/>
      <c r="Y173" s="2466"/>
      <c r="Z173" s="2466"/>
      <c r="AA173" s="2466"/>
      <c r="AB173" s="2466"/>
      <c r="AC173" s="2466"/>
      <c r="AD173" s="2466"/>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8" t="str">
        <f>Application!AA344</f>
        <v>FPI Management, Inc.</v>
      </c>
      <c r="D177" s="2468"/>
      <c r="E177" s="2468"/>
      <c r="F177" s="2468"/>
      <c r="G177" s="2468"/>
      <c r="H177" s="2468"/>
      <c r="I177" s="2468"/>
      <c r="J177" s="2468"/>
      <c r="K177" s="2468"/>
      <c r="L177" s="2468"/>
      <c r="M177" s="2468"/>
      <c r="N177" s="2468"/>
      <c r="O177" s="2468"/>
      <c r="P177" s="2468"/>
      <c r="Q177" s="2468"/>
      <c r="R177" s="2468"/>
      <c r="S177" s="2468"/>
      <c r="T177" s="2468"/>
      <c r="U177" s="2468"/>
      <c r="V177" s="2468"/>
      <c r="W177" s="2468"/>
      <c r="X177" s="2468"/>
      <c r="Y177" s="2468"/>
      <c r="Z177" s="2468"/>
      <c r="AA177" s="2468"/>
      <c r="AB177" s="2468"/>
      <c r="AC177" s="2468"/>
      <c r="AD177" s="246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9">
        <f>IF($AF$171="N/A",VLOOKUP($C$169,$AO$169:$AP$172,2,FALSE),VLOOKUP($C$173,$AO$176:$AP$178,2,FALSE))</f>
        <v>3</v>
      </c>
      <c r="AK179" s="246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33">
        <f>$AJ$165+$AJ$179</f>
        <v>10</v>
      </c>
      <c r="AL182" s="2434"/>
      <c r="AM182" s="243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2" t="s">
        <v>1308</v>
      </c>
      <c r="AF185" s="2422"/>
      <c r="AG185" s="2422"/>
      <c r="AH185" s="2422"/>
      <c r="AI185" s="2422"/>
      <c r="AJ185" s="2422"/>
      <c r="AK185" s="2422"/>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63" t="s">
        <v>1041</v>
      </c>
      <c r="C187" s="2463"/>
      <c r="D187" s="2463"/>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536"/>
      <c r="AE187" s="536"/>
      <c r="AF187" s="2455" t="s">
        <v>1357</v>
      </c>
      <c r="AG187" s="2455"/>
      <c r="AH187" s="2455"/>
      <c r="AI187" s="2455"/>
      <c r="AJ187" s="2455"/>
      <c r="AK187" s="2455"/>
      <c r="AL187" s="2455"/>
      <c r="AN187" s="595"/>
      <c r="AP187" s="549" t="s">
        <v>1043</v>
      </c>
      <c r="AQ187" s="549">
        <v>10</v>
      </c>
    </row>
    <row r="188" spans="1:73" s="549" customFormat="1" ht="12.75" customHeight="1">
      <c r="A188" s="536"/>
      <c r="B188" s="2464" t="s">
        <v>1715</v>
      </c>
      <c r="C188" s="2464"/>
      <c r="D188" s="2464"/>
      <c r="E188" s="2464"/>
      <c r="F188" s="2464"/>
      <c r="G188" s="2464"/>
      <c r="H188" s="2464"/>
      <c r="I188" s="2464"/>
      <c r="J188" s="2464"/>
      <c r="K188" s="2464"/>
      <c r="L188" s="2464"/>
      <c r="M188" s="2464"/>
      <c r="N188" s="2464"/>
      <c r="O188" s="2464"/>
      <c r="P188" s="2464"/>
      <c r="Q188" s="2464"/>
      <c r="R188" s="2464"/>
      <c r="S188" s="2464"/>
      <c r="T188" s="2465" t="s">
        <v>591</v>
      </c>
      <c r="U188" s="2465"/>
      <c r="V188" s="2465"/>
      <c r="W188" s="2465"/>
      <c r="X188" s="2465"/>
      <c r="Y188" s="2465"/>
      <c r="Z188" s="2465"/>
      <c r="AA188" s="2465"/>
      <c r="AB188" s="2465"/>
      <c r="AC188" s="2465"/>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80">
        <f>IF(AK83&gt;0,VLOOKUP($B$187,AP184:AQ190,2,FALSE),0)</f>
        <v>10</v>
      </c>
      <c r="AL190" s="2481"/>
      <c r="AM190" s="248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2" t="s">
        <v>1365</v>
      </c>
      <c r="AF193" s="2422"/>
      <c r="AG193" s="2422"/>
      <c r="AH193" s="2422"/>
      <c r="AI193" s="2422"/>
      <c r="AJ193" s="2422"/>
      <c r="AK193" s="242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7"/>
      <c r="C198" s="2457"/>
      <c r="D198" s="2457"/>
      <c r="E198" s="2457"/>
      <c r="F198" s="2457"/>
      <c r="G198" s="2457"/>
      <c r="H198" s="2457"/>
      <c r="I198" s="2457"/>
      <c r="J198" s="2457"/>
      <c r="K198" s="2457"/>
      <c r="L198" s="2457"/>
      <c r="M198" s="2457"/>
      <c r="N198" s="2457"/>
      <c r="O198" s="2457"/>
      <c r="P198" s="2457"/>
      <c r="Q198" s="2457"/>
      <c r="R198" s="2457"/>
      <c r="S198" s="2457"/>
      <c r="T198" s="2457"/>
      <c r="U198" s="2457"/>
      <c r="V198" s="2457"/>
      <c r="W198" s="2457"/>
      <c r="X198" s="2457"/>
      <c r="Y198" s="2457"/>
      <c r="Z198" s="2457"/>
      <c r="AA198" s="2457"/>
      <c r="AB198" s="2457"/>
      <c r="AC198" s="842"/>
      <c r="AD198" s="2458"/>
      <c r="AE198" s="2458"/>
      <c r="AF198" s="2458"/>
      <c r="AG198" s="2458"/>
      <c r="AH198" s="2458"/>
      <c r="AI198" s="2458"/>
      <c r="AJ198" s="2458"/>
      <c r="AK198" s="608"/>
    </row>
    <row r="199" spans="1:37" hidden="1">
      <c r="A199" s="603"/>
      <c r="B199" s="2457"/>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2"/>
      <c r="AD199" s="2458"/>
      <c r="AE199" s="2458"/>
      <c r="AF199" s="2458"/>
      <c r="AG199" s="2458"/>
      <c r="AH199" s="2458"/>
      <c r="AI199" s="2458"/>
      <c r="AJ199" s="2458"/>
      <c r="AK199" s="608"/>
    </row>
    <row r="200" spans="1:37" hidden="1">
      <c r="A200" s="603"/>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2"/>
      <c r="AD200" s="2458"/>
      <c r="AE200" s="2458"/>
      <c r="AF200" s="2458"/>
      <c r="AG200" s="2458"/>
      <c r="AH200" s="2458"/>
      <c r="AI200" s="2458"/>
      <c r="AJ200" s="2458"/>
      <c r="AK200" s="608"/>
    </row>
    <row r="201" spans="1:37" hidden="1">
      <c r="A201" s="603"/>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2"/>
      <c r="AD201" s="2458"/>
      <c r="AE201" s="2458"/>
      <c r="AF201" s="2458"/>
      <c r="AG201" s="2458"/>
      <c r="AH201" s="2458"/>
      <c r="AI201" s="2458"/>
      <c r="AJ201" s="2458"/>
      <c r="AK201" s="608"/>
    </row>
    <row r="202" spans="1:37" hidden="1">
      <c r="A202" s="603"/>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2"/>
      <c r="AD202" s="2458"/>
      <c r="AE202" s="2458"/>
      <c r="AF202" s="2458"/>
      <c r="AG202" s="2458"/>
      <c r="AH202" s="2458"/>
      <c r="AI202" s="2458"/>
      <c r="AJ202" s="2458"/>
      <c r="AK202" s="608"/>
    </row>
    <row r="203" spans="1:37" hidden="1">
      <c r="A203" s="603"/>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2"/>
      <c r="AD203" s="2458"/>
      <c r="AE203" s="2458"/>
      <c r="AF203" s="2458"/>
      <c r="AG203" s="2458"/>
      <c r="AH203" s="2458"/>
      <c r="AI203" s="2458"/>
      <c r="AJ203" s="2458"/>
      <c r="AK203" s="608"/>
    </row>
    <row r="204" spans="1:37" hidden="1">
      <c r="A204" s="603"/>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2"/>
      <c r="AD204" s="2458"/>
      <c r="AE204" s="2458"/>
      <c r="AF204" s="2458"/>
      <c r="AG204" s="2458"/>
      <c r="AH204" s="2458"/>
      <c r="AI204" s="2458"/>
      <c r="AJ204" s="2458"/>
      <c r="AK204" s="608"/>
    </row>
    <row r="205" spans="1:37" hidden="1">
      <c r="A205" s="603"/>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2"/>
      <c r="AD205" s="2458"/>
      <c r="AE205" s="2458"/>
      <c r="AF205" s="2458"/>
      <c r="AG205" s="2458"/>
      <c r="AH205" s="2458"/>
      <c r="AI205" s="2458"/>
      <c r="AJ205" s="2458"/>
      <c r="AK205" s="608"/>
    </row>
    <row r="206" spans="1:37" hidden="1">
      <c r="A206" s="603"/>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2"/>
      <c r="AD206" s="2458"/>
      <c r="AE206" s="2458"/>
      <c r="AF206" s="2458"/>
      <c r="AG206" s="2458"/>
      <c r="AH206" s="2458"/>
      <c r="AI206" s="2458"/>
      <c r="AJ206" s="2458"/>
      <c r="AK206" s="608"/>
    </row>
    <row r="207" spans="1:37" hidden="1">
      <c r="A207" s="603"/>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2"/>
      <c r="AD207" s="2458"/>
      <c r="AE207" s="2458"/>
      <c r="AF207" s="2458"/>
      <c r="AG207" s="2458"/>
      <c r="AH207" s="2458"/>
      <c r="AI207" s="2458"/>
      <c r="AJ207" s="2458"/>
      <c r="AK207" s="608"/>
    </row>
    <row r="208" spans="1:37" hidden="1">
      <c r="A208" s="603"/>
      <c r="B208" s="2504" t="s">
        <v>1616</v>
      </c>
      <c r="C208" s="2504"/>
      <c r="D208" s="2504"/>
      <c r="E208" s="2504"/>
      <c r="F208" s="2504"/>
      <c r="G208" s="2504"/>
      <c r="H208" s="2504"/>
      <c r="I208" s="2504"/>
      <c r="J208" s="2504"/>
      <c r="K208" s="2504"/>
      <c r="L208" s="2504"/>
      <c r="M208" s="2504"/>
      <c r="N208" s="2504"/>
      <c r="O208" s="2504"/>
      <c r="P208" s="2504"/>
      <c r="Q208" s="2504"/>
      <c r="R208" s="2504"/>
      <c r="S208" s="2504"/>
      <c r="T208" s="2504"/>
      <c r="U208" s="2504"/>
      <c r="V208" s="2504"/>
      <c r="W208" s="2504"/>
      <c r="X208" s="2504"/>
      <c r="Y208" s="2504"/>
      <c r="Z208" s="2504"/>
      <c r="AA208" s="2504"/>
      <c r="AB208" s="2504"/>
      <c r="AC208" s="536"/>
      <c r="AD208" s="2487">
        <f>AB259</f>
        <v>0</v>
      </c>
      <c r="AE208" s="2487"/>
      <c r="AF208" s="2487"/>
      <c r="AG208" s="2487"/>
      <c r="AH208" s="2487"/>
      <c r="AI208" s="2487"/>
      <c r="AJ208" s="2487"/>
      <c r="AK208" s="608"/>
    </row>
    <row r="209" spans="1:37" hidden="1">
      <c r="A209" s="603"/>
      <c r="B209" s="2642" t="s">
        <v>1579</v>
      </c>
      <c r="C209" s="2642"/>
      <c r="D209" s="2642"/>
      <c r="E209" s="2642"/>
      <c r="F209" s="2642"/>
      <c r="G209" s="2642"/>
      <c r="H209" s="2642"/>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842"/>
      <c r="AD209" s="2488">
        <f>'Sources and Uses Budget'!B15</f>
        <v>0</v>
      </c>
      <c r="AE209" s="2488"/>
      <c r="AF209" s="2488"/>
      <c r="AG209" s="2488"/>
      <c r="AH209" s="2488"/>
      <c r="AI209" s="2488"/>
      <c r="AJ209" s="248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92">
        <f>SUM(AD198:AJ208)-AD209</f>
        <v>0</v>
      </c>
      <c r="AE210" s="2492"/>
      <c r="AF210" s="2492"/>
      <c r="AG210" s="2492"/>
      <c r="AH210" s="2492"/>
      <c r="AI210" s="2492"/>
      <c r="AJ210" s="249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1" t="s">
        <v>1596</v>
      </c>
      <c r="J221" s="2461"/>
      <c r="K221" s="2461"/>
      <c r="L221" s="536"/>
      <c r="M221" s="536"/>
      <c r="N221" s="536"/>
      <c r="O221" s="536"/>
      <c r="P221" s="536"/>
      <c r="Q221" s="536"/>
      <c r="R221" s="536"/>
      <c r="S221" s="536"/>
      <c r="T221" s="2629" t="s">
        <v>1590</v>
      </c>
      <c r="U221" s="2629"/>
      <c r="V221" s="2629"/>
      <c r="W221" s="2629"/>
      <c r="X221" s="2629"/>
      <c r="Y221" s="2629"/>
      <c r="Z221" s="845"/>
      <c r="AA221" s="489"/>
      <c r="AB221" s="2456" t="s">
        <v>1591</v>
      </c>
      <c r="AC221" s="2456"/>
      <c r="AD221" s="2456"/>
      <c r="AE221" s="2456"/>
      <c r="AF221" s="2456"/>
      <c r="AG221" s="2456"/>
      <c r="AH221" s="823"/>
      <c r="AI221" s="823"/>
      <c r="AJ221" s="823"/>
      <c r="AK221" s="608"/>
    </row>
    <row r="222" spans="1:37" hidden="1">
      <c r="A222" s="603"/>
      <c r="B222" s="2459" t="s">
        <v>1576</v>
      </c>
      <c r="C222" s="2459"/>
      <c r="D222" s="2459"/>
      <c r="E222" s="2459"/>
      <c r="F222" s="2459"/>
      <c r="G222" s="2459"/>
      <c r="I222" s="2460" t="s">
        <v>1597</v>
      </c>
      <c r="J222" s="2460"/>
      <c r="K222" s="2460"/>
      <c r="L222" s="1003"/>
      <c r="N222" s="2450" t="s">
        <v>1592</v>
      </c>
      <c r="O222" s="2450"/>
      <c r="P222" s="2450"/>
      <c r="Q222" s="2450"/>
      <c r="R222" s="2450"/>
      <c r="T222" s="2450" t="s">
        <v>1593</v>
      </c>
      <c r="U222" s="2450"/>
      <c r="V222" s="2450"/>
      <c r="W222" s="2450"/>
      <c r="X222" s="2450"/>
      <c r="Y222" s="2450"/>
      <c r="Z222" s="846"/>
      <c r="AA222" s="489"/>
      <c r="AB222" s="2608" t="s">
        <v>1594</v>
      </c>
      <c r="AC222" s="2608"/>
      <c r="AD222" s="2608"/>
      <c r="AE222" s="2608"/>
      <c r="AF222" s="2608"/>
      <c r="AG222" s="2608"/>
      <c r="AH222" s="823"/>
      <c r="AI222" s="823"/>
      <c r="AJ222" s="823"/>
      <c r="AK222" s="608"/>
    </row>
    <row r="223" spans="1:37" hidden="1">
      <c r="A223" s="603"/>
      <c r="B223" s="2462" t="s">
        <v>1184</v>
      </c>
      <c r="C223" s="2462"/>
      <c r="D223" s="2462"/>
      <c r="E223" s="2462"/>
      <c r="F223" s="2462"/>
      <c r="G223" s="2462"/>
      <c r="H223" s="848"/>
      <c r="I223" s="2448"/>
      <c r="J223" s="2448"/>
      <c r="K223" s="2448"/>
      <c r="L223" s="1003"/>
      <c r="N223" s="2503"/>
      <c r="O223" s="2503"/>
      <c r="P223" s="2503"/>
      <c r="Q223" s="2503"/>
      <c r="R223" s="2503"/>
      <c r="T223" s="2607"/>
      <c r="U223" s="2607"/>
      <c r="V223" s="2607"/>
      <c r="W223" s="2607"/>
      <c r="X223" s="2607"/>
      <c r="Y223" s="2607"/>
      <c r="Z223" s="847"/>
      <c r="AA223" s="847"/>
      <c r="AB223" s="2447">
        <f t="shared" ref="AB223:AB232" si="0">MAX(($T223-$N223)*$I223*12,0)</f>
        <v>0</v>
      </c>
      <c r="AC223" s="2447"/>
      <c r="AD223" s="2447"/>
      <c r="AE223" s="2447"/>
      <c r="AF223" s="2447"/>
      <c r="AG223" s="2447"/>
      <c r="AH223" s="823"/>
      <c r="AI223" s="823"/>
      <c r="AJ223" s="823"/>
      <c r="AK223" s="608"/>
    </row>
    <row r="224" spans="1:37" hidden="1">
      <c r="A224" s="603"/>
      <c r="B224" s="2462" t="s">
        <v>1184</v>
      </c>
      <c r="C224" s="2462"/>
      <c r="D224" s="2462"/>
      <c r="E224" s="2462"/>
      <c r="F224" s="2462"/>
      <c r="G224" s="2462"/>
      <c r="I224" s="2448"/>
      <c r="J224" s="2448"/>
      <c r="K224" s="2448"/>
      <c r="L224" s="1003"/>
      <c r="N224" s="2503"/>
      <c r="O224" s="2503"/>
      <c r="P224" s="2503"/>
      <c r="Q224" s="2503"/>
      <c r="R224" s="2503"/>
      <c r="T224" s="2607"/>
      <c r="U224" s="2607"/>
      <c r="V224" s="2607"/>
      <c r="W224" s="2607"/>
      <c r="X224" s="2607"/>
      <c r="Y224" s="2607"/>
      <c r="Z224" s="847"/>
      <c r="AA224" s="847"/>
      <c r="AB224" s="2447">
        <f t="shared" si="0"/>
        <v>0</v>
      </c>
      <c r="AC224" s="2447"/>
      <c r="AD224" s="2447"/>
      <c r="AE224" s="2447"/>
      <c r="AF224" s="2447"/>
      <c r="AG224" s="2447"/>
      <c r="AH224" s="823"/>
      <c r="AI224" s="823"/>
      <c r="AJ224" s="823"/>
      <c r="AK224" s="608"/>
    </row>
    <row r="225" spans="1:37" hidden="1">
      <c r="A225" s="603"/>
      <c r="B225" s="2462" t="s">
        <v>1184</v>
      </c>
      <c r="C225" s="2462"/>
      <c r="D225" s="2462"/>
      <c r="E225" s="2462"/>
      <c r="F225" s="2462"/>
      <c r="G225" s="2462"/>
      <c r="I225" s="2448"/>
      <c r="J225" s="2448"/>
      <c r="K225" s="2448"/>
      <c r="L225" s="1003"/>
      <c r="N225" s="2503"/>
      <c r="O225" s="2503"/>
      <c r="P225" s="2503"/>
      <c r="Q225" s="2503"/>
      <c r="R225" s="2503"/>
      <c r="T225" s="2607"/>
      <c r="U225" s="2607"/>
      <c r="V225" s="2607"/>
      <c r="W225" s="2607"/>
      <c r="X225" s="2607"/>
      <c r="Y225" s="2607"/>
      <c r="Z225" s="847"/>
      <c r="AA225" s="847"/>
      <c r="AB225" s="2447">
        <f t="shared" si="0"/>
        <v>0</v>
      </c>
      <c r="AC225" s="2447"/>
      <c r="AD225" s="2447"/>
      <c r="AE225" s="2447"/>
      <c r="AF225" s="2447"/>
      <c r="AG225" s="2447"/>
      <c r="AH225" s="823"/>
      <c r="AI225" s="823"/>
      <c r="AJ225" s="823"/>
      <c r="AK225" s="608"/>
    </row>
    <row r="226" spans="1:37" hidden="1">
      <c r="A226" s="603"/>
      <c r="B226" s="2462" t="s">
        <v>1184</v>
      </c>
      <c r="C226" s="2462"/>
      <c r="D226" s="2462"/>
      <c r="E226" s="2462"/>
      <c r="F226" s="2462"/>
      <c r="G226" s="2462"/>
      <c r="I226" s="2448"/>
      <c r="J226" s="2448"/>
      <c r="K226" s="2448"/>
      <c r="L226" s="1003"/>
      <c r="N226" s="2503"/>
      <c r="O226" s="2503"/>
      <c r="P226" s="2503"/>
      <c r="Q226" s="2503"/>
      <c r="R226" s="2503"/>
      <c r="T226" s="2607"/>
      <c r="U226" s="2607"/>
      <c r="V226" s="2607"/>
      <c r="W226" s="2607"/>
      <c r="X226" s="2607"/>
      <c r="Y226" s="2607"/>
      <c r="Z226" s="847"/>
      <c r="AA226" s="847"/>
      <c r="AB226" s="2447">
        <f t="shared" si="0"/>
        <v>0</v>
      </c>
      <c r="AC226" s="2447"/>
      <c r="AD226" s="2447"/>
      <c r="AE226" s="2447"/>
      <c r="AF226" s="2447"/>
      <c r="AG226" s="2447"/>
      <c r="AH226" s="823"/>
      <c r="AI226" s="823"/>
      <c r="AJ226" s="823"/>
      <c r="AK226" s="608"/>
    </row>
    <row r="227" spans="1:37" hidden="1">
      <c r="A227" s="603"/>
      <c r="B227" s="2462" t="s">
        <v>1184</v>
      </c>
      <c r="C227" s="2462"/>
      <c r="D227" s="2462"/>
      <c r="E227" s="2462"/>
      <c r="F227" s="2462"/>
      <c r="G227" s="2462"/>
      <c r="I227" s="2448"/>
      <c r="J227" s="2448"/>
      <c r="K227" s="2448"/>
      <c r="L227" s="1010"/>
      <c r="N227" s="2503"/>
      <c r="O227" s="2503"/>
      <c r="P227" s="2503"/>
      <c r="Q227" s="2503"/>
      <c r="R227" s="2503"/>
      <c r="T227" s="2607"/>
      <c r="U227" s="2607"/>
      <c r="V227" s="2607"/>
      <c r="W227" s="2607"/>
      <c r="X227" s="2607"/>
      <c r="Y227" s="2607"/>
      <c r="Z227" s="847"/>
      <c r="AA227" s="847"/>
      <c r="AB227" s="2447">
        <f t="shared" si="0"/>
        <v>0</v>
      </c>
      <c r="AC227" s="2447"/>
      <c r="AD227" s="2447"/>
      <c r="AE227" s="2447"/>
      <c r="AF227" s="2447"/>
      <c r="AG227" s="2447"/>
      <c r="AH227" s="823"/>
      <c r="AI227" s="823"/>
      <c r="AJ227" s="823"/>
      <c r="AK227" s="608"/>
    </row>
    <row r="228" spans="1:37" hidden="1">
      <c r="A228" s="603"/>
      <c r="B228" s="2462" t="s">
        <v>1184</v>
      </c>
      <c r="C228" s="2462"/>
      <c r="D228" s="2462"/>
      <c r="E228" s="2462"/>
      <c r="F228" s="2462"/>
      <c r="G228" s="2462"/>
      <c r="I228" s="2448"/>
      <c r="J228" s="2448"/>
      <c r="K228" s="2448"/>
      <c r="L228" s="1010"/>
      <c r="N228" s="2503"/>
      <c r="O228" s="2503"/>
      <c r="P228" s="2503"/>
      <c r="Q228" s="2503"/>
      <c r="R228" s="2503"/>
      <c r="T228" s="2607"/>
      <c r="U228" s="2607"/>
      <c r="V228" s="2607"/>
      <c r="W228" s="2607"/>
      <c r="X228" s="2607"/>
      <c r="Y228" s="2607"/>
      <c r="Z228" s="847"/>
      <c r="AA228" s="847"/>
      <c r="AB228" s="2447">
        <f t="shared" si="0"/>
        <v>0</v>
      </c>
      <c r="AC228" s="2447"/>
      <c r="AD228" s="2447"/>
      <c r="AE228" s="2447"/>
      <c r="AF228" s="2447"/>
      <c r="AG228" s="2447"/>
      <c r="AH228" s="823"/>
      <c r="AI228" s="823"/>
      <c r="AJ228" s="823"/>
      <c r="AK228" s="608"/>
    </row>
    <row r="229" spans="1:37" hidden="1">
      <c r="A229" s="603"/>
      <c r="B229" s="2462" t="s">
        <v>1184</v>
      </c>
      <c r="C229" s="2462"/>
      <c r="D229" s="2462"/>
      <c r="E229" s="2462"/>
      <c r="F229" s="2462"/>
      <c r="G229" s="2462"/>
      <c r="I229" s="2448"/>
      <c r="J229" s="2448"/>
      <c r="K229" s="2448"/>
      <c r="L229" s="1010"/>
      <c r="N229" s="2503"/>
      <c r="O229" s="2503"/>
      <c r="P229" s="2503"/>
      <c r="Q229" s="2503"/>
      <c r="R229" s="2503"/>
      <c r="T229" s="2607"/>
      <c r="U229" s="2607"/>
      <c r="V229" s="2607"/>
      <c r="W229" s="2607"/>
      <c r="X229" s="2607"/>
      <c r="Y229" s="2607"/>
      <c r="Z229" s="847"/>
      <c r="AA229" s="847"/>
      <c r="AB229" s="2447">
        <f t="shared" si="0"/>
        <v>0</v>
      </c>
      <c r="AC229" s="2447"/>
      <c r="AD229" s="2447"/>
      <c r="AE229" s="2447"/>
      <c r="AF229" s="2447"/>
      <c r="AG229" s="2447"/>
      <c r="AH229" s="823"/>
      <c r="AI229" s="823"/>
      <c r="AJ229" s="823"/>
      <c r="AK229" s="608"/>
    </row>
    <row r="230" spans="1:37" hidden="1">
      <c r="A230" s="603"/>
      <c r="B230" s="2462" t="s">
        <v>1184</v>
      </c>
      <c r="C230" s="2462"/>
      <c r="D230" s="2462"/>
      <c r="E230" s="2462"/>
      <c r="F230" s="2462"/>
      <c r="G230" s="2462"/>
      <c r="I230" s="2448"/>
      <c r="J230" s="2448"/>
      <c r="K230" s="2448"/>
      <c r="L230" s="1010"/>
      <c r="N230" s="2503"/>
      <c r="O230" s="2503"/>
      <c r="P230" s="2503"/>
      <c r="Q230" s="2503"/>
      <c r="R230" s="2503"/>
      <c r="T230" s="2607"/>
      <c r="U230" s="2607"/>
      <c r="V230" s="2607"/>
      <c r="W230" s="2607"/>
      <c r="X230" s="2607"/>
      <c r="Y230" s="2607"/>
      <c r="Z230" s="847"/>
      <c r="AA230" s="847"/>
      <c r="AB230" s="2447">
        <f t="shared" si="0"/>
        <v>0</v>
      </c>
      <c r="AC230" s="2447"/>
      <c r="AD230" s="2447"/>
      <c r="AE230" s="2447"/>
      <c r="AF230" s="2447"/>
      <c r="AG230" s="2447"/>
      <c r="AH230" s="823"/>
      <c r="AI230" s="823"/>
      <c r="AJ230" s="823"/>
      <c r="AK230" s="608"/>
    </row>
    <row r="231" spans="1:37" hidden="1">
      <c r="A231" s="603"/>
      <c r="B231" s="2462" t="s">
        <v>1184</v>
      </c>
      <c r="C231" s="2462"/>
      <c r="D231" s="2462"/>
      <c r="E231" s="2462"/>
      <c r="F231" s="2462"/>
      <c r="G231" s="2462"/>
      <c r="I231" s="2448"/>
      <c r="J231" s="2448"/>
      <c r="K231" s="2448"/>
      <c r="L231" s="1010"/>
      <c r="N231" s="2503"/>
      <c r="O231" s="2503"/>
      <c r="P231" s="2503"/>
      <c r="Q231" s="2503"/>
      <c r="R231" s="2503"/>
      <c r="T231" s="2607"/>
      <c r="U231" s="2607"/>
      <c r="V231" s="2607"/>
      <c r="W231" s="2607"/>
      <c r="X231" s="2607"/>
      <c r="Y231" s="2607"/>
      <c r="Z231" s="847"/>
      <c r="AA231" s="847"/>
      <c r="AB231" s="2447">
        <f t="shared" si="0"/>
        <v>0</v>
      </c>
      <c r="AC231" s="2447"/>
      <c r="AD231" s="2447"/>
      <c r="AE231" s="2447"/>
      <c r="AF231" s="2447"/>
      <c r="AG231" s="2447"/>
      <c r="AH231" s="823"/>
      <c r="AI231" s="823"/>
      <c r="AJ231" s="823"/>
      <c r="AK231" s="608"/>
    </row>
    <row r="232" spans="1:37" hidden="1">
      <c r="A232" s="603"/>
      <c r="B232" s="2462" t="s">
        <v>1184</v>
      </c>
      <c r="C232" s="2462"/>
      <c r="D232" s="2462"/>
      <c r="E232" s="2462"/>
      <c r="F232" s="2462"/>
      <c r="G232" s="2462"/>
      <c r="I232" s="2449"/>
      <c r="J232" s="2449"/>
      <c r="K232" s="2449"/>
      <c r="L232" s="1010"/>
      <c r="N232" s="2503"/>
      <c r="O232" s="2503"/>
      <c r="P232" s="2503"/>
      <c r="Q232" s="2503"/>
      <c r="R232" s="2503"/>
      <c r="T232" s="2607"/>
      <c r="U232" s="2607"/>
      <c r="V232" s="2607"/>
      <c r="W232" s="2607"/>
      <c r="X232" s="2607"/>
      <c r="Y232" s="2607"/>
      <c r="Z232" s="847"/>
      <c r="AA232" s="847"/>
      <c r="AB232" s="2616">
        <f t="shared" si="0"/>
        <v>0</v>
      </c>
      <c r="AC232" s="2616"/>
      <c r="AD232" s="2616"/>
      <c r="AE232" s="2616"/>
      <c r="AF232" s="2616"/>
      <c r="AG232" s="26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7">
        <f>SUM(AB223:AB232)</f>
        <v>0</v>
      </c>
      <c r="AC233" s="2447"/>
      <c r="AD233" s="2447"/>
      <c r="AE233" s="2447"/>
      <c r="AF233" s="2447"/>
      <c r="AG233" s="244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7"/>
      <c r="AC239" s="2617"/>
      <c r="AD239" s="2617"/>
      <c r="AE239" s="2617"/>
      <c r="AF239" s="2617"/>
      <c r="AG239" s="2617"/>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7"/>
      <c r="AC242" s="2617"/>
      <c r="AD242" s="2617"/>
      <c r="AE242" s="2617"/>
      <c r="AF242" s="2617"/>
      <c r="AG242" s="2617"/>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8"/>
      <c r="AC243" s="2628"/>
      <c r="AD243" s="2628"/>
      <c r="AE243" s="2628"/>
      <c r="AF243" s="2628"/>
      <c r="AG243" s="2628"/>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1">
        <f>IFERROR(AB242/AB243,0)</f>
        <v>0</v>
      </c>
      <c r="AC244" s="2641"/>
      <c r="AD244" s="2641"/>
      <c r="AE244" s="2641"/>
      <c r="AF244" s="2641"/>
      <c r="AG244" s="264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6">
        <f>MAX(AB239,AB244)</f>
        <v>0</v>
      </c>
      <c r="AC246" s="2616"/>
      <c r="AD246" s="2616"/>
      <c r="AE246" s="2616"/>
      <c r="AF246" s="2616"/>
      <c r="AG246" s="26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7">
        <f>AB233+AB246</f>
        <v>0</v>
      </c>
      <c r="AC249" s="2447"/>
      <c r="AD249" s="2447"/>
      <c r="AE249" s="2447"/>
      <c r="AF249" s="2447"/>
      <c r="AG249" s="2447"/>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6">
        <v>0.05</v>
      </c>
      <c r="AC250" s="2496"/>
      <c r="AD250" s="2496"/>
      <c r="AE250" s="2496"/>
      <c r="AF250" s="2496"/>
      <c r="AG250" s="2496"/>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7">
        <f>AB249-(AB249*AB250)</f>
        <v>0</v>
      </c>
      <c r="AC251" s="2497"/>
      <c r="AD251" s="2497"/>
      <c r="AE251" s="2497"/>
      <c r="AF251" s="2497"/>
      <c r="AG251" s="2497"/>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7">
        <f>AB251/AB257</f>
        <v>0</v>
      </c>
      <c r="AC253" s="2447"/>
      <c r="AD253" s="2447"/>
      <c r="AE253" s="2447"/>
      <c r="AF253" s="2447"/>
      <c r="AG253" s="244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6">
        <v>15</v>
      </c>
      <c r="AC255" s="2456"/>
      <c r="AD255" s="2456"/>
      <c r="AE255" s="2456"/>
      <c r="AF255" s="2456"/>
      <c r="AG255" s="2456"/>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8">
        <v>0.04</v>
      </c>
      <c r="AC256" s="2498"/>
      <c r="AD256" s="2498"/>
      <c r="AE256" s="2498"/>
      <c r="AF256" s="2498"/>
      <c r="AG256" s="2498"/>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5">
        <v>1.1499999999999999</v>
      </c>
      <c r="AC257" s="2505"/>
      <c r="AD257" s="2505"/>
      <c r="AE257" s="2505"/>
      <c r="AF257" s="2505"/>
      <c r="AG257" s="250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9">
        <f>PV(AB256/12,AB255*12,-AB253/12, ,0)</f>
        <v>0</v>
      </c>
      <c r="AC259" s="2490"/>
      <c r="AD259" s="2490"/>
      <c r="AE259" s="2490"/>
      <c r="AF259" s="2490"/>
      <c r="AG259" s="249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3">
        <f>IFERROR(('Sources and Uses Budget'!D105/'Sources and Uses Budget'!B105),0)</f>
        <v>0</v>
      </c>
      <c r="AC265" s="2494"/>
      <c r="AD265" s="2494"/>
      <c r="AE265" s="2494"/>
      <c r="AF265" s="2494"/>
      <c r="AG265" s="249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3">
        <f>AD210*(1-AB265)</f>
        <v>0</v>
      </c>
      <c r="AH267" s="2483"/>
      <c r="AI267" s="2483"/>
      <c r="AJ267" s="2483"/>
      <c r="AK267" s="2483"/>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3">
        <f>'Sources and Uses Budget'!C105</f>
        <v>142708832</v>
      </c>
      <c r="AH268" s="2483"/>
      <c r="AI268" s="2483"/>
      <c r="AJ268" s="2483"/>
      <c r="AK268" s="248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4">
        <f>ROUNDDOWN(IF(AND(C305="Yes",AK83=10),((AG267*2)/AG268),AG267/AG268),2)</f>
        <v>0</v>
      </c>
      <c r="AH269" s="2484"/>
      <c r="AI269" s="2484"/>
      <c r="AJ269" s="2484"/>
      <c r="AK269" s="2484"/>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5">
        <f>IFERROR(IF(AG269=0,0,IF((AG269*100)&gt;8,8,(AG269*100))),0)</f>
        <v>0</v>
      </c>
      <c r="AL272" s="2485"/>
      <c r="AM272" s="2486"/>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7" t="s">
        <v>545</v>
      </c>
      <c r="D279" s="2477"/>
      <c r="E279" s="546"/>
      <c r="F279" s="2632" t="s">
        <v>2570</v>
      </c>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49"/>
      <c r="AF279" s="633"/>
      <c r="AG279" s="2478" t="s">
        <v>1357</v>
      </c>
      <c r="AH279" s="2478"/>
      <c r="AI279" s="2478"/>
      <c r="AJ279" s="2478"/>
      <c r="AK279" s="549"/>
      <c r="AL279" s="549"/>
      <c r="AM279" s="549"/>
      <c r="AO279" s="549"/>
    </row>
    <row r="280" spans="1:52" ht="13.7" customHeight="1">
      <c r="A280" s="549"/>
      <c r="B280" s="594"/>
      <c r="C280" s="634"/>
      <c r="D280" s="549"/>
      <c r="E280" s="546"/>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49"/>
      <c r="AF280" s="633"/>
      <c r="AG280" s="633"/>
      <c r="AH280" s="633"/>
      <c r="AI280" s="633"/>
      <c r="AJ280" s="549"/>
      <c r="AK280" s="549"/>
      <c r="AL280" s="549"/>
      <c r="AM280" s="549"/>
      <c r="AO280" s="549"/>
    </row>
    <row r="281" spans="1:52" ht="13.7" customHeight="1">
      <c r="A281" s="549"/>
      <c r="B281" s="594"/>
      <c r="C281" s="634"/>
      <c r="D281" s="549"/>
      <c r="E281" s="546"/>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49"/>
      <c r="AF281" s="633"/>
      <c r="AG281" s="633"/>
      <c r="AH281" s="633"/>
      <c r="AI281" s="633"/>
      <c r="AJ281" s="549"/>
      <c r="AK281" s="549"/>
      <c r="AL281" s="549"/>
      <c r="AM281" s="549"/>
      <c r="AO281" s="549"/>
    </row>
    <row r="282" spans="1:52" ht="13.7" customHeight="1">
      <c r="A282" s="549"/>
      <c r="B282" s="594"/>
      <c r="C282" s="634"/>
      <c r="D282" s="549"/>
      <c r="E282" s="546"/>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49"/>
      <c r="AF282" s="633"/>
      <c r="AG282" s="633"/>
      <c r="AH282" s="633"/>
      <c r="AI282" s="633"/>
      <c r="AJ282" s="549"/>
      <c r="AK282" s="549"/>
      <c r="AL282" s="549"/>
      <c r="AM282" s="549"/>
      <c r="AO282" s="549"/>
    </row>
    <row r="283" spans="1:52" ht="13.7" customHeight="1">
      <c r="A283" s="549"/>
      <c r="B283" s="594"/>
      <c r="C283" s="634"/>
      <c r="D283" s="549"/>
      <c r="E283" s="546"/>
      <c r="F283" s="2635"/>
      <c r="G283" s="2636"/>
      <c r="H283" s="2636"/>
      <c r="I283" s="2636"/>
      <c r="J283" s="2636"/>
      <c r="K283" s="2636"/>
      <c r="L283" s="2636"/>
      <c r="M283" s="2636"/>
      <c r="N283" s="2636"/>
      <c r="O283" s="2636"/>
      <c r="P283" s="2636"/>
      <c r="Q283" s="2636"/>
      <c r="R283" s="2636"/>
      <c r="S283" s="2636"/>
      <c r="T283" s="2636"/>
      <c r="U283" s="2636"/>
      <c r="V283" s="2636"/>
      <c r="W283" s="2636"/>
      <c r="X283" s="2636"/>
      <c r="Y283" s="2636"/>
      <c r="Z283" s="2636"/>
      <c r="AA283" s="2636"/>
      <c r="AB283" s="2636"/>
      <c r="AC283" s="2636"/>
      <c r="AD283" s="2637"/>
      <c r="AE283" s="549"/>
      <c r="AF283" s="633"/>
      <c r="AG283" s="633"/>
      <c r="AH283" s="633"/>
      <c r="AI283" s="633"/>
      <c r="AJ283" s="549"/>
      <c r="AK283" s="549"/>
      <c r="AL283" s="549"/>
      <c r="AM283" s="549"/>
      <c r="AO283" s="549"/>
    </row>
    <row r="284" spans="1:52">
      <c r="A284" s="549"/>
      <c r="B284" s="594"/>
      <c r="C284" s="634"/>
      <c r="D284" s="549"/>
      <c r="E284" s="546"/>
      <c r="F284" s="2635"/>
      <c r="G284" s="2636"/>
      <c r="H284" s="2636"/>
      <c r="I284" s="2636"/>
      <c r="J284" s="2636"/>
      <c r="K284" s="2636"/>
      <c r="L284" s="2636"/>
      <c r="M284" s="2636"/>
      <c r="N284" s="2636"/>
      <c r="O284" s="2636"/>
      <c r="P284" s="2636"/>
      <c r="Q284" s="2636"/>
      <c r="R284" s="2636"/>
      <c r="S284" s="2636"/>
      <c r="T284" s="2636"/>
      <c r="U284" s="2636"/>
      <c r="V284" s="2636"/>
      <c r="W284" s="2636"/>
      <c r="X284" s="2636"/>
      <c r="Y284" s="2636"/>
      <c r="Z284" s="2636"/>
      <c r="AA284" s="2636"/>
      <c r="AB284" s="2636"/>
      <c r="AC284" s="2636"/>
      <c r="AD284" s="2637"/>
      <c r="AE284" s="549"/>
      <c r="AF284" s="633"/>
      <c r="AG284" s="633"/>
      <c r="AH284" s="633"/>
      <c r="AI284" s="633"/>
      <c r="AJ284" s="549"/>
      <c r="AK284" s="549"/>
      <c r="AL284" s="549"/>
      <c r="AM284" s="549"/>
      <c r="AO284" s="549"/>
      <c r="AP284" s="635"/>
    </row>
    <row r="285" spans="1:52">
      <c r="A285" s="549"/>
      <c r="B285" s="594"/>
      <c r="C285" s="634"/>
      <c r="D285" s="549"/>
      <c r="E285" s="546"/>
      <c r="F285" s="2635"/>
      <c r="G285" s="2636"/>
      <c r="H285" s="2636"/>
      <c r="I285" s="2636"/>
      <c r="J285" s="2636"/>
      <c r="K285" s="2636"/>
      <c r="L285" s="2636"/>
      <c r="M285" s="2636"/>
      <c r="N285" s="2636"/>
      <c r="O285" s="2636"/>
      <c r="P285" s="2636"/>
      <c r="Q285" s="2636"/>
      <c r="R285" s="2636"/>
      <c r="S285" s="2636"/>
      <c r="T285" s="2636"/>
      <c r="U285" s="2636"/>
      <c r="V285" s="2636"/>
      <c r="W285" s="2636"/>
      <c r="X285" s="2636"/>
      <c r="Y285" s="2636"/>
      <c r="Z285" s="2636"/>
      <c r="AA285" s="2636"/>
      <c r="AB285" s="2636"/>
      <c r="AC285" s="2636"/>
      <c r="AD285" s="2637"/>
      <c r="AE285" s="549"/>
      <c r="AF285" s="633"/>
      <c r="AG285" s="633"/>
      <c r="AH285" s="633"/>
      <c r="AI285" s="633"/>
      <c r="AJ285" s="549"/>
      <c r="AK285" s="549"/>
      <c r="AL285" s="549"/>
      <c r="AM285" s="549"/>
      <c r="AO285" s="549"/>
      <c r="AP285" s="635"/>
    </row>
    <row r="286" spans="1:52" ht="13.7" customHeight="1">
      <c r="A286" s="549"/>
      <c r="B286" s="594"/>
      <c r="C286" s="2479"/>
      <c r="D286" s="2479"/>
      <c r="E286" s="546"/>
      <c r="F286" s="2638"/>
      <c r="G286" s="2639"/>
      <c r="H286" s="2639"/>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39"/>
      <c r="AD286" s="2640"/>
      <c r="AE286" s="549"/>
      <c r="AF286" s="633"/>
      <c r="AG286" s="2478"/>
      <c r="AH286" s="2478"/>
      <c r="AI286" s="2478"/>
      <c r="AJ286" s="2478"/>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3" t="s">
        <v>2577</v>
      </c>
      <c r="C289" s="2393"/>
      <c r="D289" s="2393"/>
      <c r="E289" s="2393"/>
      <c r="F289" s="2393"/>
      <c r="G289" s="2393"/>
      <c r="H289" s="2393"/>
      <c r="I289" s="2393"/>
      <c r="J289" s="2393"/>
      <c r="K289" s="2393"/>
      <c r="L289" s="2393"/>
      <c r="M289" s="2393"/>
      <c r="N289" s="2393"/>
      <c r="O289" s="2393"/>
      <c r="P289" s="2393"/>
      <c r="Q289" s="2393"/>
      <c r="R289" s="2393"/>
      <c r="S289" s="2393"/>
      <c r="T289" s="2393"/>
      <c r="U289" s="2393"/>
      <c r="V289" s="2393"/>
      <c r="W289" s="2393"/>
      <c r="X289" s="2393"/>
      <c r="Y289" s="2393"/>
      <c r="Z289" s="2393"/>
      <c r="AA289" s="2393"/>
      <c r="AB289" s="2393"/>
      <c r="AC289" s="2393"/>
      <c r="AD289" s="2393"/>
      <c r="AE289" s="2393"/>
      <c r="AF289" s="2393"/>
      <c r="AG289" s="2393"/>
      <c r="AH289" s="2393"/>
      <c r="AI289" s="2393"/>
      <c r="AJ289" s="2393"/>
      <c r="AK289" s="2393"/>
      <c r="AL289" s="2393"/>
      <c r="AM289" s="549"/>
      <c r="AN289" s="73"/>
    </row>
    <row r="290" spans="1:49">
      <c r="A290" s="549"/>
      <c r="B290" s="2393"/>
      <c r="C290" s="2393"/>
      <c r="D290" s="2393"/>
      <c r="E290" s="2393"/>
      <c r="F290" s="2393"/>
      <c r="G290" s="2393"/>
      <c r="H290" s="2393"/>
      <c r="I290" s="2393"/>
      <c r="J290" s="2393"/>
      <c r="K290" s="2393"/>
      <c r="L290" s="2393"/>
      <c r="M290" s="2393"/>
      <c r="N290" s="2393"/>
      <c r="O290" s="2393"/>
      <c r="P290" s="2393"/>
      <c r="Q290" s="2393"/>
      <c r="R290" s="2393"/>
      <c r="S290" s="2393"/>
      <c r="T290" s="2393"/>
      <c r="U290" s="2393"/>
      <c r="V290" s="2393"/>
      <c r="W290" s="2393"/>
      <c r="X290" s="2393"/>
      <c r="Y290" s="2393"/>
      <c r="Z290" s="2393"/>
      <c r="AA290" s="2393"/>
      <c r="AB290" s="2393"/>
      <c r="AC290" s="2393"/>
      <c r="AD290" s="2393"/>
      <c r="AE290" s="2393"/>
      <c r="AF290" s="2393"/>
      <c r="AG290" s="2393"/>
      <c r="AH290" s="2393"/>
      <c r="AI290" s="2393"/>
      <c r="AJ290" s="2393"/>
      <c r="AK290" s="2393"/>
      <c r="AL290" s="2393"/>
      <c r="AM290" s="549"/>
      <c r="AN290" s="73"/>
    </row>
    <row r="291" spans="1:49">
      <c r="A291" s="549"/>
      <c r="B291" s="2393"/>
      <c r="C291" s="2393"/>
      <c r="D291" s="2393"/>
      <c r="E291" s="2393"/>
      <c r="F291" s="2393"/>
      <c r="G291" s="2393"/>
      <c r="H291" s="2393"/>
      <c r="I291" s="2393"/>
      <c r="J291" s="2393"/>
      <c r="K291" s="2393"/>
      <c r="L291" s="2393"/>
      <c r="M291" s="2393"/>
      <c r="N291" s="2393"/>
      <c r="O291" s="2393"/>
      <c r="P291" s="2393"/>
      <c r="Q291" s="2393"/>
      <c r="R291" s="2393"/>
      <c r="S291" s="2393"/>
      <c r="T291" s="2393"/>
      <c r="U291" s="2393"/>
      <c r="V291" s="2393"/>
      <c r="W291" s="2393"/>
      <c r="X291" s="2393"/>
      <c r="Y291" s="2393"/>
      <c r="Z291" s="2393"/>
      <c r="AA291" s="2393"/>
      <c r="AB291" s="2393"/>
      <c r="AC291" s="2393"/>
      <c r="AD291" s="2393"/>
      <c r="AE291" s="2393"/>
      <c r="AF291" s="2393"/>
      <c r="AG291" s="2393"/>
      <c r="AH291" s="2393"/>
      <c r="AI291" s="2393"/>
      <c r="AJ291" s="2393"/>
      <c r="AK291" s="2393"/>
      <c r="AL291" s="2393"/>
      <c r="AM291" s="549"/>
      <c r="AN291" s="73"/>
    </row>
    <row r="292" spans="1:49">
      <c r="A292" s="549"/>
      <c r="B292" s="2393"/>
      <c r="C292" s="2393"/>
      <c r="D292" s="2393"/>
      <c r="E292" s="2393"/>
      <c r="F292" s="2393"/>
      <c r="G292" s="2393"/>
      <c r="H292" s="2393"/>
      <c r="I292" s="2393"/>
      <c r="J292" s="2393"/>
      <c r="K292" s="2393"/>
      <c r="L292" s="2393"/>
      <c r="M292" s="2393"/>
      <c r="N292" s="2393"/>
      <c r="O292" s="2393"/>
      <c r="P292" s="2393"/>
      <c r="Q292" s="2393"/>
      <c r="R292" s="2393"/>
      <c r="S292" s="2393"/>
      <c r="T292" s="2393"/>
      <c r="U292" s="2393"/>
      <c r="V292" s="2393"/>
      <c r="W292" s="2393"/>
      <c r="X292" s="2393"/>
      <c r="Y292" s="2393"/>
      <c r="Z292" s="2393"/>
      <c r="AA292" s="2393"/>
      <c r="AB292" s="2393"/>
      <c r="AC292" s="2393"/>
      <c r="AD292" s="2393"/>
      <c r="AE292" s="2393"/>
      <c r="AF292" s="2393"/>
      <c r="AG292" s="2393"/>
      <c r="AH292" s="2393"/>
      <c r="AI292" s="2393"/>
      <c r="AJ292" s="2393"/>
      <c r="AK292" s="2393"/>
      <c r="AL292" s="2393"/>
      <c r="AM292" s="549"/>
      <c r="AN292" s="73"/>
    </row>
    <row r="293" spans="1:49">
      <c r="A293" s="549"/>
      <c r="B293" s="2393"/>
      <c r="C293" s="2393"/>
      <c r="D293" s="2393"/>
      <c r="E293" s="2393"/>
      <c r="F293" s="2393"/>
      <c r="G293" s="2393"/>
      <c r="H293" s="2393"/>
      <c r="I293" s="2393"/>
      <c r="J293" s="2393"/>
      <c r="K293" s="2393"/>
      <c r="L293" s="2393"/>
      <c r="M293" s="2393"/>
      <c r="N293" s="2393"/>
      <c r="O293" s="2393"/>
      <c r="P293" s="2393"/>
      <c r="Q293" s="2393"/>
      <c r="R293" s="2393"/>
      <c r="S293" s="2393"/>
      <c r="T293" s="2393"/>
      <c r="U293" s="2393"/>
      <c r="V293" s="2393"/>
      <c r="W293" s="2393"/>
      <c r="X293" s="2393"/>
      <c r="Y293" s="2393"/>
      <c r="Z293" s="2393"/>
      <c r="AA293" s="2393"/>
      <c r="AB293" s="2393"/>
      <c r="AC293" s="2393"/>
      <c r="AD293" s="2393"/>
      <c r="AE293" s="2393"/>
      <c r="AF293" s="2393"/>
      <c r="AG293" s="2393"/>
      <c r="AH293" s="2393"/>
      <c r="AI293" s="2393"/>
      <c r="AJ293" s="2393"/>
      <c r="AK293" s="2393"/>
      <c r="AL293" s="2393"/>
      <c r="AM293" s="549"/>
      <c r="AN293" s="73"/>
    </row>
    <row r="294" spans="1:49">
      <c r="A294" s="549"/>
      <c r="B294" s="2393"/>
      <c r="C294" s="2393"/>
      <c r="D294" s="2393"/>
      <c r="E294" s="2393"/>
      <c r="F294" s="2393"/>
      <c r="G294" s="2393"/>
      <c r="H294" s="2393"/>
      <c r="I294" s="2393"/>
      <c r="J294" s="2393"/>
      <c r="K294" s="2393"/>
      <c r="L294" s="2393"/>
      <c r="M294" s="2393"/>
      <c r="N294" s="2393"/>
      <c r="O294" s="2393"/>
      <c r="P294" s="2393"/>
      <c r="Q294" s="2393"/>
      <c r="R294" s="2393"/>
      <c r="S294" s="2393"/>
      <c r="T294" s="2393"/>
      <c r="U294" s="2393"/>
      <c r="V294" s="2393"/>
      <c r="W294" s="2393"/>
      <c r="X294" s="2393"/>
      <c r="Y294" s="2393"/>
      <c r="Z294" s="2393"/>
      <c r="AA294" s="2393"/>
      <c r="AB294" s="2393"/>
      <c r="AC294" s="2393"/>
      <c r="AD294" s="2393"/>
      <c r="AE294" s="2393"/>
      <c r="AF294" s="2393"/>
      <c r="AG294" s="2393"/>
      <c r="AH294" s="2393"/>
      <c r="AI294" s="2393"/>
      <c r="AJ294" s="2393"/>
      <c r="AK294" s="2393"/>
      <c r="AL294" s="2393"/>
      <c r="AM294" s="549"/>
      <c r="AN294" s="73"/>
    </row>
    <row r="295" spans="1:49">
      <c r="A295" s="549"/>
      <c r="B295" s="2393"/>
      <c r="C295" s="2393"/>
      <c r="D295" s="2393"/>
      <c r="E295" s="2393"/>
      <c r="F295" s="2393"/>
      <c r="G295" s="2393"/>
      <c r="H295" s="2393"/>
      <c r="I295" s="2393"/>
      <c r="J295" s="2393"/>
      <c r="K295" s="2393"/>
      <c r="L295" s="2393"/>
      <c r="M295" s="2393"/>
      <c r="N295" s="2393"/>
      <c r="O295" s="2393"/>
      <c r="P295" s="2393"/>
      <c r="Q295" s="2393"/>
      <c r="R295" s="2393"/>
      <c r="S295" s="2393"/>
      <c r="T295" s="2393"/>
      <c r="U295" s="2393"/>
      <c r="V295" s="2393"/>
      <c r="W295" s="2393"/>
      <c r="X295" s="2393"/>
      <c r="Y295" s="2393"/>
      <c r="Z295" s="2393"/>
      <c r="AA295" s="2393"/>
      <c r="AB295" s="2393"/>
      <c r="AC295" s="2393"/>
      <c r="AD295" s="2393"/>
      <c r="AE295" s="2393"/>
      <c r="AF295" s="2393"/>
      <c r="AG295" s="2393"/>
      <c r="AH295" s="2393"/>
      <c r="AI295" s="2393"/>
      <c r="AJ295" s="2393"/>
      <c r="AK295" s="2393"/>
      <c r="AL295" s="2393"/>
      <c r="AM295" s="549"/>
      <c r="AN295" s="73"/>
    </row>
    <row r="296" spans="1:49">
      <c r="A296" s="549"/>
      <c r="B296" s="2393"/>
      <c r="C296" s="2393"/>
      <c r="D296" s="2393"/>
      <c r="E296" s="2393"/>
      <c r="F296" s="2393"/>
      <c r="G296" s="2393"/>
      <c r="H296" s="2393"/>
      <c r="I296" s="2393"/>
      <c r="J296" s="2393"/>
      <c r="K296" s="2393"/>
      <c r="L296" s="2393"/>
      <c r="M296" s="2393"/>
      <c r="N296" s="2393"/>
      <c r="O296" s="2393"/>
      <c r="P296" s="2393"/>
      <c r="Q296" s="2393"/>
      <c r="R296" s="2393"/>
      <c r="S296" s="2393"/>
      <c r="T296" s="2393"/>
      <c r="U296" s="2393"/>
      <c r="V296" s="2393"/>
      <c r="W296" s="2393"/>
      <c r="X296" s="2393"/>
      <c r="Y296" s="2393"/>
      <c r="Z296" s="2393"/>
      <c r="AA296" s="2393"/>
      <c r="AB296" s="2393"/>
      <c r="AC296" s="2393"/>
      <c r="AD296" s="2393"/>
      <c r="AE296" s="2393"/>
      <c r="AF296" s="2393"/>
      <c r="AG296" s="2393"/>
      <c r="AH296" s="2393"/>
      <c r="AI296" s="2393"/>
      <c r="AJ296" s="2393"/>
      <c r="AK296" s="2393"/>
      <c r="AL296" s="239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5">
        <f>IF($C$279="yes",10,0)</f>
        <v>10</v>
      </c>
      <c r="AL298" s="2485"/>
      <c r="AM298" s="2486"/>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2" t="s">
        <v>1374</v>
      </c>
      <c r="B305" s="1672"/>
      <c r="C305" s="2467" t="s">
        <v>591</v>
      </c>
      <c r="D305" s="2477"/>
      <c r="E305" s="546"/>
      <c r="F305" s="2499" t="s">
        <v>1375</v>
      </c>
      <c r="G305" s="2500"/>
      <c r="H305" s="2500"/>
      <c r="I305" s="2500"/>
      <c r="J305" s="2500"/>
      <c r="K305" s="2500"/>
      <c r="L305" s="2500"/>
      <c r="M305" s="2500"/>
      <c r="N305" s="2500"/>
      <c r="O305" s="2500"/>
      <c r="P305" s="2500"/>
      <c r="Q305" s="2500"/>
      <c r="R305" s="2500"/>
      <c r="S305" s="2500"/>
      <c r="T305" s="2500"/>
      <c r="U305" s="2500"/>
      <c r="V305" s="2500"/>
      <c r="W305" s="2500"/>
      <c r="X305" s="2500"/>
      <c r="Y305" s="2500"/>
      <c r="Z305" s="2500"/>
      <c r="AA305" s="2500"/>
      <c r="AB305" s="2500"/>
      <c r="AC305" s="2500"/>
      <c r="AD305" s="2501"/>
      <c r="AE305" s="640"/>
      <c r="AF305" s="549"/>
      <c r="AG305" s="2502" t="s">
        <v>1982</v>
      </c>
      <c r="AH305" s="2502"/>
      <c r="AI305" s="2502"/>
      <c r="AJ305" s="2502"/>
      <c r="AK305" s="2502"/>
      <c r="AL305" s="549"/>
      <c r="AM305" s="549"/>
      <c r="AN305" s="73"/>
      <c r="AO305" s="14"/>
      <c r="AP305" s="30"/>
      <c r="AS305" s="568"/>
      <c r="AT305" s="568"/>
      <c r="AU305" s="568"/>
      <c r="AV305" s="32"/>
      <c r="AW305" s="32"/>
    </row>
    <row r="306" spans="1:49">
      <c r="A306" s="638"/>
      <c r="B306" s="594"/>
      <c r="F306" s="2471"/>
      <c r="G306" s="2472"/>
      <c r="H306" s="2472"/>
      <c r="I306" s="2472"/>
      <c r="J306" s="2472"/>
      <c r="K306" s="2472"/>
      <c r="L306" s="2472"/>
      <c r="M306" s="2472"/>
      <c r="N306" s="2472"/>
      <c r="O306" s="2472"/>
      <c r="P306" s="2472"/>
      <c r="Q306" s="2472"/>
      <c r="R306" s="2472"/>
      <c r="S306" s="2472"/>
      <c r="T306" s="2472"/>
      <c r="U306" s="2472"/>
      <c r="V306" s="2472"/>
      <c r="W306" s="2472"/>
      <c r="X306" s="2472"/>
      <c r="Y306" s="2472"/>
      <c r="Z306" s="2472"/>
      <c r="AA306" s="2472"/>
      <c r="AB306" s="2472"/>
      <c r="AC306" s="2472"/>
      <c r="AD306" s="247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1"/>
      <c r="G307" s="2472"/>
      <c r="H307" s="2472"/>
      <c r="I307" s="2472"/>
      <c r="J307" s="2472"/>
      <c r="K307" s="2472"/>
      <c r="L307" s="2472"/>
      <c r="M307" s="2472"/>
      <c r="N307" s="2472"/>
      <c r="O307" s="2472"/>
      <c r="P307" s="2472"/>
      <c r="Q307" s="2472"/>
      <c r="R307" s="2472"/>
      <c r="S307" s="2472"/>
      <c r="T307" s="2472"/>
      <c r="U307" s="2472"/>
      <c r="V307" s="2472"/>
      <c r="W307" s="2472"/>
      <c r="X307" s="2472"/>
      <c r="Y307" s="2472"/>
      <c r="Z307" s="2472"/>
      <c r="AA307" s="2472"/>
      <c r="AB307" s="2472"/>
      <c r="AC307" s="2472"/>
      <c r="AD307" s="2473"/>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71" t="s">
        <v>1987</v>
      </c>
      <c r="G308" s="2472"/>
      <c r="H308" s="2472"/>
      <c r="I308" s="2472"/>
      <c r="J308" s="2472"/>
      <c r="K308" s="2472"/>
      <c r="L308" s="2472"/>
      <c r="M308" s="2472"/>
      <c r="N308" s="2472"/>
      <c r="O308" s="2472"/>
      <c r="P308" s="2472"/>
      <c r="Q308" s="2472"/>
      <c r="R308" s="2472"/>
      <c r="S308" s="2472"/>
      <c r="T308" s="2472"/>
      <c r="U308" s="2472"/>
      <c r="V308" s="2472"/>
      <c r="W308" s="2472"/>
      <c r="X308" s="2472"/>
      <c r="Y308" s="2472"/>
      <c r="Z308" s="2472"/>
      <c r="AA308" s="2472"/>
      <c r="AB308" s="2472"/>
      <c r="AC308" s="2472"/>
      <c r="AD308" s="2473"/>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71"/>
      <c r="G309" s="2472"/>
      <c r="H309" s="2472"/>
      <c r="I309" s="2472"/>
      <c r="J309" s="2472"/>
      <c r="K309" s="2472"/>
      <c r="L309" s="2472"/>
      <c r="M309" s="2472"/>
      <c r="N309" s="2472"/>
      <c r="O309" s="2472"/>
      <c r="P309" s="2472"/>
      <c r="Q309" s="2472"/>
      <c r="R309" s="2472"/>
      <c r="S309" s="2472"/>
      <c r="T309" s="2472"/>
      <c r="U309" s="2472"/>
      <c r="V309" s="2472"/>
      <c r="W309" s="2472"/>
      <c r="X309" s="2472"/>
      <c r="Y309" s="2472"/>
      <c r="Z309" s="2472"/>
      <c r="AA309" s="2472"/>
      <c r="AB309" s="2472"/>
      <c r="AC309" s="2472"/>
      <c r="AD309" s="247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1" t="s">
        <v>1376</v>
      </c>
      <c r="G310" s="2472"/>
      <c r="H310" s="2472"/>
      <c r="I310" s="2472"/>
      <c r="J310" s="2472"/>
      <c r="K310" s="2472"/>
      <c r="L310" s="2472"/>
      <c r="M310" s="2472"/>
      <c r="N310" s="2472"/>
      <c r="O310" s="2472"/>
      <c r="P310" s="2472"/>
      <c r="Q310" s="2472"/>
      <c r="R310" s="2472"/>
      <c r="S310" s="2472"/>
      <c r="T310" s="2472"/>
      <c r="U310" s="2472"/>
      <c r="V310" s="2472"/>
      <c r="W310" s="2472"/>
      <c r="X310" s="2472"/>
      <c r="Y310" s="2472"/>
      <c r="Z310" s="2472"/>
      <c r="AA310" s="2472"/>
      <c r="AB310" s="2472"/>
      <c r="AC310" s="2472"/>
      <c r="AD310" s="247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1"/>
      <c r="G311" s="2472"/>
      <c r="H311" s="2472"/>
      <c r="I311" s="2472"/>
      <c r="J311" s="2472"/>
      <c r="K311" s="2472"/>
      <c r="L311" s="2472"/>
      <c r="M311" s="2472"/>
      <c r="N311" s="2472"/>
      <c r="O311" s="2472"/>
      <c r="P311" s="2472"/>
      <c r="Q311" s="2472"/>
      <c r="R311" s="2472"/>
      <c r="S311" s="2472"/>
      <c r="T311" s="2472"/>
      <c r="U311" s="2472"/>
      <c r="V311" s="2472"/>
      <c r="W311" s="2472"/>
      <c r="X311" s="2472"/>
      <c r="Y311" s="2472"/>
      <c r="Z311" s="2472"/>
      <c r="AA311" s="2472"/>
      <c r="AB311" s="2472"/>
      <c r="AC311" s="2472"/>
      <c r="AD311" s="247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1" t="s">
        <v>1377</v>
      </c>
      <c r="G312" s="2472"/>
      <c r="H312" s="2472"/>
      <c r="I312" s="2472"/>
      <c r="J312" s="2472"/>
      <c r="K312" s="2472"/>
      <c r="L312" s="2472"/>
      <c r="M312" s="2472"/>
      <c r="N312" s="2472"/>
      <c r="O312" s="2472"/>
      <c r="P312" s="2472"/>
      <c r="Q312" s="2472"/>
      <c r="R312" s="2472"/>
      <c r="S312" s="2472"/>
      <c r="T312" s="2472"/>
      <c r="U312" s="2472"/>
      <c r="V312" s="2472"/>
      <c r="W312" s="2472"/>
      <c r="X312" s="2472"/>
      <c r="Y312" s="2472"/>
      <c r="Z312" s="2472"/>
      <c r="AA312" s="2472"/>
      <c r="AB312" s="2472"/>
      <c r="AC312" s="2472"/>
      <c r="AD312" s="247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4"/>
      <c r="G313" s="2475"/>
      <c r="H313" s="2475"/>
      <c r="I313" s="2475"/>
      <c r="J313" s="2475"/>
      <c r="K313" s="2475"/>
      <c r="L313" s="2475"/>
      <c r="M313" s="2475"/>
      <c r="N313" s="2475"/>
      <c r="O313" s="2475"/>
      <c r="P313" s="2475"/>
      <c r="Q313" s="2475"/>
      <c r="R313" s="2475"/>
      <c r="S313" s="2475"/>
      <c r="T313" s="2475"/>
      <c r="U313" s="2475"/>
      <c r="V313" s="2475"/>
      <c r="W313" s="2475"/>
      <c r="X313" s="2475"/>
      <c r="Y313" s="2475"/>
      <c r="Z313" s="2475"/>
      <c r="AA313" s="2475"/>
      <c r="AB313" s="2475"/>
      <c r="AC313" s="2475"/>
      <c r="AD313" s="247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2" t="s">
        <v>1378</v>
      </c>
      <c r="B315" s="1672"/>
      <c r="C315" s="2477" t="s">
        <v>545</v>
      </c>
      <c r="D315" s="2477"/>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71" t="s">
        <v>1983</v>
      </c>
      <c r="G316" s="2472"/>
      <c r="H316" s="2472"/>
      <c r="I316" s="2472"/>
      <c r="J316" s="2472"/>
      <c r="K316" s="2472"/>
      <c r="L316" s="2472"/>
      <c r="M316" s="2472"/>
      <c r="N316" s="2472"/>
      <c r="O316" s="2472"/>
      <c r="P316" s="2472"/>
      <c r="Q316" s="2472"/>
      <c r="R316" s="2472"/>
      <c r="S316" s="2472"/>
      <c r="T316" s="2472"/>
      <c r="U316" s="2472"/>
      <c r="V316" s="2472"/>
      <c r="W316" s="2472"/>
      <c r="X316" s="2472"/>
      <c r="Y316" s="2472"/>
      <c r="Z316" s="2472"/>
      <c r="AA316" s="2472"/>
      <c r="AB316" s="2472"/>
      <c r="AC316" s="2472"/>
      <c r="AD316" s="2473"/>
      <c r="AE316" s="550"/>
      <c r="AF316" s="550"/>
      <c r="AG316" s="550"/>
      <c r="AH316" s="550"/>
      <c r="AI316" s="550"/>
      <c r="AJ316" s="549"/>
      <c r="AK316" s="549"/>
      <c r="AL316" s="549"/>
      <c r="AM316" s="549"/>
      <c r="AR316" s="644"/>
    </row>
    <row r="317" spans="1:49" ht="15" customHeight="1">
      <c r="A317" s="549"/>
      <c r="B317" s="550"/>
      <c r="C317" s="549"/>
      <c r="D317" s="550"/>
      <c r="E317" s="549"/>
      <c r="F317" s="2471"/>
      <c r="G317" s="2472"/>
      <c r="H317" s="2472"/>
      <c r="I317" s="2472"/>
      <c r="J317" s="2472"/>
      <c r="K317" s="2472"/>
      <c r="L317" s="2472"/>
      <c r="M317" s="2472"/>
      <c r="N317" s="2472"/>
      <c r="O317" s="2472"/>
      <c r="P317" s="2472"/>
      <c r="Q317" s="2472"/>
      <c r="R317" s="2472"/>
      <c r="S317" s="2472"/>
      <c r="T317" s="2472"/>
      <c r="U317" s="2472"/>
      <c r="V317" s="2472"/>
      <c r="W317" s="2472"/>
      <c r="X317" s="2472"/>
      <c r="Y317" s="2472"/>
      <c r="Z317" s="2472"/>
      <c r="AA317" s="2472"/>
      <c r="AB317" s="2472"/>
      <c r="AC317" s="2472"/>
      <c r="AD317" s="2473"/>
      <c r="AE317" s="550"/>
      <c r="AF317" s="550"/>
      <c r="AG317" s="550"/>
      <c r="AH317" s="550"/>
      <c r="AI317" s="550"/>
      <c r="AJ317" s="549"/>
      <c r="AK317" s="549"/>
      <c r="AL317" s="549"/>
      <c r="AM317" s="549"/>
      <c r="AR317" s="644"/>
    </row>
    <row r="318" spans="1:49">
      <c r="A318" s="549"/>
      <c r="B318" s="550"/>
      <c r="C318" s="549"/>
      <c r="D318" s="550"/>
      <c r="E318" s="549"/>
      <c r="F318" s="2471"/>
      <c r="G318" s="2472"/>
      <c r="H318" s="2472"/>
      <c r="I318" s="2472"/>
      <c r="J318" s="2472"/>
      <c r="K318" s="2472"/>
      <c r="L318" s="2472"/>
      <c r="M318" s="2472"/>
      <c r="N318" s="2472"/>
      <c r="O318" s="2472"/>
      <c r="P318" s="2472"/>
      <c r="Q318" s="2472"/>
      <c r="R318" s="2472"/>
      <c r="S318" s="2472"/>
      <c r="T318" s="2472"/>
      <c r="U318" s="2472"/>
      <c r="V318" s="2472"/>
      <c r="W318" s="2472"/>
      <c r="X318" s="2472"/>
      <c r="Y318" s="2472"/>
      <c r="Z318" s="2472"/>
      <c r="AA318" s="2472"/>
      <c r="AB318" s="2472"/>
      <c r="AC318" s="2472"/>
      <c r="AD318" s="247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4"/>
      <c r="G319" s="2475"/>
      <c r="H319" s="2475"/>
      <c r="I319" s="2475"/>
      <c r="J319" s="2475"/>
      <c r="K319" s="2475"/>
      <c r="L319" s="2475"/>
      <c r="M319" s="2475"/>
      <c r="N319" s="2475"/>
      <c r="O319" s="2475"/>
      <c r="P319" s="2475"/>
      <c r="Q319" s="2475"/>
      <c r="R319" s="2475"/>
      <c r="S319" s="2475"/>
      <c r="T319" s="2475"/>
      <c r="U319" s="2475"/>
      <c r="V319" s="2475"/>
      <c r="W319" s="2475"/>
      <c r="X319" s="2475"/>
      <c r="Y319" s="2475"/>
      <c r="Z319" s="2475"/>
      <c r="AA319" s="2475"/>
      <c r="AB319" s="2475"/>
      <c r="AC319" s="2475"/>
      <c r="AD319" s="247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2" t="s">
        <v>1381</v>
      </c>
      <c r="B323" s="1672"/>
      <c r="C323" s="2477" t="s">
        <v>591</v>
      </c>
      <c r="D323" s="2477"/>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71" t="s">
        <v>1988</v>
      </c>
      <c r="G324" s="2472"/>
      <c r="H324" s="2472"/>
      <c r="I324" s="2472"/>
      <c r="J324" s="2472"/>
      <c r="K324" s="2472"/>
      <c r="L324" s="2472"/>
      <c r="M324" s="2472"/>
      <c r="N324" s="2472"/>
      <c r="O324" s="2472"/>
      <c r="P324" s="2472"/>
      <c r="Q324" s="2472"/>
      <c r="R324" s="2472"/>
      <c r="S324" s="2472"/>
      <c r="T324" s="2472"/>
      <c r="U324" s="2472"/>
      <c r="V324" s="2472"/>
      <c r="W324" s="2472"/>
      <c r="X324" s="2472"/>
      <c r="Y324" s="2472"/>
      <c r="Z324" s="2472"/>
      <c r="AA324" s="2472"/>
      <c r="AB324" s="2472"/>
      <c r="AC324" s="2472"/>
      <c r="AD324" s="2473"/>
      <c r="AE324" s="550"/>
      <c r="AF324" s="550"/>
      <c r="AG324" s="539"/>
      <c r="AH324" s="550"/>
      <c r="AI324" s="550"/>
      <c r="AJ324" s="549"/>
      <c r="AK324" s="549"/>
      <c r="AL324" s="549"/>
      <c r="AM324" s="549"/>
      <c r="AN324" s="73"/>
      <c r="AO324" s="14"/>
      <c r="AP324" s="555" t="s">
        <v>1184</v>
      </c>
    </row>
    <row r="325" spans="1:44" hidden="1">
      <c r="F325" s="2471"/>
      <c r="G325" s="2472"/>
      <c r="H325" s="2472"/>
      <c r="I325" s="2472"/>
      <c r="J325" s="2472"/>
      <c r="K325" s="2472"/>
      <c r="L325" s="2472"/>
      <c r="M325" s="2472"/>
      <c r="N325" s="2472"/>
      <c r="O325" s="2472"/>
      <c r="P325" s="2472"/>
      <c r="Q325" s="2472"/>
      <c r="R325" s="2472"/>
      <c r="S325" s="2472"/>
      <c r="T325" s="2472"/>
      <c r="U325" s="2472"/>
      <c r="V325" s="2472"/>
      <c r="W325" s="2472"/>
      <c r="X325" s="2472"/>
      <c r="Y325" s="2472"/>
      <c r="Z325" s="2472"/>
      <c r="AA325" s="2472"/>
      <c r="AB325" s="2472"/>
      <c r="AC325" s="2472"/>
      <c r="AD325" s="2473"/>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6" t="s">
        <v>1184</v>
      </c>
      <c r="G329" s="2507"/>
      <c r="H329" s="2507"/>
      <c r="I329" s="2507"/>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640"/>
      <c r="AF329" s="640"/>
      <c r="AG329" s="640"/>
      <c r="AH329" s="640"/>
      <c r="AI329" s="640"/>
      <c r="AJ329" s="640"/>
      <c r="AK329" s="640"/>
      <c r="AL329" s="549"/>
      <c r="AM329" s="549"/>
      <c r="AN329" s="73"/>
      <c r="AO329" s="14"/>
      <c r="AP329" s="30"/>
    </row>
    <row r="330" spans="1:44" hidden="1">
      <c r="A330" s="549"/>
      <c r="B330" s="550"/>
      <c r="C330" s="726"/>
      <c r="D330" s="726"/>
      <c r="E330" s="546"/>
      <c r="F330" s="2506"/>
      <c r="G330" s="2507"/>
      <c r="H330" s="2507"/>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0"/>
      <c r="AF330" s="550"/>
      <c r="AG330" s="539"/>
      <c r="AH330" s="550"/>
      <c r="AI330" s="550"/>
      <c r="AJ330" s="549"/>
      <c r="AK330" s="549"/>
      <c r="AL330" s="549"/>
      <c r="AM330" s="549"/>
      <c r="AN330" s="73"/>
      <c r="AO330" s="14"/>
      <c r="AP330" s="30"/>
    </row>
    <row r="331" spans="1:44" hidden="1">
      <c r="A331" s="549"/>
      <c r="B331" s="550"/>
      <c r="C331" s="726"/>
      <c r="D331" s="726"/>
      <c r="E331" s="546"/>
      <c r="F331" s="2506"/>
      <c r="G331" s="2507"/>
      <c r="H331" s="2507"/>
      <c r="I331" s="2507"/>
      <c r="J331" s="2507"/>
      <c r="K331" s="2507"/>
      <c r="L331" s="2507"/>
      <c r="M331" s="2507"/>
      <c r="N331" s="2507"/>
      <c r="O331" s="2507"/>
      <c r="P331" s="2507"/>
      <c r="Q331" s="2507"/>
      <c r="R331" s="2507"/>
      <c r="S331" s="2507"/>
      <c r="T331" s="2507"/>
      <c r="U331" s="2507"/>
      <c r="V331" s="2507"/>
      <c r="W331" s="2507"/>
      <c r="X331" s="2507"/>
      <c r="Y331" s="2507"/>
      <c r="Z331" s="2507"/>
      <c r="AA331" s="2507"/>
      <c r="AB331" s="2507"/>
      <c r="AC331" s="2507"/>
      <c r="AD331" s="2508"/>
      <c r="AE331" s="550"/>
      <c r="AF331" s="550"/>
      <c r="AG331" s="539"/>
      <c r="AH331" s="550"/>
      <c r="AI331" s="550"/>
      <c r="AJ331" s="549"/>
      <c r="AK331" s="549"/>
      <c r="AL331" s="549"/>
      <c r="AM331" s="549"/>
      <c r="AN331" s="73"/>
      <c r="AO331" s="14"/>
      <c r="AP331" s="30"/>
    </row>
    <row r="332" spans="1:44" hidden="1">
      <c r="A332" s="549"/>
      <c r="B332" s="550"/>
      <c r="C332" s="726"/>
      <c r="D332" s="726"/>
      <c r="E332" s="546"/>
      <c r="F332" s="2506"/>
      <c r="G332" s="2507"/>
      <c r="H332" s="2507"/>
      <c r="I332" s="2507"/>
      <c r="J332" s="2507"/>
      <c r="K332" s="2507"/>
      <c r="L332" s="2507"/>
      <c r="M332" s="2507"/>
      <c r="N332" s="2507"/>
      <c r="O332" s="2507"/>
      <c r="P332" s="2507"/>
      <c r="Q332" s="2507"/>
      <c r="R332" s="2507"/>
      <c r="S332" s="2507"/>
      <c r="T332" s="2507"/>
      <c r="U332" s="2507"/>
      <c r="V332" s="2507"/>
      <c r="W332" s="2507"/>
      <c r="X332" s="2507"/>
      <c r="Y332" s="2507"/>
      <c r="Z332" s="2507"/>
      <c r="AA332" s="2507"/>
      <c r="AB332" s="2507"/>
      <c r="AC332" s="2507"/>
      <c r="AD332" s="2508"/>
      <c r="AE332" s="550"/>
      <c r="AF332" s="550"/>
      <c r="AG332" s="539"/>
      <c r="AH332" s="550"/>
      <c r="AI332" s="550"/>
      <c r="AJ332" s="549"/>
      <c r="AK332" s="549"/>
      <c r="AL332" s="549"/>
      <c r="AM332" s="549"/>
      <c r="AN332" s="73"/>
      <c r="AO332" s="14"/>
      <c r="AP332" s="30"/>
    </row>
    <row r="333" spans="1:44" hidden="1">
      <c r="A333" s="549"/>
      <c r="B333" s="550"/>
      <c r="C333" s="726"/>
      <c r="D333" s="726"/>
      <c r="E333" s="546"/>
      <c r="F333" s="2509"/>
      <c r="G333" s="2510"/>
      <c r="H333" s="2510"/>
      <c r="I333" s="2510"/>
      <c r="J333" s="2510"/>
      <c r="K333" s="2510"/>
      <c r="L333" s="2510"/>
      <c r="M333" s="2510"/>
      <c r="N333" s="2510"/>
      <c r="O333" s="2510"/>
      <c r="P333" s="2510"/>
      <c r="Q333" s="2510"/>
      <c r="R333" s="2510"/>
      <c r="S333" s="2510"/>
      <c r="T333" s="2510"/>
      <c r="U333" s="2510"/>
      <c r="V333" s="2510"/>
      <c r="W333" s="2510"/>
      <c r="X333" s="2510"/>
      <c r="Y333" s="2510"/>
      <c r="Z333" s="2510"/>
      <c r="AA333" s="2510"/>
      <c r="AB333" s="2510"/>
      <c r="AC333" s="2510"/>
      <c r="AD333" s="251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12" t="s">
        <v>1184</v>
      </c>
      <c r="J337" s="2512"/>
      <c r="K337" s="2512"/>
      <c r="L337" s="2512"/>
      <c r="M337" s="2512"/>
      <c r="N337" s="2512"/>
      <c r="O337" s="2512"/>
      <c r="P337" s="2512"/>
      <c r="Q337" s="2512"/>
      <c r="R337" s="2512"/>
      <c r="S337" s="2512"/>
      <c r="T337" s="2512"/>
      <c r="U337" s="2512"/>
      <c r="V337" s="2512"/>
      <c r="W337" s="2512"/>
      <c r="X337" s="2512"/>
      <c r="Y337" s="2512"/>
      <c r="Z337" s="2512"/>
      <c r="AA337" s="2512"/>
      <c r="AB337" s="2512"/>
      <c r="AC337" s="2512"/>
      <c r="AD337" s="2513"/>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12"/>
      <c r="J338" s="2512"/>
      <c r="K338" s="2512"/>
      <c r="L338" s="2512"/>
      <c r="M338" s="2512"/>
      <c r="N338" s="2512"/>
      <c r="O338" s="2512"/>
      <c r="P338" s="2512"/>
      <c r="Q338" s="2512"/>
      <c r="R338" s="2512"/>
      <c r="S338" s="2512"/>
      <c r="T338" s="2512"/>
      <c r="U338" s="2512"/>
      <c r="V338" s="2512"/>
      <c r="W338" s="2512"/>
      <c r="X338" s="2512"/>
      <c r="Y338" s="2512"/>
      <c r="Z338" s="2512"/>
      <c r="AA338" s="2512"/>
      <c r="AB338" s="2512"/>
      <c r="AC338" s="2512"/>
      <c r="AD338" s="2513"/>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12"/>
      <c r="J339" s="2512"/>
      <c r="K339" s="2512"/>
      <c r="L339" s="2512"/>
      <c r="M339" s="2512"/>
      <c r="N339" s="2512"/>
      <c r="O339" s="2512"/>
      <c r="P339" s="2512"/>
      <c r="Q339" s="2512"/>
      <c r="R339" s="2512"/>
      <c r="S339" s="2512"/>
      <c r="T339" s="2512"/>
      <c r="U339" s="2512"/>
      <c r="V339" s="2512"/>
      <c r="W339" s="2512"/>
      <c r="X339" s="2512"/>
      <c r="Y339" s="2512"/>
      <c r="Z339" s="2512"/>
      <c r="AA339" s="2512"/>
      <c r="AB339" s="2512"/>
      <c r="AC339" s="2512"/>
      <c r="AD339" s="2513"/>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14"/>
      <c r="J340" s="2514"/>
      <c r="K340" s="2514"/>
      <c r="L340" s="2514"/>
      <c r="M340" s="2514"/>
      <c r="N340" s="2514"/>
      <c r="O340" s="2514"/>
      <c r="P340" s="2514"/>
      <c r="Q340" s="2514"/>
      <c r="R340" s="2514"/>
      <c r="S340" s="2514"/>
      <c r="T340" s="2514"/>
      <c r="U340" s="2514"/>
      <c r="V340" s="2514"/>
      <c r="W340" s="2514"/>
      <c r="X340" s="2514"/>
      <c r="Y340" s="2514"/>
      <c r="Z340" s="2514"/>
      <c r="AA340" s="2514"/>
      <c r="AB340" s="2514"/>
      <c r="AC340" s="2514"/>
      <c r="AD340" s="2515"/>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12" t="s">
        <v>1184</v>
      </c>
      <c r="J342" s="2512"/>
      <c r="K342" s="2512"/>
      <c r="L342" s="2512"/>
      <c r="M342" s="2512"/>
      <c r="N342" s="2512"/>
      <c r="O342" s="2512"/>
      <c r="P342" s="2512"/>
      <c r="Q342" s="2512"/>
      <c r="R342" s="2512"/>
      <c r="S342" s="2512"/>
      <c r="T342" s="2512"/>
      <c r="U342" s="2512"/>
      <c r="V342" s="2512"/>
      <c r="W342" s="2512"/>
      <c r="X342" s="2512"/>
      <c r="Y342" s="2512"/>
      <c r="Z342" s="2512"/>
      <c r="AA342" s="2512"/>
      <c r="AB342" s="2512"/>
      <c r="AC342" s="2512"/>
      <c r="AD342" s="251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3"/>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5"/>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2" t="s">
        <v>1384</v>
      </c>
      <c r="B346" s="1672"/>
      <c r="C346" s="2477" t="s">
        <v>591</v>
      </c>
      <c r="D346" s="2477"/>
      <c r="E346" s="546"/>
      <c r="F346" s="2410" t="s">
        <v>1989</v>
      </c>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2"/>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9"/>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1"/>
      <c r="AE347" s="550"/>
      <c r="AF347" s="550"/>
      <c r="AG347" s="550"/>
      <c r="AH347" s="550"/>
      <c r="AI347" s="550"/>
      <c r="AJ347" s="549"/>
      <c r="AK347" s="549"/>
      <c r="AL347" s="549"/>
      <c r="AM347" s="549"/>
      <c r="AN347" s="73"/>
      <c r="AO347" s="14"/>
    </row>
    <row r="348" spans="1:42" ht="15" hidden="1" customHeight="1">
      <c r="A348" s="549"/>
      <c r="B348" s="550"/>
      <c r="C348" s="550"/>
      <c r="D348" s="550"/>
      <c r="E348" s="550"/>
      <c r="F348" s="2439"/>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1"/>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80">
        <f>IF(NOT(OR(Application!M364="Yes",Application!M365="Yes")),0,AP308)</f>
        <v>9</v>
      </c>
      <c r="AL351" s="2481"/>
      <c r="AM351" s="248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22" t="s">
        <v>1308</v>
      </c>
      <c r="AF354" s="2422"/>
      <c r="AG354" s="2422"/>
      <c r="AH354" s="2422"/>
      <c r="AI354" s="2422"/>
      <c r="AJ354" s="2422"/>
      <c r="AK354" s="242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6" t="s">
        <v>1445</v>
      </c>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1"/>
      <c r="AL356" s="601"/>
      <c r="AM356" s="601"/>
      <c r="AN356" s="595"/>
    </row>
    <row r="357" spans="1:44" s="549" customFormat="1" ht="12.75" customHeight="1">
      <c r="A357" s="601"/>
      <c r="B357" s="609"/>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1"/>
      <c r="AL357" s="601"/>
      <c r="AM357" s="601"/>
      <c r="AN357" s="595"/>
    </row>
    <row r="358" spans="1:44" s="549" customFormat="1" ht="12.75" customHeight="1">
      <c r="A358" s="601"/>
      <c r="B358" s="609"/>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1"/>
      <c r="AL358" s="601"/>
      <c r="AM358" s="601"/>
      <c r="AN358" s="595"/>
      <c r="AQ358" s="568"/>
    </row>
    <row r="359" spans="1:44" s="549" customFormat="1" ht="12.75" customHeight="1">
      <c r="A359" s="601"/>
      <c r="B359" s="609"/>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1"/>
      <c r="AL359" s="601"/>
      <c r="AM359" s="601"/>
      <c r="AN359" s="595"/>
      <c r="AQ359" s="568"/>
    </row>
    <row r="360" spans="1:44" s="549" customFormat="1" ht="12.4" customHeight="1">
      <c r="A360" s="601"/>
      <c r="B360" s="609"/>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1"/>
      <c r="AL360" s="601"/>
      <c r="AM360" s="601"/>
      <c r="AN360" s="595"/>
      <c r="AQ360" s="568"/>
      <c r="AR360" s="568"/>
    </row>
    <row r="361" spans="1:44" s="549" customFormat="1" ht="45.75" customHeight="1">
      <c r="A361" s="601"/>
      <c r="B361" s="609"/>
      <c r="C361" s="2516" t="s">
        <v>2049</v>
      </c>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6" t="s">
        <v>2163</v>
      </c>
      <c r="D363" s="2516"/>
      <c r="E363" s="2516"/>
      <c r="F363" s="2516"/>
      <c r="G363" s="2516"/>
      <c r="H363" s="2516"/>
      <c r="I363" s="2516"/>
      <c r="J363" s="2516"/>
      <c r="K363" s="2516"/>
      <c r="L363" s="2516"/>
      <c r="M363" s="2516"/>
      <c r="N363" s="2516"/>
      <c r="O363" s="2516"/>
      <c r="P363" s="2516"/>
      <c r="Q363" s="2516"/>
      <c r="R363" s="2516"/>
      <c r="S363" s="2516"/>
      <c r="T363" s="2516"/>
      <c r="U363" s="2516"/>
      <c r="V363" s="2516"/>
      <c r="W363" s="2516"/>
      <c r="X363" s="2516"/>
      <c r="Y363" s="2516"/>
      <c r="Z363" s="2516"/>
      <c r="AA363" s="2516"/>
      <c r="AB363" s="2516"/>
      <c r="AC363" s="2516"/>
      <c r="AD363" s="2516"/>
      <c r="AE363" s="2516"/>
      <c r="AF363" s="2516"/>
      <c r="AG363" s="2516"/>
      <c r="AH363" s="2516"/>
      <c r="AI363" s="2516"/>
      <c r="AJ363" s="2516"/>
      <c r="AK363" s="601"/>
      <c r="AL363" s="601"/>
      <c r="AM363" s="601"/>
      <c r="AN363" s="595"/>
      <c r="AQ363" s="568"/>
      <c r="AR363" s="568"/>
    </row>
    <row r="364" spans="1:44" s="549" customFormat="1" ht="30" customHeight="1">
      <c r="A364" s="601"/>
      <c r="B364" s="609"/>
      <c r="C364" s="2516"/>
      <c r="D364" s="2516"/>
      <c r="E364" s="2516"/>
      <c r="F364" s="2516"/>
      <c r="G364" s="2516"/>
      <c r="H364" s="2516"/>
      <c r="I364" s="2516"/>
      <c r="J364" s="2516"/>
      <c r="K364" s="2516"/>
      <c r="L364" s="2516"/>
      <c r="M364" s="2516"/>
      <c r="N364" s="2516"/>
      <c r="O364" s="2516"/>
      <c r="P364" s="2516"/>
      <c r="Q364" s="2516"/>
      <c r="R364" s="2516"/>
      <c r="S364" s="2516"/>
      <c r="T364" s="2516"/>
      <c r="U364" s="2516"/>
      <c r="V364" s="2516"/>
      <c r="W364" s="2516"/>
      <c r="X364" s="2516"/>
      <c r="Y364" s="2516"/>
      <c r="Z364" s="2516"/>
      <c r="AA364" s="2516"/>
      <c r="AB364" s="2516"/>
      <c r="AC364" s="2516"/>
      <c r="AD364" s="2516"/>
      <c r="AE364" s="2516"/>
      <c r="AF364" s="2516"/>
      <c r="AG364" s="2516"/>
      <c r="AH364" s="2516"/>
      <c r="AI364" s="2516"/>
      <c r="AJ364" s="2516"/>
      <c r="AK364" s="601"/>
      <c r="AL364" s="601"/>
      <c r="AM364" s="601"/>
      <c r="AN364" s="595"/>
      <c r="AR364" s="568"/>
    </row>
    <row r="365" spans="1:44" s="549" customFormat="1" ht="12.75" customHeight="1">
      <c r="A365" s="601"/>
      <c r="B365" s="609"/>
      <c r="C365" s="2516"/>
      <c r="D365" s="2516"/>
      <c r="E365" s="2516"/>
      <c r="F365" s="2516"/>
      <c r="G365" s="2516"/>
      <c r="H365" s="2516"/>
      <c r="I365" s="2516"/>
      <c r="J365" s="2516"/>
      <c r="K365" s="2516"/>
      <c r="L365" s="2516"/>
      <c r="M365" s="2516"/>
      <c r="N365" s="2516"/>
      <c r="O365" s="2516"/>
      <c r="P365" s="2516"/>
      <c r="Q365" s="2516"/>
      <c r="R365" s="2516"/>
      <c r="S365" s="2516"/>
      <c r="T365" s="2516"/>
      <c r="U365" s="2516"/>
      <c r="V365" s="2516"/>
      <c r="W365" s="2516"/>
      <c r="X365" s="2516"/>
      <c r="Y365" s="2516"/>
      <c r="Z365" s="2516"/>
      <c r="AA365" s="2516"/>
      <c r="AB365" s="2516"/>
      <c r="AC365" s="2516"/>
      <c r="AD365" s="2516"/>
      <c r="AE365" s="2516"/>
      <c r="AF365" s="2516"/>
      <c r="AG365" s="2516"/>
      <c r="AH365" s="2516"/>
      <c r="AI365" s="2516"/>
      <c r="AJ365" s="2516"/>
      <c r="AK365" s="601"/>
      <c r="AL365" s="601"/>
      <c r="AM365" s="601"/>
      <c r="AN365" s="595"/>
      <c r="AR365" s="568"/>
    </row>
    <row r="366" spans="1:44" s="549" customFormat="1" ht="12.75" customHeight="1">
      <c r="A366" s="601"/>
      <c r="B366" s="609"/>
      <c r="C366" s="2516" t="s">
        <v>1446</v>
      </c>
      <c r="D366" s="2516"/>
      <c r="E366" s="2516"/>
      <c r="F366" s="2516"/>
      <c r="G366" s="2516"/>
      <c r="H366" s="2516"/>
      <c r="I366" s="2516"/>
      <c r="J366" s="2516"/>
      <c r="K366" s="2516"/>
      <c r="L366" s="2516"/>
      <c r="M366" s="2516"/>
      <c r="N366" s="2516"/>
      <c r="O366" s="2516"/>
      <c r="P366" s="2516"/>
      <c r="Q366" s="2516"/>
      <c r="R366" s="2516"/>
      <c r="S366" s="2516"/>
      <c r="T366" s="2516"/>
      <c r="U366" s="2516"/>
      <c r="V366" s="2516"/>
      <c r="W366" s="2516"/>
      <c r="X366" s="2516"/>
      <c r="Y366" s="2516"/>
      <c r="Z366" s="2516"/>
      <c r="AA366" s="2516"/>
      <c r="AB366" s="2516"/>
      <c r="AC366" s="2516"/>
      <c r="AD366" s="2516"/>
      <c r="AE366" s="2516"/>
      <c r="AF366" s="2516"/>
      <c r="AG366" s="2516"/>
      <c r="AH366" s="2516"/>
      <c r="AI366" s="2516"/>
      <c r="AJ366" s="2516"/>
      <c r="AK366" s="601"/>
      <c r="AL366" s="601"/>
      <c r="AM366" s="601"/>
      <c r="AN366" s="595"/>
      <c r="AQ366" s="568"/>
      <c r="AR366" s="568"/>
    </row>
    <row r="367" spans="1:44" s="549" customFormat="1" ht="12.75" customHeight="1">
      <c r="A367" s="601"/>
      <c r="B367" s="609"/>
      <c r="C367" s="2516"/>
      <c r="D367" s="2516"/>
      <c r="E367" s="2516"/>
      <c r="F367" s="2516"/>
      <c r="G367" s="2516"/>
      <c r="H367" s="2516"/>
      <c r="I367" s="2516"/>
      <c r="J367" s="2516"/>
      <c r="K367" s="2516"/>
      <c r="L367" s="2516"/>
      <c r="M367" s="2516"/>
      <c r="N367" s="2516"/>
      <c r="O367" s="2516"/>
      <c r="P367" s="2516"/>
      <c r="Q367" s="2516"/>
      <c r="R367" s="2516"/>
      <c r="S367" s="2516"/>
      <c r="T367" s="2516"/>
      <c r="U367" s="2516"/>
      <c r="V367" s="2516"/>
      <c r="W367" s="2516"/>
      <c r="X367" s="2516"/>
      <c r="Y367" s="2516"/>
      <c r="Z367" s="2516"/>
      <c r="AA367" s="2516"/>
      <c r="AB367" s="2516"/>
      <c r="AC367" s="2516"/>
      <c r="AD367" s="2516"/>
      <c r="AE367" s="2516"/>
      <c r="AF367" s="2516"/>
      <c r="AG367" s="2516"/>
      <c r="AH367" s="2516"/>
      <c r="AI367" s="2516"/>
      <c r="AJ367" s="2516"/>
      <c r="AK367" s="601"/>
      <c r="AL367" s="601"/>
      <c r="AM367" s="601"/>
      <c r="AN367" s="595"/>
      <c r="AQ367" s="568"/>
      <c r="AR367" s="568"/>
    </row>
    <row r="368" spans="1:44" s="549" customFormat="1" ht="13.15" customHeight="1">
      <c r="A368" s="601"/>
      <c r="B368" s="609"/>
      <c r="C368" s="2516"/>
      <c r="D368" s="2516"/>
      <c r="E368" s="2516"/>
      <c r="F368" s="2516"/>
      <c r="G368" s="2516"/>
      <c r="H368" s="2516"/>
      <c r="I368" s="2516"/>
      <c r="J368" s="2516"/>
      <c r="K368" s="2516"/>
      <c r="L368" s="2516"/>
      <c r="M368" s="2516"/>
      <c r="N368" s="2516"/>
      <c r="O368" s="2516"/>
      <c r="P368" s="2516"/>
      <c r="Q368" s="2516"/>
      <c r="R368" s="2516"/>
      <c r="S368" s="2516"/>
      <c r="T368" s="2516"/>
      <c r="U368" s="2516"/>
      <c r="V368" s="2516"/>
      <c r="W368" s="2516"/>
      <c r="X368" s="2516"/>
      <c r="Y368" s="2516"/>
      <c r="Z368" s="2516"/>
      <c r="AA368" s="2516"/>
      <c r="AB368" s="2516"/>
      <c r="AC368" s="2516"/>
      <c r="AD368" s="2516"/>
      <c r="AE368" s="2516"/>
      <c r="AF368" s="2516"/>
      <c r="AG368" s="2516"/>
      <c r="AH368" s="2516"/>
      <c r="AI368" s="2516"/>
      <c r="AJ368" s="2516"/>
      <c r="AK368" s="601"/>
      <c r="AL368" s="601"/>
      <c r="AM368" s="601"/>
      <c r="AN368" s="595"/>
      <c r="AQ368" s="568"/>
      <c r="AR368" s="568"/>
    </row>
    <row r="369" spans="1:46" s="549" customFormat="1" ht="12.75" customHeight="1">
      <c r="A369" s="601"/>
      <c r="B369" s="609"/>
      <c r="C369" s="2516"/>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1"/>
      <c r="AL369" s="601"/>
      <c r="AM369" s="601"/>
      <c r="AN369" s="595"/>
      <c r="AO369" s="690"/>
      <c r="AP369" s="690"/>
      <c r="AQ369" s="568"/>
    </row>
    <row r="370" spans="1:46" s="549" customFormat="1" ht="11.85" customHeight="1">
      <c r="A370" s="601"/>
      <c r="B370" s="609"/>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1"/>
      <c r="AL370" s="601"/>
      <c r="AM370" s="601"/>
      <c r="AN370" s="595"/>
      <c r="AO370" s="691" t="s">
        <v>112</v>
      </c>
      <c r="AP370" s="692">
        <f>IF(C394="Yes",5,0)</f>
        <v>0</v>
      </c>
      <c r="AS370" s="539" t="s">
        <v>1447</v>
      </c>
    </row>
    <row r="371" spans="1:46" s="549" customFormat="1" ht="12.75" customHeight="1">
      <c r="A371" s="601"/>
      <c r="B371" s="609"/>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1"/>
      <c r="AL371" s="601"/>
      <c r="AM371" s="601"/>
      <c r="AN371" s="595"/>
      <c r="AO371" s="691" t="s">
        <v>113</v>
      </c>
      <c r="AP371" s="692">
        <f>IF(C402="Yes",5,0)</f>
        <v>0</v>
      </c>
      <c r="AS371" s="2546">
        <f>IF(Application!D211="Non-Targeted",(SUM(AQ379+AQ388)),AS375)</f>
        <v>10</v>
      </c>
      <c r="AT371" s="2546"/>
    </row>
    <row r="372" spans="1:46" s="549" customFormat="1" ht="12.75" customHeight="1">
      <c r="A372" s="601"/>
      <c r="B372" s="609"/>
      <c r="C372" s="2516"/>
      <c r="D372" s="2516"/>
      <c r="E372" s="2516"/>
      <c r="F372" s="2516"/>
      <c r="G372" s="2516"/>
      <c r="H372" s="2516"/>
      <c r="I372" s="2516"/>
      <c r="J372" s="2516"/>
      <c r="K372" s="2516"/>
      <c r="L372" s="2516"/>
      <c r="M372" s="2516"/>
      <c r="N372" s="2516"/>
      <c r="O372" s="2516"/>
      <c r="P372" s="2516"/>
      <c r="Q372" s="2516"/>
      <c r="R372" s="2516"/>
      <c r="S372" s="2516"/>
      <c r="T372" s="2516"/>
      <c r="U372" s="2516"/>
      <c r="V372" s="2516"/>
      <c r="W372" s="2516"/>
      <c r="X372" s="2516"/>
      <c r="Y372" s="2516"/>
      <c r="Z372" s="2516"/>
      <c r="AA372" s="2516"/>
      <c r="AB372" s="2516"/>
      <c r="AC372" s="2516"/>
      <c r="AD372" s="2516"/>
      <c r="AE372" s="2516"/>
      <c r="AF372" s="2516"/>
      <c r="AG372" s="2516"/>
      <c r="AH372" s="2516"/>
      <c r="AI372" s="2516"/>
      <c r="AJ372" s="2516"/>
      <c r="AK372" s="601"/>
      <c r="AL372" s="601"/>
      <c r="AM372" s="601"/>
      <c r="AN372" s="595"/>
      <c r="AO372" s="691" t="s">
        <v>119</v>
      </c>
      <c r="AP372" s="692">
        <f>IF(C410="Yes",7,0)</f>
        <v>0</v>
      </c>
      <c r="AS372" s="539" t="s">
        <v>1448</v>
      </c>
    </row>
    <row r="373" spans="1:46" s="549" customFormat="1" ht="12.75" customHeight="1">
      <c r="B373" s="609"/>
      <c r="C373" s="2516"/>
      <c r="D373" s="2516"/>
      <c r="E373" s="2516"/>
      <c r="F373" s="2516"/>
      <c r="G373" s="2516"/>
      <c r="H373" s="2516"/>
      <c r="I373" s="2516"/>
      <c r="J373" s="2516"/>
      <c r="K373" s="2516"/>
      <c r="L373" s="2516"/>
      <c r="M373" s="2516"/>
      <c r="N373" s="2516"/>
      <c r="O373" s="2516"/>
      <c r="P373" s="2516"/>
      <c r="Q373" s="2516"/>
      <c r="R373" s="2516"/>
      <c r="S373" s="2516"/>
      <c r="T373" s="2516"/>
      <c r="U373" s="2516"/>
      <c r="V373" s="2516"/>
      <c r="W373" s="2516"/>
      <c r="X373" s="2516"/>
      <c r="Y373" s="2516"/>
      <c r="Z373" s="2516"/>
      <c r="AA373" s="2516"/>
      <c r="AB373" s="2516"/>
      <c r="AC373" s="2516"/>
      <c r="AD373" s="2516"/>
      <c r="AE373" s="2516"/>
      <c r="AF373" s="2516"/>
      <c r="AG373" s="2516"/>
      <c r="AH373" s="2516"/>
      <c r="AI373" s="2516"/>
      <c r="AJ373" s="2516"/>
      <c r="AK373" s="601"/>
      <c r="AL373" s="601"/>
      <c r="AM373" s="601"/>
      <c r="AN373" s="595"/>
      <c r="AO373" s="595"/>
      <c r="AP373" s="692">
        <f>IF(C412="Yes",5,0)</f>
        <v>5</v>
      </c>
      <c r="AS373" s="2546">
        <f>IF(AND(AQ379&gt;0,AQ388&gt;0),(AQ379+AQ388)/2,0)</f>
        <v>0</v>
      </c>
      <c r="AT373" s="2546"/>
    </row>
    <row r="374" spans="1:46" s="549" customFormat="1" ht="12.75" customHeight="1">
      <c r="A374" s="601"/>
      <c r="B374" s="609"/>
      <c r="C374" s="2516"/>
      <c r="D374" s="2516"/>
      <c r="E374" s="2516"/>
      <c r="F374" s="2516"/>
      <c r="G374" s="2516"/>
      <c r="H374" s="2516"/>
      <c r="I374" s="2516"/>
      <c r="J374" s="2516"/>
      <c r="K374" s="2516"/>
      <c r="L374" s="2516"/>
      <c r="M374" s="2516"/>
      <c r="N374" s="2516"/>
      <c r="O374" s="2516"/>
      <c r="P374" s="2516"/>
      <c r="Q374" s="2516"/>
      <c r="R374" s="2516"/>
      <c r="S374" s="2516"/>
      <c r="T374" s="2516"/>
      <c r="U374" s="2516"/>
      <c r="V374" s="2516"/>
      <c r="W374" s="2516"/>
      <c r="X374" s="2516"/>
      <c r="Y374" s="2516"/>
      <c r="Z374" s="2516"/>
      <c r="AA374" s="2516"/>
      <c r="AB374" s="2516"/>
      <c r="AC374" s="2516"/>
      <c r="AD374" s="2516"/>
      <c r="AE374" s="2516"/>
      <c r="AF374" s="2516"/>
      <c r="AG374" s="2516"/>
      <c r="AH374" s="2516"/>
      <c r="AI374" s="2516"/>
      <c r="AJ374" s="2516"/>
      <c r="AK374" s="601"/>
      <c r="AL374" s="601"/>
      <c r="AM374" s="601"/>
      <c r="AN374" s="595"/>
      <c r="AO374" s="691" t="s">
        <v>581</v>
      </c>
      <c r="AP374" s="692">
        <f>IF(C420="Yes",5,0)</f>
        <v>0</v>
      </c>
      <c r="AS374" s="539" t="s">
        <v>1853</v>
      </c>
    </row>
    <row r="375" spans="1:46" s="549" customFormat="1" ht="12.75" customHeight="1">
      <c r="A375" s="601"/>
      <c r="B375" s="609"/>
      <c r="C375" s="2547" t="s">
        <v>2187</v>
      </c>
      <c r="D375" s="2547"/>
      <c r="E375" s="2547"/>
      <c r="F375" s="2547"/>
      <c r="G375" s="2547"/>
      <c r="H375" s="2547"/>
      <c r="I375" s="2547"/>
      <c r="J375" s="2547"/>
      <c r="K375" s="2547"/>
      <c r="L375" s="2547"/>
      <c r="M375" s="2547"/>
      <c r="N375" s="2547"/>
      <c r="O375" s="2547"/>
      <c r="P375" s="2547"/>
      <c r="Q375" s="2547"/>
      <c r="R375" s="2547"/>
      <c r="S375" s="2547"/>
      <c r="T375" s="2547"/>
      <c r="U375" s="2547"/>
      <c r="V375" s="2547"/>
      <c r="W375" s="2547"/>
      <c r="X375" s="2547"/>
      <c r="Y375" s="2547"/>
      <c r="Z375" s="2547"/>
      <c r="AA375" s="2547"/>
      <c r="AB375" s="2547"/>
      <c r="AC375" s="2547"/>
      <c r="AD375" s="2547"/>
      <c r="AE375" s="2547"/>
      <c r="AF375" s="2547"/>
      <c r="AG375" s="2547"/>
      <c r="AH375" s="2547"/>
      <c r="AI375" s="2547"/>
      <c r="AJ375" s="2547"/>
      <c r="AK375" s="601"/>
      <c r="AL375" s="601"/>
      <c r="AM375" s="601"/>
      <c r="AN375" s="595"/>
      <c r="AO375" s="595"/>
      <c r="AP375" s="692">
        <f>IF(C422="Yes",3,0)</f>
        <v>0</v>
      </c>
      <c r="AS375" s="2546">
        <f>IF(AQ379=0,AQ388,AQ379)</f>
        <v>10</v>
      </c>
      <c r="AT375" s="2546"/>
    </row>
    <row r="376" spans="1:46" s="549" customFormat="1" ht="12.75" customHeight="1">
      <c r="A376" s="601"/>
      <c r="B376" s="609"/>
      <c r="C376" s="2547"/>
      <c r="D376" s="2547"/>
      <c r="E376" s="2547"/>
      <c r="F376" s="2547"/>
      <c r="G376" s="2547"/>
      <c r="H376" s="2547"/>
      <c r="I376" s="2547"/>
      <c r="J376" s="2547"/>
      <c r="K376" s="2547"/>
      <c r="L376" s="2547"/>
      <c r="M376" s="2547"/>
      <c r="N376" s="2547"/>
      <c r="O376" s="2547"/>
      <c r="P376" s="2547"/>
      <c r="Q376" s="2547"/>
      <c r="R376" s="2547"/>
      <c r="S376" s="2547"/>
      <c r="T376" s="2547"/>
      <c r="U376" s="2547"/>
      <c r="V376" s="2547"/>
      <c r="W376" s="2547"/>
      <c r="X376" s="2547"/>
      <c r="Y376" s="2547"/>
      <c r="Z376" s="2547"/>
      <c r="AA376" s="2547"/>
      <c r="AB376" s="2547"/>
      <c r="AC376" s="2547"/>
      <c r="AD376" s="2547"/>
      <c r="AE376" s="2547"/>
      <c r="AF376" s="2547"/>
      <c r="AG376" s="2547"/>
      <c r="AH376" s="2547"/>
      <c r="AI376" s="2547"/>
      <c r="AJ376" s="2547"/>
      <c r="AK376" s="601"/>
      <c r="AL376" s="601"/>
      <c r="AM376" s="601"/>
      <c r="AN376" s="595"/>
      <c r="AO376" s="691" t="s">
        <v>763</v>
      </c>
      <c r="AP376" s="692">
        <f>IF(C425="Yes",5,0)</f>
        <v>0</v>
      </c>
    </row>
    <row r="377" spans="1:46" s="549" customFormat="1" ht="12.75" customHeight="1">
      <c r="A377" s="601"/>
      <c r="B377" s="609"/>
      <c r="C377" s="2547"/>
      <c r="D377" s="2547"/>
      <c r="E377" s="2547"/>
      <c r="F377" s="2547"/>
      <c r="G377" s="2547"/>
      <c r="H377" s="2547"/>
      <c r="I377" s="2547"/>
      <c r="J377" s="2547"/>
      <c r="K377" s="2547"/>
      <c r="L377" s="2547"/>
      <c r="M377" s="2547"/>
      <c r="N377" s="2547"/>
      <c r="O377" s="2547"/>
      <c r="P377" s="2547"/>
      <c r="Q377" s="2547"/>
      <c r="R377" s="2547"/>
      <c r="S377" s="2547"/>
      <c r="T377" s="2547"/>
      <c r="U377" s="2547"/>
      <c r="V377" s="2547"/>
      <c r="W377" s="2547"/>
      <c r="X377" s="2547"/>
      <c r="Y377" s="2547"/>
      <c r="Z377" s="2547"/>
      <c r="AA377" s="2547"/>
      <c r="AB377" s="2547"/>
      <c r="AC377" s="2547"/>
      <c r="AD377" s="2547"/>
      <c r="AE377" s="2547"/>
      <c r="AF377" s="2547"/>
      <c r="AG377" s="2547"/>
      <c r="AH377" s="2547"/>
      <c r="AI377" s="2547"/>
      <c r="AJ377" s="2547"/>
      <c r="AK377" s="601"/>
      <c r="AL377" s="601"/>
      <c r="AM377" s="601"/>
      <c r="AN377" s="595"/>
      <c r="AO377" s="691" t="s">
        <v>584</v>
      </c>
      <c r="AP377" s="692">
        <f>IF(C434="Yes",5,0)</f>
        <v>5</v>
      </c>
    </row>
    <row r="378" spans="1:46" s="549" customFormat="1" ht="11.85" customHeight="1">
      <c r="A378" s="601"/>
      <c r="B378" s="609"/>
      <c r="C378" s="2547"/>
      <c r="D378" s="2547"/>
      <c r="E378" s="2547"/>
      <c r="F378" s="2547"/>
      <c r="G378" s="2547"/>
      <c r="H378" s="2547"/>
      <c r="I378" s="2547"/>
      <c r="J378" s="2547"/>
      <c r="K378" s="2547"/>
      <c r="L378" s="2547"/>
      <c r="M378" s="2547"/>
      <c r="N378" s="2547"/>
      <c r="O378" s="2547"/>
      <c r="P378" s="2547"/>
      <c r="Q378" s="2547"/>
      <c r="R378" s="2547"/>
      <c r="S378" s="2547"/>
      <c r="T378" s="2547"/>
      <c r="U378" s="2547"/>
      <c r="V378" s="2547"/>
      <c r="W378" s="2547"/>
      <c r="X378" s="2547"/>
      <c r="Y378" s="2547"/>
      <c r="Z378" s="2547"/>
      <c r="AA378" s="2547"/>
      <c r="AB378" s="2547"/>
      <c r="AC378" s="2547"/>
      <c r="AD378" s="2547"/>
      <c r="AE378" s="2547"/>
      <c r="AF378" s="2547"/>
      <c r="AG378" s="2547"/>
      <c r="AH378" s="2547"/>
      <c r="AI378" s="2547"/>
      <c r="AJ378" s="2547"/>
      <c r="AK378" s="601"/>
      <c r="AL378" s="601"/>
      <c r="AM378" s="601"/>
      <c r="AN378" s="595"/>
      <c r="AO378" s="693"/>
      <c r="AP378" s="694">
        <f>IF(C436="Yes",3,0)</f>
        <v>0</v>
      </c>
    </row>
    <row r="379" spans="1:46" s="549" customFormat="1" ht="12.4" customHeight="1">
      <c r="A379" s="601"/>
      <c r="B379" s="609"/>
      <c r="C379" s="2547"/>
      <c r="D379" s="2547"/>
      <c r="E379" s="2547"/>
      <c r="F379" s="2547"/>
      <c r="G379" s="2547"/>
      <c r="H379" s="2547"/>
      <c r="I379" s="2547"/>
      <c r="J379" s="2547"/>
      <c r="K379" s="2547"/>
      <c r="L379" s="2547"/>
      <c r="M379" s="2547"/>
      <c r="N379" s="2547"/>
      <c r="O379" s="2547"/>
      <c r="P379" s="2547"/>
      <c r="Q379" s="2547"/>
      <c r="R379" s="2547"/>
      <c r="S379" s="2547"/>
      <c r="T379" s="2547"/>
      <c r="U379" s="2547"/>
      <c r="V379" s="2547"/>
      <c r="W379" s="2547"/>
      <c r="X379" s="2547"/>
      <c r="Y379" s="2547"/>
      <c r="Z379" s="2547"/>
      <c r="AA379" s="2547"/>
      <c r="AB379" s="2547"/>
      <c r="AC379" s="2547"/>
      <c r="AD379" s="2547"/>
      <c r="AE379" s="2547"/>
      <c r="AF379" s="2547"/>
      <c r="AG379" s="2547"/>
      <c r="AH379" s="2547"/>
      <c r="AI379" s="2547"/>
      <c r="AJ379" s="2547"/>
      <c r="AK379" s="601"/>
      <c r="AL379" s="601"/>
      <c r="AM379" s="601"/>
      <c r="AN379" s="595"/>
      <c r="AO379" s="695" t="s">
        <v>227</v>
      </c>
      <c r="AP379" s="696">
        <f>SUM(AP370:AP378)</f>
        <v>10</v>
      </c>
      <c r="AQ379" s="2548">
        <f>IF(AP379&gt;0,AP379,0)</f>
        <v>10</v>
      </c>
      <c r="AR379" s="2548"/>
    </row>
    <row r="380" spans="1:46" s="549" customFormat="1" ht="12.75" customHeight="1">
      <c r="A380" s="601"/>
      <c r="B380" s="609"/>
      <c r="C380" s="2547"/>
      <c r="D380" s="2547"/>
      <c r="E380" s="2547"/>
      <c r="F380" s="2547"/>
      <c r="G380" s="2547"/>
      <c r="H380" s="2547"/>
      <c r="I380" s="2547"/>
      <c r="J380" s="2547"/>
      <c r="K380" s="2547"/>
      <c r="L380" s="2547"/>
      <c r="M380" s="2547"/>
      <c r="N380" s="2547"/>
      <c r="O380" s="2547"/>
      <c r="P380" s="2547"/>
      <c r="Q380" s="2547"/>
      <c r="R380" s="2547"/>
      <c r="S380" s="2547"/>
      <c r="T380" s="2547"/>
      <c r="U380" s="2547"/>
      <c r="V380" s="2547"/>
      <c r="W380" s="2547"/>
      <c r="X380" s="2547"/>
      <c r="Y380" s="2547"/>
      <c r="Z380" s="2547"/>
      <c r="AA380" s="2547"/>
      <c r="AB380" s="2547"/>
      <c r="AC380" s="2547"/>
      <c r="AD380" s="2547"/>
      <c r="AE380" s="2547"/>
      <c r="AF380" s="2547"/>
      <c r="AG380" s="2547"/>
      <c r="AH380" s="2547"/>
      <c r="AI380" s="2547"/>
      <c r="AJ380" s="254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6" t="s">
        <v>1449</v>
      </c>
      <c r="D382" s="2516"/>
      <c r="E382" s="2516"/>
      <c r="F382" s="2516"/>
      <c r="G382" s="2516"/>
      <c r="H382" s="2516"/>
      <c r="I382" s="2516"/>
      <c r="J382" s="2516"/>
      <c r="K382" s="2516"/>
      <c r="L382" s="2516"/>
      <c r="M382" s="2516"/>
      <c r="N382" s="2516"/>
      <c r="O382" s="2516"/>
      <c r="P382" s="2516"/>
      <c r="Q382" s="2516"/>
      <c r="R382" s="2516"/>
      <c r="S382" s="2516"/>
      <c r="T382" s="2516"/>
      <c r="U382" s="2516"/>
      <c r="V382" s="2516"/>
      <c r="W382" s="2516"/>
      <c r="X382" s="2516"/>
      <c r="Y382" s="2516"/>
      <c r="Z382" s="2516"/>
      <c r="AA382" s="2516"/>
      <c r="AB382" s="2516"/>
      <c r="AC382" s="2516"/>
      <c r="AD382" s="2516"/>
      <c r="AE382" s="2516"/>
      <c r="AF382" s="2516"/>
      <c r="AG382" s="2516"/>
      <c r="AH382" s="2516"/>
      <c r="AI382" s="2516"/>
      <c r="AJ382" s="2516"/>
      <c r="AK382" s="601"/>
      <c r="AL382" s="601"/>
      <c r="AM382" s="601"/>
      <c r="AN382" s="595"/>
      <c r="AO382" s="691" t="s">
        <v>456</v>
      </c>
      <c r="AP382" s="692">
        <f>IF(C455="Yes",5,0)</f>
        <v>0</v>
      </c>
    </row>
    <row r="383" spans="1:46" s="549" customFormat="1" ht="12.75" customHeight="1">
      <c r="A383" s="601"/>
      <c r="B383" s="609"/>
      <c r="C383" s="2516"/>
      <c r="D383" s="2516"/>
      <c r="E383" s="2516"/>
      <c r="F383" s="2516"/>
      <c r="G383" s="2516"/>
      <c r="H383" s="2516"/>
      <c r="I383" s="2516"/>
      <c r="J383" s="2516"/>
      <c r="K383" s="2516"/>
      <c r="L383" s="2516"/>
      <c r="M383" s="2516"/>
      <c r="N383" s="2516"/>
      <c r="O383" s="2516"/>
      <c r="P383" s="2516"/>
      <c r="Q383" s="2516"/>
      <c r="R383" s="2516"/>
      <c r="S383" s="2516"/>
      <c r="T383" s="2516"/>
      <c r="U383" s="2516"/>
      <c r="V383" s="2516"/>
      <c r="W383" s="2516"/>
      <c r="X383" s="2516"/>
      <c r="Y383" s="2516"/>
      <c r="Z383" s="2516"/>
      <c r="AA383" s="2516"/>
      <c r="AB383" s="2516"/>
      <c r="AC383" s="2516"/>
      <c r="AD383" s="2516"/>
      <c r="AE383" s="2516"/>
      <c r="AF383" s="2516"/>
      <c r="AG383" s="2516"/>
      <c r="AH383" s="2516"/>
      <c r="AI383" s="2516"/>
      <c r="AJ383" s="2516"/>
      <c r="AK383" s="601"/>
      <c r="AL383" s="601"/>
      <c r="AM383" s="601"/>
      <c r="AN383" s="595"/>
      <c r="AO383" s="691" t="s">
        <v>461</v>
      </c>
      <c r="AP383" s="692">
        <f>IF(C462="Yes",5,0)</f>
        <v>0</v>
      </c>
    </row>
    <row r="384" spans="1:46" s="549" customFormat="1" ht="68.099999999999994" customHeight="1">
      <c r="A384" s="601"/>
      <c r="B384" s="609"/>
      <c r="C384" s="2516"/>
      <c r="D384" s="2516"/>
      <c r="E384" s="2516"/>
      <c r="F384" s="2516"/>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2516"/>
      <c r="AH384" s="2516"/>
      <c r="AI384" s="2516"/>
      <c r="AJ384" s="2516"/>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12">
        <f>Application!DU810-U387</f>
        <v>655</v>
      </c>
      <c r="V386" s="2612"/>
      <c r="W386" s="2612"/>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13">
        <f>IF(Application!D211="SRO",Application!DU763,Application!AG764)</f>
        <v>0</v>
      </c>
      <c r="V387" s="2613"/>
      <c r="W387" s="261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8">
        <f>IF(AP388&gt;0,AP388,0)</f>
        <v>0</v>
      </c>
      <c r="AR388" s="2548"/>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20" t="s">
        <v>1451</v>
      </c>
      <c r="G390" s="2520"/>
      <c r="H390" s="2520"/>
      <c r="I390" s="2520"/>
      <c r="J390" s="2520"/>
      <c r="K390" s="2520"/>
      <c r="L390" s="2520"/>
      <c r="M390" s="2520"/>
      <c r="N390" s="2520"/>
      <c r="O390" s="2520"/>
      <c r="P390" s="2520"/>
      <c r="Q390" s="2520"/>
      <c r="R390" s="2520"/>
      <c r="S390" s="2520"/>
      <c r="T390" s="2520"/>
      <c r="U390" s="2520"/>
      <c r="V390" s="2520"/>
      <c r="W390" s="2520"/>
      <c r="X390" s="2520"/>
      <c r="Y390" s="2520"/>
      <c r="Z390" s="2520"/>
      <c r="AA390" s="2520"/>
      <c r="AB390" s="2520"/>
      <c r="AC390" s="2520"/>
      <c r="AD390" s="2520"/>
      <c r="AE390" s="2520"/>
      <c r="AF390" s="252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3"/>
      <c r="G391" s="2393"/>
      <c r="H391" s="2393"/>
      <c r="I391" s="2393"/>
      <c r="J391" s="2393"/>
      <c r="K391" s="2393"/>
      <c r="L391" s="2393"/>
      <c r="M391" s="2393"/>
      <c r="N391" s="2393"/>
      <c r="O391" s="2393"/>
      <c r="P391" s="2393"/>
      <c r="Q391" s="2393"/>
      <c r="R391" s="2393"/>
      <c r="S391" s="2393"/>
      <c r="T391" s="2393"/>
      <c r="U391" s="2393"/>
      <c r="V391" s="2393"/>
      <c r="W391" s="2393"/>
      <c r="X391" s="2393"/>
      <c r="Y391" s="2393"/>
      <c r="Z391" s="2393"/>
      <c r="AA391" s="2393"/>
      <c r="AB391" s="2393"/>
      <c r="AC391" s="2393"/>
      <c r="AD391" s="2393"/>
      <c r="AE391" s="2393"/>
      <c r="AF391" s="239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3"/>
      <c r="G392" s="2393"/>
      <c r="H392" s="2393"/>
      <c r="I392" s="2393"/>
      <c r="J392" s="2393"/>
      <c r="K392" s="2393"/>
      <c r="L392" s="2393"/>
      <c r="M392" s="2393"/>
      <c r="N392" s="2393"/>
      <c r="O392" s="2393"/>
      <c r="P392" s="2393"/>
      <c r="Q392" s="2393"/>
      <c r="R392" s="2393"/>
      <c r="S392" s="2393"/>
      <c r="T392" s="2393"/>
      <c r="U392" s="2393"/>
      <c r="V392" s="2393"/>
      <c r="W392" s="2393"/>
      <c r="X392" s="2393"/>
      <c r="Y392" s="2393"/>
      <c r="Z392" s="2393"/>
      <c r="AA392" s="2393"/>
      <c r="AB392" s="2393"/>
      <c r="AC392" s="2393"/>
      <c r="AD392" s="2393"/>
      <c r="AE392" s="2393"/>
      <c r="AF392" s="239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3"/>
      <c r="G393" s="2393"/>
      <c r="H393" s="2393"/>
      <c r="I393" s="2393"/>
      <c r="J393" s="2393"/>
      <c r="K393" s="2393"/>
      <c r="L393" s="2393"/>
      <c r="M393" s="2393"/>
      <c r="N393" s="2393"/>
      <c r="O393" s="2393"/>
      <c r="P393" s="2393"/>
      <c r="Q393" s="2393"/>
      <c r="R393" s="2393"/>
      <c r="S393" s="2393"/>
      <c r="T393" s="2393"/>
      <c r="U393" s="2393"/>
      <c r="V393" s="2393"/>
      <c r="W393" s="2393"/>
      <c r="X393" s="2393"/>
      <c r="Y393" s="2393"/>
      <c r="Z393" s="2393"/>
      <c r="AA393" s="2393"/>
      <c r="AB393" s="2393"/>
      <c r="AC393" s="2393"/>
      <c r="AD393" s="2393"/>
      <c r="AE393" s="2393"/>
      <c r="AF393" s="239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7" t="s">
        <v>591</v>
      </c>
      <c r="D394" s="2477"/>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8" t="s">
        <v>1453</v>
      </c>
      <c r="AG394" s="2518"/>
      <c r="AH394" s="2518"/>
      <c r="AI394" s="2518"/>
      <c r="AJ394" s="2518"/>
      <c r="AK394" s="2518"/>
      <c r="AL394" s="251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20" t="s">
        <v>1454</v>
      </c>
      <c r="G397" s="2520"/>
      <c r="H397" s="2520"/>
      <c r="I397" s="2520"/>
      <c r="J397" s="2520"/>
      <c r="K397" s="2520"/>
      <c r="L397" s="2520"/>
      <c r="M397" s="2520"/>
      <c r="N397" s="2520"/>
      <c r="O397" s="2520"/>
      <c r="P397" s="2520"/>
      <c r="Q397" s="2520"/>
      <c r="R397" s="2520"/>
      <c r="S397" s="2520"/>
      <c r="T397" s="2520"/>
      <c r="U397" s="2520"/>
      <c r="V397" s="2520"/>
      <c r="W397" s="2520"/>
      <c r="X397" s="2520"/>
      <c r="Y397" s="2520"/>
      <c r="Z397" s="2520"/>
      <c r="AA397" s="2520"/>
      <c r="AB397" s="2520"/>
      <c r="AC397" s="2520"/>
      <c r="AD397" s="2520"/>
      <c r="AE397" s="2520"/>
      <c r="AF397" s="252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3"/>
      <c r="G398" s="2393"/>
      <c r="H398" s="2393"/>
      <c r="I398" s="2393"/>
      <c r="J398" s="2393"/>
      <c r="K398" s="2393"/>
      <c r="L398" s="2393"/>
      <c r="M398" s="2393"/>
      <c r="N398" s="2393"/>
      <c r="O398" s="2393"/>
      <c r="P398" s="2393"/>
      <c r="Q398" s="2393"/>
      <c r="R398" s="2393"/>
      <c r="S398" s="2393"/>
      <c r="T398" s="2393"/>
      <c r="U398" s="2393"/>
      <c r="V398" s="2393"/>
      <c r="W398" s="2393"/>
      <c r="X398" s="2393"/>
      <c r="Y398" s="2393"/>
      <c r="Z398" s="2393"/>
      <c r="AA398" s="2393"/>
      <c r="AB398" s="2393"/>
      <c r="AC398" s="2393"/>
      <c r="AD398" s="2393"/>
      <c r="AE398" s="2393"/>
      <c r="AF398" s="239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3"/>
      <c r="G399" s="2393"/>
      <c r="H399" s="2393"/>
      <c r="I399" s="2393"/>
      <c r="J399" s="2393"/>
      <c r="K399" s="2393"/>
      <c r="L399" s="2393"/>
      <c r="M399" s="2393"/>
      <c r="N399" s="2393"/>
      <c r="O399" s="2393"/>
      <c r="P399" s="2393"/>
      <c r="Q399" s="2393"/>
      <c r="R399" s="2393"/>
      <c r="S399" s="2393"/>
      <c r="T399" s="2393"/>
      <c r="U399" s="2393"/>
      <c r="V399" s="2393"/>
      <c r="W399" s="2393"/>
      <c r="X399" s="2393"/>
      <c r="Y399" s="2393"/>
      <c r="Z399" s="2393"/>
      <c r="AA399" s="2393"/>
      <c r="AB399" s="2393"/>
      <c r="AC399" s="2393"/>
      <c r="AD399" s="2393"/>
      <c r="AE399" s="2393"/>
      <c r="AF399" s="239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3"/>
      <c r="G400" s="2393"/>
      <c r="H400" s="2393"/>
      <c r="I400" s="2393"/>
      <c r="J400" s="2393"/>
      <c r="K400" s="2393"/>
      <c r="L400" s="2393"/>
      <c r="M400" s="2393"/>
      <c r="N400" s="2393"/>
      <c r="O400" s="2393"/>
      <c r="P400" s="2393"/>
      <c r="Q400" s="2393"/>
      <c r="R400" s="2393"/>
      <c r="S400" s="2393"/>
      <c r="T400" s="2393"/>
      <c r="U400" s="2393"/>
      <c r="V400" s="2393"/>
      <c r="W400" s="2393"/>
      <c r="X400" s="2393"/>
      <c r="Y400" s="2393"/>
      <c r="Z400" s="2393"/>
      <c r="AA400" s="2393"/>
      <c r="AB400" s="2393"/>
      <c r="AC400" s="2393"/>
      <c r="AD400" s="2393"/>
      <c r="AE400" s="2393"/>
      <c r="AF400" s="239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3"/>
      <c r="G401" s="2393"/>
      <c r="H401" s="2393"/>
      <c r="I401" s="2393"/>
      <c r="J401" s="2393"/>
      <c r="K401" s="2393"/>
      <c r="L401" s="2393"/>
      <c r="M401" s="2393"/>
      <c r="N401" s="2393"/>
      <c r="O401" s="2393"/>
      <c r="P401" s="2393"/>
      <c r="Q401" s="2393"/>
      <c r="R401" s="2393"/>
      <c r="S401" s="2393"/>
      <c r="T401" s="2393"/>
      <c r="U401" s="2393"/>
      <c r="V401" s="2393"/>
      <c r="W401" s="2393"/>
      <c r="X401" s="2393"/>
      <c r="Y401" s="2393"/>
      <c r="Z401" s="2393"/>
      <c r="AA401" s="2393"/>
      <c r="AB401" s="2393"/>
      <c r="AC401" s="2393"/>
      <c r="AD401" s="2393"/>
      <c r="AE401" s="2393"/>
      <c r="AF401" s="2393"/>
      <c r="AL401" s="728"/>
      <c r="AN401" s="595"/>
      <c r="BS401" s="30"/>
      <c r="BT401" s="30"/>
      <c r="BU401" s="14"/>
      <c r="BV401" s="14"/>
      <c r="BW401" s="14"/>
      <c r="BX401" s="14"/>
      <c r="BY401" s="14"/>
      <c r="BZ401" s="14"/>
      <c r="CA401" s="14"/>
      <c r="CB401" s="14"/>
      <c r="CC401" s="14"/>
    </row>
    <row r="402" spans="1:81" s="549" customFormat="1" ht="12.75" customHeight="1">
      <c r="A402" s="536"/>
      <c r="B402" s="14"/>
      <c r="C402" s="2517" t="s">
        <v>591</v>
      </c>
      <c r="D402" s="2477"/>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8" t="s">
        <v>1453</v>
      </c>
      <c r="AG402" s="2518"/>
      <c r="AH402" s="2518"/>
      <c r="AI402" s="2518"/>
      <c r="AJ402" s="2518"/>
      <c r="AK402" s="2518"/>
      <c r="AL402" s="251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20" t="s">
        <v>1456</v>
      </c>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3"/>
      <c r="G406" s="2393"/>
      <c r="H406" s="2393"/>
      <c r="I406" s="2393"/>
      <c r="J406" s="2393"/>
      <c r="K406" s="2393"/>
      <c r="L406" s="2393"/>
      <c r="M406" s="2393"/>
      <c r="N406" s="2393"/>
      <c r="O406" s="2393"/>
      <c r="P406" s="2393"/>
      <c r="Q406" s="2393"/>
      <c r="R406" s="2393"/>
      <c r="S406" s="2393"/>
      <c r="T406" s="2393"/>
      <c r="U406" s="2393"/>
      <c r="V406" s="2393"/>
      <c r="W406" s="2393"/>
      <c r="X406" s="2393"/>
      <c r="Y406" s="2393"/>
      <c r="Z406" s="2393"/>
      <c r="AA406" s="2393"/>
      <c r="AB406" s="2393"/>
      <c r="AC406" s="2393"/>
      <c r="AD406" s="2393"/>
      <c r="AE406" s="2393"/>
      <c r="AF406" s="239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3"/>
      <c r="G407" s="2393"/>
      <c r="H407" s="2393"/>
      <c r="I407" s="2393"/>
      <c r="J407" s="2393"/>
      <c r="K407" s="2393"/>
      <c r="L407" s="2393"/>
      <c r="M407" s="2393"/>
      <c r="N407" s="2393"/>
      <c r="O407" s="2393"/>
      <c r="P407" s="2393"/>
      <c r="Q407" s="2393"/>
      <c r="R407" s="2393"/>
      <c r="S407" s="2393"/>
      <c r="T407" s="2393"/>
      <c r="U407" s="2393"/>
      <c r="V407" s="2393"/>
      <c r="W407" s="2393"/>
      <c r="X407" s="2393"/>
      <c r="Y407" s="2393"/>
      <c r="Z407" s="2393"/>
      <c r="AA407" s="2393"/>
      <c r="AB407" s="2393"/>
      <c r="AC407" s="2393"/>
      <c r="AD407" s="2393"/>
      <c r="AE407" s="2393"/>
      <c r="AF407" s="239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3"/>
      <c r="G408" s="2393"/>
      <c r="H408" s="2393"/>
      <c r="I408" s="2393"/>
      <c r="J408" s="2393"/>
      <c r="K408" s="2393"/>
      <c r="L408" s="2393"/>
      <c r="M408" s="2393"/>
      <c r="N408" s="2393"/>
      <c r="O408" s="2393"/>
      <c r="P408" s="2393"/>
      <c r="Q408" s="2393"/>
      <c r="R408" s="2393"/>
      <c r="S408" s="2393"/>
      <c r="T408" s="2393"/>
      <c r="U408" s="2393"/>
      <c r="V408" s="2393"/>
      <c r="W408" s="2393"/>
      <c r="X408" s="2393"/>
      <c r="Y408" s="2393"/>
      <c r="Z408" s="2393"/>
      <c r="AA408" s="2393"/>
      <c r="AB408" s="2393"/>
      <c r="AC408" s="2393"/>
      <c r="AD408" s="2393"/>
      <c r="AE408" s="2393"/>
      <c r="AF408" s="239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3"/>
      <c r="G409" s="2393"/>
      <c r="H409" s="2393"/>
      <c r="I409" s="2393"/>
      <c r="J409" s="2393"/>
      <c r="K409" s="2393"/>
      <c r="L409" s="2393"/>
      <c r="M409" s="2393"/>
      <c r="N409" s="2393"/>
      <c r="O409" s="2393"/>
      <c r="P409" s="2393"/>
      <c r="Q409" s="2393"/>
      <c r="R409" s="2393"/>
      <c r="S409" s="2393"/>
      <c r="T409" s="2393"/>
      <c r="U409" s="2393"/>
      <c r="V409" s="2393"/>
      <c r="W409" s="2393"/>
      <c r="X409" s="2393"/>
      <c r="Y409" s="2393"/>
      <c r="Z409" s="2393"/>
      <c r="AA409" s="2393"/>
      <c r="AB409" s="2393"/>
      <c r="AC409" s="2393"/>
      <c r="AD409" s="2393"/>
      <c r="AE409" s="2393"/>
      <c r="AF409" s="239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7" t="s">
        <v>591</v>
      </c>
      <c r="D410" s="2477"/>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8" t="s">
        <v>1458</v>
      </c>
      <c r="AG410" s="2518"/>
      <c r="AH410" s="2518"/>
      <c r="AI410" s="2518"/>
      <c r="AJ410" s="2518"/>
      <c r="AK410" s="2518"/>
      <c r="AL410" s="251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7" t="s">
        <v>545</v>
      </c>
      <c r="D412" s="2477"/>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8" t="s">
        <v>1453</v>
      </c>
      <c r="AG412" s="2518"/>
      <c r="AH412" s="2518"/>
      <c r="AI412" s="2518"/>
      <c r="AJ412" s="2518"/>
      <c r="AK412" s="2518"/>
      <c r="AL412" s="251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20" t="s">
        <v>1462</v>
      </c>
      <c r="G416" s="2520"/>
      <c r="H416" s="2520"/>
      <c r="I416" s="2520"/>
      <c r="J416" s="2520"/>
      <c r="K416" s="2520"/>
      <c r="L416" s="2520"/>
      <c r="M416" s="2520"/>
      <c r="N416" s="2520"/>
      <c r="O416" s="2520"/>
      <c r="P416" s="2520"/>
      <c r="Q416" s="2520"/>
      <c r="R416" s="2520"/>
      <c r="S416" s="2520"/>
      <c r="T416" s="2520"/>
      <c r="U416" s="2520"/>
      <c r="V416" s="2520"/>
      <c r="W416" s="2520"/>
      <c r="X416" s="2520"/>
      <c r="Y416" s="2520"/>
      <c r="Z416" s="2520"/>
      <c r="AA416" s="2520"/>
      <c r="AB416" s="2520"/>
      <c r="AC416" s="2520"/>
      <c r="AD416" s="2520"/>
      <c r="AE416" s="2520"/>
      <c r="AF416" s="252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3"/>
      <c r="G417" s="2393"/>
      <c r="H417" s="2393"/>
      <c r="I417" s="2393"/>
      <c r="J417" s="2393"/>
      <c r="K417" s="2393"/>
      <c r="L417" s="2393"/>
      <c r="M417" s="2393"/>
      <c r="N417" s="2393"/>
      <c r="O417" s="2393"/>
      <c r="P417" s="2393"/>
      <c r="Q417" s="2393"/>
      <c r="R417" s="2393"/>
      <c r="S417" s="2393"/>
      <c r="T417" s="2393"/>
      <c r="U417" s="2393"/>
      <c r="V417" s="2393"/>
      <c r="W417" s="2393"/>
      <c r="X417" s="2393"/>
      <c r="Y417" s="2393"/>
      <c r="Z417" s="2393"/>
      <c r="AA417" s="2393"/>
      <c r="AB417" s="2393"/>
      <c r="AC417" s="2393"/>
      <c r="AD417" s="2393"/>
      <c r="AE417" s="2393"/>
      <c r="AF417" s="239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3"/>
      <c r="G418" s="2393"/>
      <c r="H418" s="2393"/>
      <c r="I418" s="2393"/>
      <c r="J418" s="2393"/>
      <c r="K418" s="2393"/>
      <c r="L418" s="2393"/>
      <c r="M418" s="2393"/>
      <c r="N418" s="2393"/>
      <c r="O418" s="2393"/>
      <c r="P418" s="2393"/>
      <c r="Q418" s="2393"/>
      <c r="R418" s="2393"/>
      <c r="S418" s="2393"/>
      <c r="T418" s="2393"/>
      <c r="U418" s="2393"/>
      <c r="V418" s="2393"/>
      <c r="W418" s="2393"/>
      <c r="X418" s="2393"/>
      <c r="Y418" s="2393"/>
      <c r="Z418" s="2393"/>
      <c r="AA418" s="2393"/>
      <c r="AB418" s="2393"/>
      <c r="AC418" s="2393"/>
      <c r="AD418" s="2393"/>
      <c r="AE418" s="2393"/>
      <c r="AF418" s="239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239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7" t="s">
        <v>591</v>
      </c>
      <c r="D420" s="2477"/>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8" t="s">
        <v>1453</v>
      </c>
      <c r="AG420" s="2518"/>
      <c r="AH420" s="2518"/>
      <c r="AI420" s="2518"/>
      <c r="AJ420" s="2518"/>
      <c r="AK420" s="2518"/>
      <c r="AL420" s="251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7" t="s">
        <v>591</v>
      </c>
      <c r="D422" s="2477"/>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8" t="s">
        <v>1465</v>
      </c>
      <c r="AG422" s="2518"/>
      <c r="AH422" s="2518"/>
      <c r="AI422" s="2518"/>
      <c r="AJ422" s="2518"/>
      <c r="AK422" s="2518"/>
      <c r="AL422" s="251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7" t="s">
        <v>591</v>
      </c>
      <c r="D425" s="2477"/>
      <c r="E425" s="711" t="s">
        <v>1466</v>
      </c>
      <c r="F425" s="2520" t="s">
        <v>1467</v>
      </c>
      <c r="G425" s="2520"/>
      <c r="H425" s="2520"/>
      <c r="I425" s="2520"/>
      <c r="J425" s="2520"/>
      <c r="K425" s="2520"/>
      <c r="L425" s="2520"/>
      <c r="M425" s="2520"/>
      <c r="N425" s="2520"/>
      <c r="O425" s="2520"/>
      <c r="P425" s="2520"/>
      <c r="Q425" s="2520"/>
      <c r="R425" s="2520"/>
      <c r="S425" s="2520"/>
      <c r="T425" s="2520"/>
      <c r="U425" s="2520"/>
      <c r="V425" s="2520"/>
      <c r="W425" s="2520"/>
      <c r="X425" s="2520"/>
      <c r="Y425" s="2520"/>
      <c r="Z425" s="2520"/>
      <c r="AA425" s="2520"/>
      <c r="AB425" s="2520"/>
      <c r="AC425" s="2520"/>
      <c r="AD425" s="2520"/>
      <c r="AE425" s="252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3"/>
      <c r="G426" s="2393"/>
      <c r="H426" s="2393"/>
      <c r="I426" s="2393"/>
      <c r="J426" s="2393"/>
      <c r="K426" s="2393"/>
      <c r="L426" s="2393"/>
      <c r="M426" s="2393"/>
      <c r="N426" s="2393"/>
      <c r="O426" s="2393"/>
      <c r="P426" s="2393"/>
      <c r="Q426" s="2393"/>
      <c r="R426" s="2393"/>
      <c r="S426" s="2393"/>
      <c r="T426" s="2393"/>
      <c r="U426" s="2393"/>
      <c r="V426" s="2393"/>
      <c r="W426" s="2393"/>
      <c r="X426" s="2393"/>
      <c r="Y426" s="2393"/>
      <c r="Z426" s="2393"/>
      <c r="AA426" s="2393"/>
      <c r="AB426" s="2393"/>
      <c r="AC426" s="2393"/>
      <c r="AD426" s="2393"/>
      <c r="AE426" s="2393"/>
      <c r="AF426" s="2455" t="s">
        <v>1453</v>
      </c>
      <c r="AG426" s="2455"/>
      <c r="AH426" s="2455"/>
      <c r="AI426" s="2455"/>
      <c r="AJ426" s="2455"/>
      <c r="AK426" s="2455"/>
      <c r="AL426" s="2521"/>
      <c r="AM426" s="568"/>
      <c r="AN426" s="595"/>
      <c r="BS426" s="568"/>
      <c r="BT426" s="568"/>
      <c r="BY426" s="568"/>
      <c r="BZ426" s="568"/>
      <c r="CA426" s="568"/>
      <c r="CB426" s="568"/>
      <c r="CC426" s="568"/>
    </row>
    <row r="427" spans="1:81" s="549" customFormat="1" ht="12.75" customHeight="1">
      <c r="A427" s="536"/>
      <c r="B427" s="14"/>
      <c r="C427" s="727"/>
      <c r="D427" s="14"/>
      <c r="E427" s="687"/>
      <c r="F427" s="2393"/>
      <c r="G427" s="2393"/>
      <c r="H427" s="2393"/>
      <c r="I427" s="2393"/>
      <c r="J427" s="2393"/>
      <c r="K427" s="2393"/>
      <c r="L427" s="2393"/>
      <c r="M427" s="2393"/>
      <c r="N427" s="2393"/>
      <c r="O427" s="2393"/>
      <c r="P427" s="2393"/>
      <c r="Q427" s="2393"/>
      <c r="R427" s="2393"/>
      <c r="S427" s="2393"/>
      <c r="T427" s="2393"/>
      <c r="U427" s="2393"/>
      <c r="V427" s="2393"/>
      <c r="W427" s="2393"/>
      <c r="X427" s="2393"/>
      <c r="Y427" s="2393"/>
      <c r="Z427" s="2393"/>
      <c r="AA427" s="2393"/>
      <c r="AB427" s="2393"/>
      <c r="AC427" s="2393"/>
      <c r="AD427" s="2393"/>
      <c r="AE427" s="239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9"/>
      <c r="G428" s="2549"/>
      <c r="H428" s="2549"/>
      <c r="I428" s="2549"/>
      <c r="J428" s="2549"/>
      <c r="K428" s="2549"/>
      <c r="L428" s="2549"/>
      <c r="M428" s="2549"/>
      <c r="N428" s="2549"/>
      <c r="O428" s="2549"/>
      <c r="P428" s="2549"/>
      <c r="Q428" s="2549"/>
      <c r="R428" s="2549"/>
      <c r="S428" s="2549"/>
      <c r="T428" s="2549"/>
      <c r="U428" s="2549"/>
      <c r="V428" s="2549"/>
      <c r="W428" s="2549"/>
      <c r="X428" s="2549"/>
      <c r="Y428" s="2549"/>
      <c r="Z428" s="2549"/>
      <c r="AA428" s="2549"/>
      <c r="AB428" s="2549"/>
      <c r="AC428" s="2549"/>
      <c r="AD428" s="2549"/>
      <c r="AE428" s="254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20" t="s">
        <v>1469</v>
      </c>
      <c r="G430" s="2520"/>
      <c r="H430" s="2520"/>
      <c r="I430" s="2520"/>
      <c r="J430" s="2520"/>
      <c r="K430" s="2520"/>
      <c r="L430" s="2520"/>
      <c r="M430" s="2520"/>
      <c r="N430" s="2520"/>
      <c r="O430" s="2520"/>
      <c r="P430" s="2520"/>
      <c r="Q430" s="2520"/>
      <c r="R430" s="2520"/>
      <c r="S430" s="2520"/>
      <c r="T430" s="2520"/>
      <c r="U430" s="2520"/>
      <c r="V430" s="2520"/>
      <c r="W430" s="2520"/>
      <c r="X430" s="2520"/>
      <c r="Y430" s="2520"/>
      <c r="Z430" s="2520"/>
      <c r="AA430" s="2520"/>
      <c r="AB430" s="2520"/>
      <c r="AC430" s="2520"/>
      <c r="AD430" s="2520"/>
      <c r="AE430" s="2520"/>
      <c r="AF430" s="743"/>
      <c r="AG430" s="743"/>
      <c r="AH430" s="743"/>
      <c r="AI430" s="743"/>
      <c r="AJ430" s="743"/>
      <c r="AK430" s="743"/>
      <c r="AL430" s="744"/>
      <c r="AM430" s="568"/>
    </row>
    <row r="431" spans="1:81">
      <c r="A431" s="536"/>
      <c r="C431" s="727"/>
      <c r="E431" s="687"/>
      <c r="F431" s="2393"/>
      <c r="G431" s="2393"/>
      <c r="H431" s="2393"/>
      <c r="I431" s="2393"/>
      <c r="J431" s="2393"/>
      <c r="K431" s="2393"/>
      <c r="L431" s="2393"/>
      <c r="M431" s="2393"/>
      <c r="N431" s="2393"/>
      <c r="O431" s="2393"/>
      <c r="P431" s="2393"/>
      <c r="Q431" s="2393"/>
      <c r="R431" s="2393"/>
      <c r="S431" s="2393"/>
      <c r="T431" s="2393"/>
      <c r="U431" s="2393"/>
      <c r="V431" s="2393"/>
      <c r="W431" s="2393"/>
      <c r="X431" s="2393"/>
      <c r="Y431" s="2393"/>
      <c r="Z431" s="2393"/>
      <c r="AA431" s="2393"/>
      <c r="AB431" s="2393"/>
      <c r="AC431" s="2393"/>
      <c r="AD431" s="2393"/>
      <c r="AE431" s="2393"/>
      <c r="AF431" s="539"/>
      <c r="AG431" s="536"/>
      <c r="AH431" s="549"/>
      <c r="AI431" s="549"/>
      <c r="AJ431" s="549"/>
      <c r="AK431" s="549"/>
      <c r="AL431" s="728"/>
      <c r="AM431" s="568"/>
    </row>
    <row r="432" spans="1:81" s="549" customFormat="1" ht="12.75" customHeight="1">
      <c r="A432" s="536"/>
      <c r="B432" s="14"/>
      <c r="C432" s="727"/>
      <c r="D432" s="14"/>
      <c r="E432" s="687"/>
      <c r="F432" s="2393"/>
      <c r="G432" s="2393"/>
      <c r="H432" s="2393"/>
      <c r="I432" s="2393"/>
      <c r="J432" s="2393"/>
      <c r="K432" s="2393"/>
      <c r="L432" s="2393"/>
      <c r="M432" s="2393"/>
      <c r="N432" s="2393"/>
      <c r="O432" s="2393"/>
      <c r="P432" s="2393"/>
      <c r="Q432" s="2393"/>
      <c r="R432" s="2393"/>
      <c r="S432" s="2393"/>
      <c r="T432" s="2393"/>
      <c r="U432" s="2393"/>
      <c r="V432" s="2393"/>
      <c r="W432" s="2393"/>
      <c r="X432" s="2393"/>
      <c r="Y432" s="2393"/>
      <c r="Z432" s="2393"/>
      <c r="AA432" s="2393"/>
      <c r="AB432" s="2393"/>
      <c r="AC432" s="2393"/>
      <c r="AD432" s="2393"/>
      <c r="AE432" s="2393"/>
      <c r="AL432" s="728"/>
      <c r="AM432" s="568"/>
      <c r="AN432" s="595"/>
    </row>
    <row r="433" spans="1:60" s="549" customFormat="1" ht="12.75" customHeight="1">
      <c r="A433" s="536"/>
      <c r="B433" s="14"/>
      <c r="C433" s="735"/>
      <c r="F433" s="2393"/>
      <c r="G433" s="2393"/>
      <c r="H433" s="2393"/>
      <c r="I433" s="2393"/>
      <c r="J433" s="2393"/>
      <c r="K433" s="2393"/>
      <c r="L433" s="2393"/>
      <c r="M433" s="2393"/>
      <c r="N433" s="2393"/>
      <c r="O433" s="2393"/>
      <c r="P433" s="2393"/>
      <c r="Q433" s="2393"/>
      <c r="R433" s="2393"/>
      <c r="S433" s="2393"/>
      <c r="T433" s="2393"/>
      <c r="U433" s="2393"/>
      <c r="V433" s="2393"/>
      <c r="W433" s="2393"/>
      <c r="X433" s="2393"/>
      <c r="Y433" s="2393"/>
      <c r="Z433" s="2393"/>
      <c r="AA433" s="2393"/>
      <c r="AB433" s="2393"/>
      <c r="AC433" s="2393"/>
      <c r="AD433" s="2393"/>
      <c r="AE433" s="2393"/>
      <c r="AL433" s="728"/>
      <c r="AM433" s="568"/>
      <c r="AN433" s="595"/>
    </row>
    <row r="434" spans="1:60" s="549" customFormat="1" ht="12.75" customHeight="1">
      <c r="A434" s="536"/>
      <c r="B434" s="14"/>
      <c r="C434" s="2517" t="s">
        <v>545</v>
      </c>
      <c r="D434" s="2477"/>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5" t="s">
        <v>1453</v>
      </c>
      <c r="AG434" s="2455"/>
      <c r="AH434" s="2455"/>
      <c r="AI434" s="2455"/>
      <c r="AJ434" s="2455"/>
      <c r="AK434" s="2455"/>
      <c r="AL434" s="2521"/>
      <c r="AM434" s="568"/>
      <c r="AN434" s="595"/>
    </row>
    <row r="435" spans="1:60" s="549" customFormat="1" ht="12.75" customHeight="1">
      <c r="A435" s="536"/>
      <c r="B435" s="14"/>
      <c r="C435" s="735"/>
      <c r="AL435" s="728"/>
      <c r="AM435" s="568"/>
      <c r="AN435" s="595"/>
    </row>
    <row r="436" spans="1:60" s="549" customFormat="1" ht="12.75" customHeight="1">
      <c r="A436" s="536"/>
      <c r="B436" s="14"/>
      <c r="C436" s="2517" t="s">
        <v>591</v>
      </c>
      <c r="D436" s="2477"/>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5" t="s">
        <v>1465</v>
      </c>
      <c r="AG436" s="2455"/>
      <c r="AH436" s="2455"/>
      <c r="AI436" s="2455"/>
      <c r="AJ436" s="2455"/>
      <c r="AK436" s="2455"/>
      <c r="AL436" s="252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20" t="s">
        <v>1473</v>
      </c>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710"/>
      <c r="AG440" s="710"/>
      <c r="AH440" s="710"/>
      <c r="AI440" s="710"/>
      <c r="AJ440" s="710"/>
      <c r="AK440" s="710"/>
      <c r="AL440" s="741"/>
      <c r="AM440" s="568"/>
      <c r="AN440" s="595"/>
    </row>
    <row r="441" spans="1:60" s="549" customFormat="1" ht="12.75" customHeight="1">
      <c r="A441" s="536"/>
      <c r="B441" s="14"/>
      <c r="C441" s="727"/>
      <c r="D441" s="14"/>
      <c r="E441" s="687"/>
      <c r="F441" s="2393"/>
      <c r="G441" s="2393"/>
      <c r="H441" s="2393"/>
      <c r="I441" s="2393"/>
      <c r="J441" s="2393"/>
      <c r="K441" s="2393"/>
      <c r="L441" s="2393"/>
      <c r="M441" s="2393"/>
      <c r="N441" s="2393"/>
      <c r="O441" s="2393"/>
      <c r="P441" s="2393"/>
      <c r="Q441" s="2393"/>
      <c r="R441" s="2393"/>
      <c r="S441" s="2393"/>
      <c r="T441" s="2393"/>
      <c r="U441" s="2393"/>
      <c r="V441" s="2393"/>
      <c r="W441" s="2393"/>
      <c r="X441" s="2393"/>
      <c r="Y441" s="2393"/>
      <c r="Z441" s="2393"/>
      <c r="AA441" s="2393"/>
      <c r="AB441" s="2393"/>
      <c r="AC441" s="2393"/>
      <c r="AD441" s="2393"/>
      <c r="AE441" s="2393"/>
      <c r="AF441" s="539"/>
      <c r="AG441" s="536"/>
      <c r="AL441" s="728"/>
      <c r="AM441" s="568"/>
      <c r="AN441" s="595"/>
    </row>
    <row r="442" spans="1:60" s="549" customFormat="1" ht="12.4" customHeight="1">
      <c r="A442" s="536"/>
      <c r="B442" s="14"/>
      <c r="C442" s="727"/>
      <c r="D442" s="14"/>
      <c r="E442" s="687"/>
      <c r="F442" s="2393"/>
      <c r="G442" s="2393"/>
      <c r="H442" s="2393"/>
      <c r="I442" s="2393"/>
      <c r="J442" s="2393"/>
      <c r="K442" s="2393"/>
      <c r="L442" s="2393"/>
      <c r="M442" s="2393"/>
      <c r="N442" s="2393"/>
      <c r="O442" s="2393"/>
      <c r="P442" s="2393"/>
      <c r="Q442" s="2393"/>
      <c r="R442" s="2393"/>
      <c r="S442" s="2393"/>
      <c r="T442" s="2393"/>
      <c r="U442" s="2393"/>
      <c r="V442" s="2393"/>
      <c r="W442" s="2393"/>
      <c r="X442" s="2393"/>
      <c r="Y442" s="2393"/>
      <c r="Z442" s="2393"/>
      <c r="AA442" s="2393"/>
      <c r="AB442" s="2393"/>
      <c r="AC442" s="2393"/>
      <c r="AD442" s="2393"/>
      <c r="AE442" s="2393"/>
      <c r="AL442" s="728"/>
      <c r="AM442" s="568"/>
      <c r="AN442" s="595"/>
    </row>
    <row r="443" spans="1:60" s="549" customFormat="1" ht="12.75" customHeight="1">
      <c r="A443" s="536"/>
      <c r="B443" s="14"/>
      <c r="C443" s="2517" t="s">
        <v>591</v>
      </c>
      <c r="D443" s="2477"/>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5" t="s">
        <v>1453</v>
      </c>
      <c r="AG443" s="2455"/>
      <c r="AH443" s="2455"/>
      <c r="AI443" s="2455"/>
      <c r="AJ443" s="2455"/>
      <c r="AK443" s="2455"/>
      <c r="AL443" s="252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20" t="s">
        <v>1476</v>
      </c>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743"/>
      <c r="AG446" s="743"/>
      <c r="AH446" s="743"/>
      <c r="AI446" s="743"/>
      <c r="AJ446" s="743"/>
      <c r="AK446" s="743"/>
      <c r="AL446" s="744"/>
      <c r="AM446" s="568"/>
      <c r="AO446" s="549"/>
      <c r="AP446" s="549"/>
      <c r="BD446" s="14"/>
      <c r="BE446" s="14"/>
      <c r="BF446" s="14"/>
      <c r="BG446" s="14"/>
      <c r="BH446" s="14"/>
    </row>
    <row r="447" spans="1:60">
      <c r="A447" s="536"/>
      <c r="C447" s="727"/>
      <c r="E447" s="687"/>
      <c r="F447" s="2393"/>
      <c r="G447" s="2393"/>
      <c r="H447" s="2393"/>
      <c r="I447" s="2393"/>
      <c r="J447" s="2393"/>
      <c r="K447" s="2393"/>
      <c r="L447" s="2393"/>
      <c r="M447" s="2393"/>
      <c r="N447" s="2393"/>
      <c r="O447" s="2393"/>
      <c r="P447" s="2393"/>
      <c r="Q447" s="2393"/>
      <c r="R447" s="2393"/>
      <c r="S447" s="2393"/>
      <c r="T447" s="2393"/>
      <c r="U447" s="2393"/>
      <c r="V447" s="2393"/>
      <c r="W447" s="2393"/>
      <c r="X447" s="2393"/>
      <c r="Y447" s="2393"/>
      <c r="Z447" s="2393"/>
      <c r="AA447" s="2393"/>
      <c r="AB447" s="2393"/>
      <c r="AC447" s="2393"/>
      <c r="AD447" s="2393"/>
      <c r="AE447" s="2393"/>
      <c r="AF447" s="592"/>
      <c r="AG447" s="592"/>
      <c r="AH447" s="592"/>
      <c r="AI447" s="592"/>
      <c r="AJ447" s="592"/>
      <c r="AK447" s="592"/>
      <c r="AL447" s="746"/>
      <c r="AM447" s="568"/>
      <c r="AO447" s="549"/>
      <c r="AP447" s="549"/>
    </row>
    <row r="448" spans="1:60" s="549" customFormat="1" ht="12.75" customHeight="1">
      <c r="A448" s="536"/>
      <c r="B448" s="14"/>
      <c r="C448" s="727"/>
      <c r="D448" s="14"/>
      <c r="E448" s="687"/>
      <c r="F448" s="2393"/>
      <c r="G448" s="2393"/>
      <c r="H448" s="2393"/>
      <c r="I448" s="2393"/>
      <c r="J448" s="2393"/>
      <c r="K448" s="2393"/>
      <c r="L448" s="2393"/>
      <c r="M448" s="2393"/>
      <c r="N448" s="2393"/>
      <c r="O448" s="2393"/>
      <c r="P448" s="2393"/>
      <c r="Q448" s="2393"/>
      <c r="R448" s="2393"/>
      <c r="S448" s="2393"/>
      <c r="T448" s="2393"/>
      <c r="U448" s="2393"/>
      <c r="V448" s="2393"/>
      <c r="W448" s="2393"/>
      <c r="X448" s="2393"/>
      <c r="Y448" s="2393"/>
      <c r="Z448" s="2393"/>
      <c r="AA448" s="2393"/>
      <c r="AB448" s="2393"/>
      <c r="AC448" s="2393"/>
      <c r="AD448" s="2393"/>
      <c r="AE448" s="2393"/>
      <c r="AF448" s="592"/>
      <c r="AG448" s="592"/>
      <c r="AH448" s="592"/>
      <c r="AI448" s="592"/>
      <c r="AJ448" s="592"/>
      <c r="AK448" s="592"/>
      <c r="AL448" s="746"/>
      <c r="AM448" s="568"/>
      <c r="AN448" s="595"/>
    </row>
    <row r="449" spans="1:42" s="549" customFormat="1" ht="12.75" customHeight="1">
      <c r="A449" s="536"/>
      <c r="B449" s="14"/>
      <c r="C449" s="747"/>
      <c r="D449" s="726"/>
      <c r="E449" s="715"/>
      <c r="F449" s="2393"/>
      <c r="G449" s="2393"/>
      <c r="H449" s="2393"/>
      <c r="I449" s="2393"/>
      <c r="J449" s="2393"/>
      <c r="K449" s="2393"/>
      <c r="L449" s="2393"/>
      <c r="M449" s="2393"/>
      <c r="N449" s="2393"/>
      <c r="O449" s="2393"/>
      <c r="P449" s="2393"/>
      <c r="Q449" s="2393"/>
      <c r="R449" s="2393"/>
      <c r="S449" s="2393"/>
      <c r="T449" s="2393"/>
      <c r="U449" s="2393"/>
      <c r="V449" s="2393"/>
      <c r="W449" s="2393"/>
      <c r="X449" s="2393"/>
      <c r="Y449" s="2393"/>
      <c r="Z449" s="2393"/>
      <c r="AA449" s="2393"/>
      <c r="AB449" s="2393"/>
      <c r="AC449" s="2393"/>
      <c r="AD449" s="2393"/>
      <c r="AE449" s="239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3"/>
      <c r="G450" s="2393"/>
      <c r="H450" s="2393"/>
      <c r="I450" s="2393"/>
      <c r="J450" s="2393"/>
      <c r="K450" s="2393"/>
      <c r="L450" s="2393"/>
      <c r="M450" s="2393"/>
      <c r="N450" s="2393"/>
      <c r="O450" s="2393"/>
      <c r="P450" s="2393"/>
      <c r="Q450" s="2393"/>
      <c r="R450" s="2393"/>
      <c r="S450" s="2393"/>
      <c r="T450" s="2393"/>
      <c r="U450" s="2393"/>
      <c r="V450" s="2393"/>
      <c r="W450" s="2393"/>
      <c r="X450" s="2393"/>
      <c r="Y450" s="2393"/>
      <c r="Z450" s="2393"/>
      <c r="AA450" s="2393"/>
      <c r="AB450" s="2393"/>
      <c r="AC450" s="2393"/>
      <c r="AD450" s="2393"/>
      <c r="AE450" s="2393"/>
      <c r="AF450" s="592"/>
      <c r="AG450" s="592"/>
      <c r="AH450" s="592"/>
      <c r="AI450" s="592"/>
      <c r="AJ450" s="592"/>
      <c r="AK450" s="592"/>
      <c r="AL450" s="746"/>
      <c r="AM450" s="568"/>
      <c r="AN450" s="595"/>
    </row>
    <row r="451" spans="1:42" s="549" customFormat="1" ht="12.75" customHeight="1">
      <c r="A451" s="536"/>
      <c r="B451" s="14"/>
      <c r="C451" s="747"/>
      <c r="D451" s="726"/>
      <c r="E451" s="715"/>
      <c r="F451" s="2393"/>
      <c r="G451" s="2393"/>
      <c r="H451" s="2393"/>
      <c r="I451" s="2393"/>
      <c r="J451" s="2393"/>
      <c r="K451" s="2393"/>
      <c r="L451" s="2393"/>
      <c r="M451" s="2393"/>
      <c r="N451" s="2393"/>
      <c r="O451" s="2393"/>
      <c r="P451" s="2393"/>
      <c r="Q451" s="2393"/>
      <c r="R451" s="2393"/>
      <c r="S451" s="2393"/>
      <c r="T451" s="2393"/>
      <c r="U451" s="2393"/>
      <c r="V451" s="2393"/>
      <c r="W451" s="2393"/>
      <c r="X451" s="2393"/>
      <c r="Y451" s="2393"/>
      <c r="Z451" s="2393"/>
      <c r="AA451" s="2393"/>
      <c r="AB451" s="2393"/>
      <c r="AC451" s="2393"/>
      <c r="AD451" s="2393"/>
      <c r="AE451" s="2393"/>
      <c r="AF451" s="592"/>
      <c r="AG451" s="592"/>
      <c r="AH451" s="592"/>
      <c r="AI451" s="592"/>
      <c r="AJ451" s="592"/>
      <c r="AK451" s="592"/>
      <c r="AL451" s="746"/>
      <c r="AM451" s="568"/>
      <c r="AN451" s="595"/>
    </row>
    <row r="452" spans="1:42" s="549" customFormat="1" ht="12.75" customHeight="1">
      <c r="A452" s="536"/>
      <c r="B452" s="14"/>
      <c r="C452" s="747"/>
      <c r="D452" s="726"/>
      <c r="E452" s="715"/>
      <c r="F452" s="2393"/>
      <c r="G452" s="2393"/>
      <c r="H452" s="2393"/>
      <c r="I452" s="2393"/>
      <c r="J452" s="2393"/>
      <c r="K452" s="2393"/>
      <c r="L452" s="2393"/>
      <c r="M452" s="2393"/>
      <c r="N452" s="2393"/>
      <c r="O452" s="2393"/>
      <c r="P452" s="2393"/>
      <c r="Q452" s="2393"/>
      <c r="R452" s="2393"/>
      <c r="S452" s="2393"/>
      <c r="T452" s="2393"/>
      <c r="U452" s="2393"/>
      <c r="V452" s="2393"/>
      <c r="W452" s="2393"/>
      <c r="X452" s="2393"/>
      <c r="Y452" s="2393"/>
      <c r="Z452" s="2393"/>
      <c r="AA452" s="2393"/>
      <c r="AB452" s="2393"/>
      <c r="AC452" s="2393"/>
      <c r="AD452" s="2393"/>
      <c r="AE452" s="2393"/>
      <c r="AF452" s="592"/>
      <c r="AG452" s="592"/>
      <c r="AH452" s="592"/>
      <c r="AI452" s="592"/>
      <c r="AJ452" s="592"/>
      <c r="AK452" s="592"/>
      <c r="AL452" s="746"/>
      <c r="AM452" s="568"/>
      <c r="AN452" s="595"/>
    </row>
    <row r="453" spans="1:42" s="549" customFormat="1" ht="12.75" customHeight="1">
      <c r="A453" s="536"/>
      <c r="B453" s="14"/>
      <c r="C453" s="747"/>
      <c r="D453" s="726"/>
      <c r="E453" s="715"/>
      <c r="F453" s="2393"/>
      <c r="G453" s="2393"/>
      <c r="H453" s="2393"/>
      <c r="I453" s="2393"/>
      <c r="J453" s="2393"/>
      <c r="K453" s="2393"/>
      <c r="L453" s="2393"/>
      <c r="M453" s="2393"/>
      <c r="N453" s="2393"/>
      <c r="O453" s="2393"/>
      <c r="P453" s="2393"/>
      <c r="Q453" s="2393"/>
      <c r="R453" s="2393"/>
      <c r="S453" s="2393"/>
      <c r="T453" s="2393"/>
      <c r="U453" s="2393"/>
      <c r="V453" s="2393"/>
      <c r="W453" s="2393"/>
      <c r="X453" s="2393"/>
      <c r="Y453" s="2393"/>
      <c r="Z453" s="2393"/>
      <c r="AA453" s="2393"/>
      <c r="AB453" s="2393"/>
      <c r="AC453" s="2393"/>
      <c r="AD453" s="2393"/>
      <c r="AE453" s="2393"/>
      <c r="AF453" s="592"/>
      <c r="AG453" s="592"/>
      <c r="AH453" s="592"/>
      <c r="AI453" s="592"/>
      <c r="AJ453" s="592"/>
      <c r="AK453" s="592"/>
      <c r="AL453" s="746"/>
      <c r="AM453" s="568"/>
      <c r="AN453" s="595"/>
    </row>
    <row r="454" spans="1:42" s="549" customFormat="1" ht="17.25" customHeight="1">
      <c r="A454" s="536"/>
      <c r="B454" s="14"/>
      <c r="C454" s="747"/>
      <c r="D454" s="726"/>
      <c r="E454" s="715"/>
      <c r="F454" s="2393"/>
      <c r="G454" s="2393"/>
      <c r="H454" s="2393"/>
      <c r="I454" s="2393"/>
      <c r="J454" s="2393"/>
      <c r="K454" s="2393"/>
      <c r="L454" s="2393"/>
      <c r="M454" s="2393"/>
      <c r="N454" s="2393"/>
      <c r="O454" s="2393"/>
      <c r="P454" s="2393"/>
      <c r="Q454" s="2393"/>
      <c r="R454" s="2393"/>
      <c r="S454" s="2393"/>
      <c r="T454" s="2393"/>
      <c r="U454" s="2393"/>
      <c r="V454" s="2393"/>
      <c r="W454" s="2393"/>
      <c r="X454" s="2393"/>
      <c r="Y454" s="2393"/>
      <c r="Z454" s="2393"/>
      <c r="AA454" s="2393"/>
      <c r="AB454" s="2393"/>
      <c r="AC454" s="2393"/>
      <c r="AD454" s="2393"/>
      <c r="AE454" s="2393"/>
      <c r="AL454" s="728"/>
      <c r="AM454" s="568"/>
      <c r="AN454" s="595"/>
    </row>
    <row r="455" spans="1:42" s="549" customFormat="1" ht="12.75" customHeight="1">
      <c r="A455" s="536"/>
      <c r="B455" s="14"/>
      <c r="C455" s="2517" t="s">
        <v>591</v>
      </c>
      <c r="D455" s="2477"/>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5" t="s">
        <v>1453</v>
      </c>
      <c r="AG455" s="2455"/>
      <c r="AH455" s="2455"/>
      <c r="AI455" s="2455"/>
      <c r="AJ455" s="2455"/>
      <c r="AK455" s="2455"/>
      <c r="AL455" s="252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20" t="s">
        <v>1479</v>
      </c>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710"/>
      <c r="AG458" s="710"/>
      <c r="AH458" s="710"/>
      <c r="AI458" s="710"/>
      <c r="AJ458" s="710"/>
      <c r="AK458" s="710"/>
      <c r="AL458" s="741"/>
      <c r="AM458" s="568"/>
      <c r="AN458" s="595"/>
    </row>
    <row r="459" spans="1:42" s="549" customFormat="1" ht="12.75" customHeight="1">
      <c r="A459" s="536"/>
      <c r="B459" s="14"/>
      <c r="C459" s="747"/>
      <c r="D459" s="726"/>
      <c r="E459" s="715"/>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589"/>
      <c r="AG459" s="589"/>
      <c r="AH459" s="589"/>
      <c r="AI459" s="589"/>
      <c r="AJ459" s="589"/>
      <c r="AK459" s="589"/>
      <c r="AL459" s="716"/>
      <c r="AM459" s="568"/>
      <c r="AN459" s="595"/>
    </row>
    <row r="460" spans="1:42" s="549" customFormat="1" ht="12.75" customHeight="1">
      <c r="A460" s="536"/>
      <c r="B460" s="14"/>
      <c r="C460" s="747"/>
      <c r="D460" s="726"/>
      <c r="E460" s="715"/>
      <c r="F460" s="2393"/>
      <c r="G460" s="2393"/>
      <c r="H460" s="2393"/>
      <c r="I460" s="2393"/>
      <c r="J460" s="2393"/>
      <c r="K460" s="2393"/>
      <c r="L460" s="2393"/>
      <c r="M460" s="2393"/>
      <c r="N460" s="2393"/>
      <c r="O460" s="2393"/>
      <c r="P460" s="2393"/>
      <c r="Q460" s="2393"/>
      <c r="R460" s="2393"/>
      <c r="S460" s="2393"/>
      <c r="T460" s="2393"/>
      <c r="U460" s="2393"/>
      <c r="V460" s="2393"/>
      <c r="W460" s="2393"/>
      <c r="X460" s="2393"/>
      <c r="Y460" s="2393"/>
      <c r="Z460" s="2393"/>
      <c r="AA460" s="2393"/>
      <c r="AB460" s="2393"/>
      <c r="AC460" s="2393"/>
      <c r="AD460" s="2393"/>
      <c r="AE460" s="2393"/>
      <c r="AF460" s="589"/>
      <c r="AG460" s="589"/>
      <c r="AH460" s="589"/>
      <c r="AI460" s="589"/>
      <c r="AJ460" s="589"/>
      <c r="AK460" s="589"/>
      <c r="AL460" s="716"/>
      <c r="AM460" s="568"/>
      <c r="AN460" s="595"/>
    </row>
    <row r="461" spans="1:42" s="549" customFormat="1" ht="12.75" customHeight="1">
      <c r="A461" s="536"/>
      <c r="B461" s="14"/>
      <c r="C461" s="747"/>
      <c r="D461" s="726"/>
      <c r="E461" s="715"/>
      <c r="F461" s="2393"/>
      <c r="G461" s="2393"/>
      <c r="H461" s="2393"/>
      <c r="I461" s="2393"/>
      <c r="J461" s="2393"/>
      <c r="K461" s="2393"/>
      <c r="L461" s="2393"/>
      <c r="M461" s="2393"/>
      <c r="N461" s="2393"/>
      <c r="O461" s="2393"/>
      <c r="P461" s="2393"/>
      <c r="Q461" s="2393"/>
      <c r="R461" s="2393"/>
      <c r="S461" s="2393"/>
      <c r="T461" s="2393"/>
      <c r="U461" s="2393"/>
      <c r="V461" s="2393"/>
      <c r="W461" s="2393"/>
      <c r="X461" s="2393"/>
      <c r="Y461" s="2393"/>
      <c r="Z461" s="2393"/>
      <c r="AA461" s="2393"/>
      <c r="AB461" s="2393"/>
      <c r="AC461" s="2393"/>
      <c r="AD461" s="2393"/>
      <c r="AE461" s="2393"/>
      <c r="AL461" s="728"/>
      <c r="AM461" s="568"/>
      <c r="AN461" s="595"/>
    </row>
    <row r="462" spans="1:42" s="549" customFormat="1" ht="12.75" customHeight="1">
      <c r="A462" s="536"/>
      <c r="B462" s="14"/>
      <c r="C462" s="2517" t="s">
        <v>591</v>
      </c>
      <c r="D462" s="2477"/>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5" t="s">
        <v>1453</v>
      </c>
      <c r="AG462" s="2455"/>
      <c r="AH462" s="2455"/>
      <c r="AI462" s="2455"/>
      <c r="AJ462" s="2455"/>
      <c r="AK462" s="2455"/>
      <c r="AL462" s="252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2" t="s">
        <v>591</v>
      </c>
      <c r="D466" s="2523"/>
      <c r="E466" s="711" t="s">
        <v>1488</v>
      </c>
      <c r="F466" s="2520" t="s">
        <v>1489</v>
      </c>
      <c r="G466" s="2520"/>
      <c r="H466" s="2520"/>
      <c r="I466" s="2520"/>
      <c r="J466" s="2520"/>
      <c r="K466" s="2520"/>
      <c r="L466" s="2520"/>
      <c r="M466" s="2520"/>
      <c r="N466" s="2520"/>
      <c r="O466" s="2520"/>
      <c r="P466" s="2520"/>
      <c r="Q466" s="2520"/>
      <c r="R466" s="2520"/>
      <c r="S466" s="2520"/>
      <c r="T466" s="2520"/>
      <c r="U466" s="2520"/>
      <c r="V466" s="2520"/>
      <c r="W466" s="2520"/>
      <c r="X466" s="2520"/>
      <c r="Y466" s="2520"/>
      <c r="Z466" s="2520"/>
      <c r="AA466" s="2520"/>
      <c r="AB466" s="2520"/>
      <c r="AC466" s="2520"/>
      <c r="AD466" s="2520"/>
      <c r="AE466" s="2520"/>
      <c r="AF466" s="2605" t="s">
        <v>1453</v>
      </c>
      <c r="AG466" s="2605"/>
      <c r="AH466" s="2605"/>
      <c r="AI466" s="2605"/>
      <c r="AJ466" s="2605"/>
      <c r="AK466" s="2605"/>
      <c r="AL466" s="2606"/>
      <c r="AM466" s="568"/>
      <c r="AN466" s="749"/>
    </row>
    <row r="467" spans="1:40" s="549" customFormat="1" ht="12.75" customHeight="1">
      <c r="A467" s="536"/>
      <c r="B467" s="14"/>
      <c r="C467" s="747"/>
      <c r="D467" s="726"/>
      <c r="E467" s="715"/>
      <c r="F467" s="2393"/>
      <c r="G467" s="2393"/>
      <c r="H467" s="2393"/>
      <c r="I467" s="2393"/>
      <c r="J467" s="2393"/>
      <c r="K467" s="2393"/>
      <c r="L467" s="2393"/>
      <c r="M467" s="2393"/>
      <c r="N467" s="2393"/>
      <c r="O467" s="2393"/>
      <c r="P467" s="2393"/>
      <c r="Q467" s="2393"/>
      <c r="R467" s="2393"/>
      <c r="S467" s="2393"/>
      <c r="T467" s="2393"/>
      <c r="U467" s="2393"/>
      <c r="V467" s="2393"/>
      <c r="W467" s="2393"/>
      <c r="X467" s="2393"/>
      <c r="Y467" s="2393"/>
      <c r="Z467" s="2393"/>
      <c r="AA467" s="2393"/>
      <c r="AB467" s="2393"/>
      <c r="AC467" s="2393"/>
      <c r="AD467" s="2393"/>
      <c r="AE467" s="2393"/>
      <c r="AF467" s="589"/>
      <c r="AG467" s="589"/>
      <c r="AH467" s="589"/>
      <c r="AI467" s="589"/>
      <c r="AJ467" s="589"/>
      <c r="AK467" s="589"/>
      <c r="AL467" s="716"/>
      <c r="AM467" s="568"/>
      <c r="AN467" s="750"/>
    </row>
    <row r="468" spans="1:40" s="549" customFormat="1" ht="17.649999999999999" customHeight="1">
      <c r="A468" s="536"/>
      <c r="B468" s="14"/>
      <c r="C468" s="752"/>
      <c r="D468" s="719"/>
      <c r="E468" s="720"/>
      <c r="F468" s="2549"/>
      <c r="G468" s="2549"/>
      <c r="H468" s="2549"/>
      <c r="I468" s="2549"/>
      <c r="J468" s="2549"/>
      <c r="K468" s="2549"/>
      <c r="L468" s="2549"/>
      <c r="M468" s="2549"/>
      <c r="N468" s="2549"/>
      <c r="O468" s="2549"/>
      <c r="P468" s="2549"/>
      <c r="Q468" s="2549"/>
      <c r="R468" s="2549"/>
      <c r="S468" s="2549"/>
      <c r="T468" s="2549"/>
      <c r="U468" s="2549"/>
      <c r="V468" s="2549"/>
      <c r="W468" s="2549"/>
      <c r="X468" s="2549"/>
      <c r="Y468" s="2549"/>
      <c r="Z468" s="2549"/>
      <c r="AA468" s="2549"/>
      <c r="AB468" s="2549"/>
      <c r="AC468" s="2549"/>
      <c r="AD468" s="2549"/>
      <c r="AE468" s="254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7" t="s">
        <v>591</v>
      </c>
      <c r="D470" s="2477"/>
      <c r="E470" s="711" t="s">
        <v>1494</v>
      </c>
      <c r="F470" s="2520" t="s">
        <v>1495</v>
      </c>
      <c r="G470" s="2520"/>
      <c r="H470" s="2520"/>
      <c r="I470" s="2520"/>
      <c r="J470" s="2520"/>
      <c r="K470" s="2520"/>
      <c r="L470" s="2520"/>
      <c r="M470" s="2520"/>
      <c r="N470" s="2520"/>
      <c r="O470" s="2520"/>
      <c r="P470" s="2520"/>
      <c r="Q470" s="2520"/>
      <c r="R470" s="2520"/>
      <c r="S470" s="2520"/>
      <c r="T470" s="2520"/>
      <c r="U470" s="2520"/>
      <c r="V470" s="2520"/>
      <c r="W470" s="2520"/>
      <c r="X470" s="2520"/>
      <c r="Y470" s="2520"/>
      <c r="Z470" s="2520"/>
      <c r="AA470" s="2520"/>
      <c r="AB470" s="2520"/>
      <c r="AC470" s="2520"/>
      <c r="AD470" s="2520"/>
      <c r="AE470" s="2520"/>
      <c r="AF470" s="2605" t="s">
        <v>1453</v>
      </c>
      <c r="AG470" s="2605"/>
      <c r="AH470" s="2605"/>
      <c r="AI470" s="2605"/>
      <c r="AJ470" s="2605"/>
      <c r="AK470" s="2605"/>
      <c r="AL470" s="2606"/>
      <c r="AM470" s="568"/>
      <c r="AN470" s="535"/>
    </row>
    <row r="471" spans="1:40" s="549" customFormat="1" ht="12.75" customHeight="1">
      <c r="A471" s="536"/>
      <c r="B471" s="14"/>
      <c r="C471" s="727"/>
      <c r="D471" s="14"/>
      <c r="E471" s="687"/>
      <c r="F471" s="2393"/>
      <c r="G471" s="2393"/>
      <c r="H471" s="2393"/>
      <c r="I471" s="2393"/>
      <c r="J471" s="2393"/>
      <c r="K471" s="2393"/>
      <c r="L471" s="2393"/>
      <c r="M471" s="2393"/>
      <c r="N471" s="2393"/>
      <c r="O471" s="2393"/>
      <c r="P471" s="2393"/>
      <c r="Q471" s="2393"/>
      <c r="R471" s="2393"/>
      <c r="S471" s="2393"/>
      <c r="T471" s="2393"/>
      <c r="U471" s="2393"/>
      <c r="V471" s="2393"/>
      <c r="W471" s="2393"/>
      <c r="X471" s="2393"/>
      <c r="Y471" s="2393"/>
      <c r="Z471" s="2393"/>
      <c r="AA471" s="2393"/>
      <c r="AB471" s="2393"/>
      <c r="AC471" s="2393"/>
      <c r="AD471" s="2393"/>
      <c r="AE471" s="2393"/>
      <c r="AF471" s="539"/>
      <c r="AG471" s="536"/>
      <c r="AL471" s="728"/>
      <c r="AM471" s="568"/>
      <c r="AN471" s="535"/>
    </row>
    <row r="472" spans="1:40" s="549" customFormat="1" ht="12.75" customHeight="1">
      <c r="A472" s="536"/>
      <c r="B472" s="14"/>
      <c r="C472" s="727"/>
      <c r="D472" s="14"/>
      <c r="E472" s="687"/>
      <c r="F472" s="2393"/>
      <c r="G472" s="2393"/>
      <c r="H472" s="2393"/>
      <c r="I472" s="2393"/>
      <c r="J472" s="2393"/>
      <c r="K472" s="2393"/>
      <c r="L472" s="2393"/>
      <c r="M472" s="2393"/>
      <c r="N472" s="2393"/>
      <c r="O472" s="2393"/>
      <c r="P472" s="2393"/>
      <c r="Q472" s="2393"/>
      <c r="R472" s="2393"/>
      <c r="S472" s="2393"/>
      <c r="T472" s="2393"/>
      <c r="U472" s="2393"/>
      <c r="V472" s="2393"/>
      <c r="W472" s="2393"/>
      <c r="X472" s="2393"/>
      <c r="Y472" s="2393"/>
      <c r="Z472" s="2393"/>
      <c r="AA472" s="2393"/>
      <c r="AB472" s="2393"/>
      <c r="AC472" s="2393"/>
      <c r="AD472" s="2393"/>
      <c r="AE472" s="2393"/>
      <c r="AF472" s="539"/>
      <c r="AG472" s="536"/>
      <c r="AL472" s="728"/>
      <c r="AM472" s="568"/>
      <c r="AN472" s="535"/>
    </row>
    <row r="473" spans="1:40" s="549" customFormat="1" ht="12.75" customHeight="1">
      <c r="A473" s="536"/>
      <c r="B473" s="14"/>
      <c r="C473" s="752"/>
      <c r="D473" s="719"/>
      <c r="E473" s="720"/>
      <c r="F473" s="2549"/>
      <c r="G473" s="2549"/>
      <c r="H473" s="2549"/>
      <c r="I473" s="2549"/>
      <c r="J473" s="2549"/>
      <c r="K473" s="2549"/>
      <c r="L473" s="2549"/>
      <c r="M473" s="2549"/>
      <c r="N473" s="2549"/>
      <c r="O473" s="2549"/>
      <c r="P473" s="2549"/>
      <c r="Q473" s="2549"/>
      <c r="R473" s="2549"/>
      <c r="S473" s="2549"/>
      <c r="T473" s="2549"/>
      <c r="U473" s="2549"/>
      <c r="V473" s="2549"/>
      <c r="W473" s="2549"/>
      <c r="X473" s="2549"/>
      <c r="Y473" s="2549"/>
      <c r="Z473" s="2549"/>
      <c r="AA473" s="2549"/>
      <c r="AB473" s="2549"/>
      <c r="AC473" s="2549"/>
      <c r="AD473" s="2549"/>
      <c r="AE473" s="254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20" t="s">
        <v>1498</v>
      </c>
      <c r="G475" s="2520"/>
      <c r="H475" s="2520"/>
      <c r="I475" s="2520"/>
      <c r="J475" s="2520"/>
      <c r="K475" s="2520"/>
      <c r="L475" s="2520"/>
      <c r="M475" s="2520"/>
      <c r="N475" s="2520"/>
      <c r="O475" s="2520"/>
      <c r="P475" s="2520"/>
      <c r="Q475" s="2520"/>
      <c r="R475" s="2520"/>
      <c r="S475" s="2520"/>
      <c r="T475" s="2520"/>
      <c r="U475" s="2520"/>
      <c r="V475" s="2520"/>
      <c r="W475" s="2520"/>
      <c r="X475" s="2520"/>
      <c r="Y475" s="2520"/>
      <c r="Z475" s="2520"/>
      <c r="AA475" s="2520"/>
      <c r="AB475" s="2520"/>
      <c r="AC475" s="2520"/>
      <c r="AD475" s="2520"/>
      <c r="AE475" s="2520"/>
      <c r="AF475" s="2520"/>
      <c r="AG475" s="740"/>
      <c r="AH475" s="710"/>
      <c r="AI475" s="710"/>
      <c r="AJ475" s="710"/>
      <c r="AK475" s="710"/>
      <c r="AL475" s="741"/>
      <c r="AM475" s="568"/>
      <c r="AN475" s="595"/>
    </row>
    <row r="476" spans="1:40" s="549" customFormat="1" ht="12.75" customHeight="1">
      <c r="A476" s="536"/>
      <c r="B476" s="14"/>
      <c r="C476" s="727"/>
      <c r="D476" s="14"/>
      <c r="E476" s="687"/>
      <c r="F476" s="2393"/>
      <c r="G476" s="2393"/>
      <c r="H476" s="2393"/>
      <c r="I476" s="2393"/>
      <c r="J476" s="2393"/>
      <c r="K476" s="2393"/>
      <c r="L476" s="2393"/>
      <c r="M476" s="2393"/>
      <c r="N476" s="2393"/>
      <c r="O476" s="2393"/>
      <c r="P476" s="2393"/>
      <c r="Q476" s="2393"/>
      <c r="R476" s="2393"/>
      <c r="S476" s="2393"/>
      <c r="T476" s="2393"/>
      <c r="U476" s="2393"/>
      <c r="V476" s="2393"/>
      <c r="W476" s="2393"/>
      <c r="X476" s="2393"/>
      <c r="Y476" s="2393"/>
      <c r="Z476" s="2393"/>
      <c r="AA476" s="2393"/>
      <c r="AB476" s="2393"/>
      <c r="AC476" s="2393"/>
      <c r="AD476" s="2393"/>
      <c r="AE476" s="2393"/>
      <c r="AF476" s="2393"/>
      <c r="AL476" s="728"/>
      <c r="AM476" s="568"/>
      <c r="AN476" s="595"/>
    </row>
    <row r="477" spans="1:40" s="549" customFormat="1" ht="12.75" customHeight="1">
      <c r="A477" s="536"/>
      <c r="B477" s="14"/>
      <c r="C477" s="735"/>
      <c r="F477" s="2393"/>
      <c r="G477" s="2393"/>
      <c r="H477" s="2393"/>
      <c r="I477" s="2393"/>
      <c r="J477" s="2393"/>
      <c r="K477" s="2393"/>
      <c r="L477" s="2393"/>
      <c r="M477" s="2393"/>
      <c r="N477" s="2393"/>
      <c r="O477" s="2393"/>
      <c r="P477" s="2393"/>
      <c r="Q477" s="2393"/>
      <c r="R477" s="2393"/>
      <c r="S477" s="2393"/>
      <c r="T477" s="2393"/>
      <c r="U477" s="2393"/>
      <c r="V477" s="2393"/>
      <c r="W477" s="2393"/>
      <c r="X477" s="2393"/>
      <c r="Y477" s="2393"/>
      <c r="Z477" s="2393"/>
      <c r="AA477" s="2393"/>
      <c r="AB477" s="2393"/>
      <c r="AC477" s="2393"/>
      <c r="AD477" s="2393"/>
      <c r="AE477" s="2393"/>
      <c r="AF477" s="2393"/>
      <c r="AL477" s="728"/>
      <c r="AM477" s="568"/>
      <c r="AN477" s="595"/>
    </row>
    <row r="478" spans="1:40" s="549" customFormat="1" ht="12.75" customHeight="1">
      <c r="A478" s="536"/>
      <c r="B478" s="14"/>
      <c r="C478" s="735"/>
      <c r="F478" s="2393"/>
      <c r="G478" s="2393"/>
      <c r="H478" s="2393"/>
      <c r="I478" s="2393"/>
      <c r="J478" s="2393"/>
      <c r="K478" s="2393"/>
      <c r="L478" s="2393"/>
      <c r="M478" s="2393"/>
      <c r="N478" s="2393"/>
      <c r="O478" s="2393"/>
      <c r="P478" s="2393"/>
      <c r="Q478" s="2393"/>
      <c r="R478" s="2393"/>
      <c r="S478" s="2393"/>
      <c r="T478" s="2393"/>
      <c r="U478" s="2393"/>
      <c r="V478" s="2393"/>
      <c r="W478" s="2393"/>
      <c r="X478" s="2393"/>
      <c r="Y478" s="2393"/>
      <c r="Z478" s="2393"/>
      <c r="AA478" s="2393"/>
      <c r="AB478" s="2393"/>
      <c r="AC478" s="2393"/>
      <c r="AD478" s="2393"/>
      <c r="AE478" s="2393"/>
      <c r="AF478" s="2393"/>
      <c r="AL478" s="728"/>
      <c r="AM478" s="568"/>
      <c r="AN478" s="595"/>
    </row>
    <row r="479" spans="1:40" s="549" customFormat="1" ht="12.75" customHeight="1">
      <c r="A479" s="536"/>
      <c r="B479" s="14"/>
      <c r="C479" s="2517" t="s">
        <v>591</v>
      </c>
      <c r="D479" s="2477"/>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8" t="s">
        <v>1453</v>
      </c>
      <c r="AG479" s="2518"/>
      <c r="AH479" s="2518"/>
      <c r="AI479" s="2518"/>
      <c r="AJ479" s="2518"/>
      <c r="AK479" s="2518"/>
      <c r="AL479" s="251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80">
        <f>IF(Application!D214="N/A",AS371,AS373)</f>
        <v>10</v>
      </c>
      <c r="AL482" s="2481"/>
      <c r="AM482" s="248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8" t="s">
        <v>1502</v>
      </c>
      <c r="AF485" s="2518"/>
      <c r="AG485" s="2518"/>
      <c r="AH485" s="2518"/>
      <c r="AI485" s="2518"/>
      <c r="AJ485" s="2518"/>
      <c r="AK485" s="2518"/>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24" t="s">
        <v>591</v>
      </c>
      <c r="D491" s="2525"/>
      <c r="E491" s="757" t="s">
        <v>507</v>
      </c>
      <c r="F491" s="2526" t="s">
        <v>1508</v>
      </c>
      <c r="G491" s="2526"/>
      <c r="H491" s="2526"/>
      <c r="I491" s="2526"/>
      <c r="J491" s="2526"/>
      <c r="K491" s="2526"/>
      <c r="L491" s="2526"/>
      <c r="M491" s="2526"/>
      <c r="N491" s="2526"/>
      <c r="O491" s="2526"/>
      <c r="P491" s="2526"/>
      <c r="Q491" s="2526"/>
      <c r="R491" s="2526"/>
      <c r="S491" s="2526"/>
      <c r="T491" s="2526"/>
      <c r="U491" s="2526"/>
      <c r="V491" s="2526"/>
      <c r="W491" s="2526"/>
      <c r="X491" s="2526"/>
      <c r="Y491" s="2526"/>
      <c r="Z491" s="2526"/>
      <c r="AA491" s="2526"/>
      <c r="AB491" s="2526"/>
      <c r="AC491" s="2526"/>
      <c r="AD491" s="2526"/>
      <c r="AE491" s="2526"/>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7"/>
      <c r="G492" s="2527"/>
      <c r="H492" s="2527"/>
      <c r="I492" s="2527"/>
      <c r="J492" s="2527"/>
      <c r="K492" s="2527"/>
      <c r="L492" s="2527"/>
      <c r="M492" s="2527"/>
      <c r="N492" s="2527"/>
      <c r="O492" s="2527"/>
      <c r="P492" s="2527"/>
      <c r="Q492" s="2527"/>
      <c r="R492" s="2527"/>
      <c r="S492" s="2527"/>
      <c r="T492" s="2527"/>
      <c r="U492" s="2527"/>
      <c r="V492" s="2527"/>
      <c r="W492" s="2527"/>
      <c r="X492" s="2527"/>
      <c r="Y492" s="2527"/>
      <c r="Z492" s="2527"/>
      <c r="AA492" s="2527"/>
      <c r="AB492" s="2527"/>
      <c r="AC492" s="2527"/>
      <c r="AD492" s="2527"/>
      <c r="AE492" s="2527"/>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22" t="s">
        <v>591</v>
      </c>
      <c r="G493" s="2622"/>
      <c r="H493" s="2622"/>
      <c r="I493" s="2622"/>
      <c r="J493" s="2622"/>
      <c r="K493" s="2622"/>
      <c r="L493" s="2622"/>
      <c r="M493" s="2622"/>
      <c r="N493" s="2622"/>
      <c r="O493" s="2622"/>
      <c r="P493" s="2622"/>
      <c r="Q493" s="2622"/>
      <c r="R493" s="2622"/>
      <c r="S493" s="2622"/>
      <c r="T493" s="2622"/>
      <c r="U493" s="2622"/>
      <c r="V493" s="2622"/>
      <c r="W493" s="2622"/>
      <c r="X493" s="2622"/>
      <c r="Y493" s="2622"/>
      <c r="Z493" s="2622"/>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3" t="s">
        <v>545</v>
      </c>
      <c r="D495" s="2644"/>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11" t="s">
        <v>591</v>
      </c>
      <c r="W498" s="2611"/>
      <c r="X498" s="2611"/>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11" t="s">
        <v>591</v>
      </c>
      <c r="W500" s="2611"/>
      <c r="X500" s="2611"/>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11" t="s">
        <v>591</v>
      </c>
      <c r="W505" s="2611"/>
      <c r="X505" s="2611"/>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7"/>
      <c r="E508" s="2597"/>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11" t="s">
        <v>591</v>
      </c>
      <c r="W509" s="2611"/>
      <c r="X509" s="2611"/>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11" t="s">
        <v>591</v>
      </c>
      <c r="W511" s="2611"/>
      <c r="X511" s="2611"/>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4" t="s">
        <v>591</v>
      </c>
      <c r="D514" s="2525"/>
      <c r="E514" s="757" t="s">
        <v>507</v>
      </c>
      <c r="F514" s="2526" t="s">
        <v>1508</v>
      </c>
      <c r="G514" s="2526"/>
      <c r="H514" s="2526"/>
      <c r="I514" s="2526"/>
      <c r="J514" s="2526"/>
      <c r="K514" s="2526"/>
      <c r="L514" s="2526"/>
      <c r="M514" s="2526"/>
      <c r="N514" s="2526"/>
      <c r="O514" s="2526"/>
      <c r="P514" s="2526"/>
      <c r="Q514" s="2526"/>
      <c r="R514" s="2526"/>
      <c r="S514" s="2526"/>
      <c r="T514" s="2526"/>
      <c r="U514" s="2526"/>
      <c r="V514" s="2526"/>
      <c r="W514" s="2526"/>
      <c r="X514" s="2526"/>
      <c r="Y514" s="2526"/>
      <c r="Z514" s="2526"/>
      <c r="AA514" s="2526"/>
      <c r="AB514" s="2526"/>
      <c r="AC514" s="2526"/>
      <c r="AD514" s="2526"/>
      <c r="AE514" s="252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7"/>
      <c r="G515" s="2527"/>
      <c r="H515" s="2527"/>
      <c r="I515" s="2527"/>
      <c r="J515" s="2527"/>
      <c r="K515" s="2527"/>
      <c r="L515" s="2527"/>
      <c r="M515" s="2527"/>
      <c r="N515" s="2527"/>
      <c r="O515" s="2527"/>
      <c r="P515" s="2527"/>
      <c r="Q515" s="2527"/>
      <c r="R515" s="2527"/>
      <c r="S515" s="2527"/>
      <c r="T515" s="2527"/>
      <c r="U515" s="2527"/>
      <c r="V515" s="2527"/>
      <c r="W515" s="2527"/>
      <c r="X515" s="2527"/>
      <c r="Y515" s="2527"/>
      <c r="Z515" s="2527"/>
      <c r="AA515" s="2527"/>
      <c r="AB515" s="2527"/>
      <c r="AC515" s="2527"/>
      <c r="AD515" s="2527"/>
      <c r="AE515" s="252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8" t="s">
        <v>591</v>
      </c>
      <c r="G516" s="2618"/>
      <c r="H516" s="2618"/>
      <c r="I516" s="2618"/>
      <c r="J516" s="2618"/>
      <c r="K516" s="2618"/>
      <c r="L516" s="2618"/>
      <c r="M516" s="2618"/>
      <c r="N516" s="2618"/>
      <c r="O516" s="2618"/>
      <c r="P516" s="2618"/>
      <c r="Q516" s="2618"/>
      <c r="R516" s="2618"/>
      <c r="S516" s="2618"/>
      <c r="T516" s="2618"/>
      <c r="U516" s="2618"/>
      <c r="V516" s="2618"/>
      <c r="W516" s="2618"/>
      <c r="X516" s="2618"/>
      <c r="Y516" s="2618"/>
      <c r="Z516" s="2618"/>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4" t="s">
        <v>591</v>
      </c>
      <c r="D518" s="2525"/>
      <c r="E518" s="757" t="s">
        <v>757</v>
      </c>
      <c r="F518" s="2619" t="s">
        <v>1530</v>
      </c>
      <c r="G518" s="2619"/>
      <c r="H518" s="2619"/>
      <c r="I518" s="2619"/>
      <c r="J518" s="2619"/>
      <c r="K518" s="2619"/>
      <c r="L518" s="2619"/>
      <c r="M518" s="2619"/>
      <c r="N518" s="2619"/>
      <c r="O518" s="2619"/>
      <c r="P518" s="2619"/>
      <c r="Q518" s="2619"/>
      <c r="R518" s="2619"/>
      <c r="S518" s="2619"/>
      <c r="T518" s="2619"/>
      <c r="U518" s="2619"/>
      <c r="V518" s="2619"/>
      <c r="W518" s="2619"/>
      <c r="X518" s="2619"/>
      <c r="Y518" s="2619"/>
      <c r="Z518" s="2619"/>
      <c r="AA518" s="2619"/>
      <c r="AB518" s="2619"/>
      <c r="AC518" s="2619"/>
      <c r="AD518" s="2619"/>
      <c r="AE518" s="261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0"/>
      <c r="G519" s="2620"/>
      <c r="H519" s="2620"/>
      <c r="I519" s="2620"/>
      <c r="J519" s="2620"/>
      <c r="K519" s="2620"/>
      <c r="L519" s="2620"/>
      <c r="M519" s="2620"/>
      <c r="N519" s="2620"/>
      <c r="O519" s="2620"/>
      <c r="P519" s="2620"/>
      <c r="Q519" s="2620"/>
      <c r="R519" s="2620"/>
      <c r="S519" s="2620"/>
      <c r="T519" s="2620"/>
      <c r="U519" s="2620"/>
      <c r="V519" s="2620"/>
      <c r="W519" s="2620"/>
      <c r="X519" s="2620"/>
      <c r="Y519" s="2620"/>
      <c r="Z519" s="2620"/>
      <c r="AA519" s="2620"/>
      <c r="AB519" s="2620"/>
      <c r="AC519" s="2620"/>
      <c r="AD519" s="2620"/>
      <c r="AE519" s="262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1" t="s">
        <v>591</v>
      </c>
      <c r="G521" s="2621"/>
      <c r="H521" s="262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4" t="s">
        <v>591</v>
      </c>
      <c r="D523" s="2525"/>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6"/>
      <c r="D525" s="2597"/>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8" t="s">
        <v>591</v>
      </c>
      <c r="H526" s="2598"/>
      <c r="I526" s="2598"/>
      <c r="J526" s="2598"/>
      <c r="K526" s="2598"/>
      <c r="L526" s="2598"/>
      <c r="M526" s="2598"/>
      <c r="N526" s="2598"/>
      <c r="O526" s="2598"/>
      <c r="P526" s="2598"/>
      <c r="Q526" s="2598"/>
      <c r="R526" s="2598"/>
      <c r="S526" s="2598"/>
      <c r="T526" s="2598"/>
      <c r="U526" s="2598"/>
      <c r="V526" s="2598"/>
      <c r="W526" s="2598"/>
      <c r="X526" s="2598"/>
      <c r="Y526" s="2598"/>
      <c r="Z526" s="2598"/>
      <c r="AA526" s="2598"/>
      <c r="AB526" s="2598"/>
      <c r="AC526" s="2598"/>
      <c r="AD526" s="2598"/>
      <c r="AE526" s="2598"/>
      <c r="AF526" s="259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9" t="s">
        <v>591</v>
      </c>
      <c r="D528" s="2600"/>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9" t="s">
        <v>591</v>
      </c>
      <c r="D532" s="2600"/>
      <c r="F532" s="791" t="s">
        <v>1538</v>
      </c>
      <c r="G532" s="2393" t="s">
        <v>1539</v>
      </c>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9"/>
      <c r="H533" s="2549"/>
      <c r="I533" s="2549"/>
      <c r="J533" s="2549"/>
      <c r="K533" s="2549"/>
      <c r="L533" s="2549"/>
      <c r="M533" s="2549"/>
      <c r="N533" s="2549"/>
      <c r="O533" s="2549"/>
      <c r="P533" s="2549"/>
      <c r="Q533" s="2549"/>
      <c r="R533" s="2549"/>
      <c r="S533" s="2549"/>
      <c r="T533" s="2549"/>
      <c r="U533" s="2549"/>
      <c r="V533" s="2549"/>
      <c r="W533" s="2549"/>
      <c r="X533" s="2549"/>
      <c r="Y533" s="2549"/>
      <c r="Z533" s="2549"/>
      <c r="AA533" s="2549"/>
      <c r="AB533" s="2549"/>
      <c r="AC533" s="2549"/>
      <c r="AD533" s="2549"/>
      <c r="AE533" s="2549"/>
      <c r="AF533" s="25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1" t="s">
        <v>591</v>
      </c>
      <c r="D536" s="2602"/>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3" t="s">
        <v>591</v>
      </c>
      <c r="G537" s="2603"/>
      <c r="H537" s="2603"/>
      <c r="I537" s="2603"/>
      <c r="J537" s="2603"/>
      <c r="K537" s="2603"/>
      <c r="L537" s="2603"/>
      <c r="M537" s="2603"/>
      <c r="N537" s="2603"/>
      <c r="O537" s="2603"/>
      <c r="P537" s="2603"/>
      <c r="Q537" s="2603"/>
      <c r="R537" s="2603"/>
      <c r="S537" s="2603"/>
      <c r="T537" s="2603"/>
      <c r="U537" s="2603"/>
      <c r="V537" s="2603"/>
      <c r="W537" s="2603"/>
      <c r="X537" s="2603"/>
      <c r="Y537" s="2603"/>
      <c r="Z537" s="2603"/>
      <c r="AA537" s="2603"/>
      <c r="AB537" s="2603"/>
      <c r="AC537" s="2603"/>
      <c r="AD537" s="2603"/>
      <c r="AE537" s="2603"/>
      <c r="AF537" s="260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4"/>
      <c r="G538" s="2604"/>
      <c r="H538" s="2604"/>
      <c r="I538" s="2604"/>
      <c r="J538" s="2604"/>
      <c r="K538" s="2604"/>
      <c r="L538" s="2604"/>
      <c r="M538" s="2604"/>
      <c r="N538" s="2604"/>
      <c r="O538" s="2604"/>
      <c r="P538" s="2604"/>
      <c r="Q538" s="2604"/>
      <c r="R538" s="2604"/>
      <c r="S538" s="2604"/>
      <c r="T538" s="2604"/>
      <c r="U538" s="2604"/>
      <c r="V538" s="2604"/>
      <c r="W538" s="2604"/>
      <c r="X538" s="2604"/>
      <c r="Y538" s="2604"/>
      <c r="Z538" s="2604"/>
      <c r="AA538" s="2604"/>
      <c r="AB538" s="2604"/>
      <c r="AC538" s="2604"/>
      <c r="AD538" s="2604"/>
      <c r="AE538" s="2604"/>
      <c r="AF538" s="260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80">
        <f>SUM(AG492:AG537)</f>
        <v>0</v>
      </c>
      <c r="AL548" s="2481"/>
      <c r="AM548" s="248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2" t="s">
        <v>1551</v>
      </c>
      <c r="AF551" s="2422"/>
      <c r="AG551" s="2422"/>
      <c r="AH551" s="2422"/>
      <c r="AI551" s="2422"/>
      <c r="AJ551" s="2422"/>
      <c r="AK551" s="2422"/>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7" t="s">
        <v>545</v>
      </c>
      <c r="D554" s="2477"/>
      <c r="E554" s="550"/>
      <c r="F554" s="2528" t="s">
        <v>1552</v>
      </c>
      <c r="G554" s="2529"/>
      <c r="H554" s="2529"/>
      <c r="I554" s="2529"/>
      <c r="J554" s="2529"/>
      <c r="K554" s="2529"/>
      <c r="L554" s="2529"/>
      <c r="M554" s="2529"/>
      <c r="N554" s="2529"/>
      <c r="O554" s="2529"/>
      <c r="P554" s="2529"/>
      <c r="Q554" s="2529"/>
      <c r="R554" s="2529"/>
      <c r="S554" s="2529"/>
      <c r="T554" s="2529"/>
      <c r="U554" s="2529"/>
      <c r="V554" s="2529"/>
      <c r="W554" s="2529"/>
      <c r="X554" s="2529"/>
      <c r="Y554" s="2529"/>
      <c r="Z554" s="2529"/>
      <c r="AA554" s="2529"/>
      <c r="AB554" s="2529"/>
      <c r="AC554" s="2529"/>
      <c r="AD554" s="2529"/>
      <c r="AE554" s="2529"/>
      <c r="AF554" s="2529"/>
      <c r="AG554" s="2529"/>
      <c r="AH554" s="2529"/>
      <c r="AI554" s="2529"/>
      <c r="AJ554" s="2529"/>
      <c r="AK554" s="2529"/>
      <c r="AL554" s="2530"/>
      <c r="AM554" s="593"/>
      <c r="AN554" s="595"/>
    </row>
    <row r="555" spans="1:81" s="549" customFormat="1" ht="12.75" customHeight="1">
      <c r="B555" s="539"/>
      <c r="C555" s="550"/>
      <c r="D555" s="550"/>
      <c r="E555" s="550"/>
      <c r="F555" s="2531"/>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2532"/>
      <c r="AH555" s="2532"/>
      <c r="AI555" s="2532"/>
      <c r="AJ555" s="2532"/>
      <c r="AK555" s="2532"/>
      <c r="AL555" s="253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7" t="s">
        <v>591</v>
      </c>
      <c r="D557" s="2477"/>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1" t="s">
        <v>2630</v>
      </c>
      <c r="G558" s="2472"/>
      <c r="H558" s="2472"/>
      <c r="I558" s="2472"/>
      <c r="J558" s="2472"/>
      <c r="K558" s="2472"/>
      <c r="L558" s="2472"/>
      <c r="M558" s="2472"/>
      <c r="N558" s="2472"/>
      <c r="O558" s="2472"/>
      <c r="P558" s="2472"/>
      <c r="Q558" s="2472"/>
      <c r="R558" s="2472"/>
      <c r="S558" s="2472"/>
      <c r="T558" s="2472"/>
      <c r="U558" s="2472"/>
      <c r="V558" s="2472"/>
      <c r="W558" s="2472"/>
      <c r="X558" s="2472"/>
      <c r="Y558" s="2472"/>
      <c r="Z558" s="2472"/>
      <c r="AA558" s="2472"/>
      <c r="AB558" s="2472"/>
      <c r="AC558" s="2472"/>
      <c r="AD558" s="2472"/>
      <c r="AE558" s="2472"/>
      <c r="AF558" s="2472"/>
      <c r="AG558" s="2472"/>
      <c r="AH558" s="2472"/>
      <c r="AI558" s="2472"/>
      <c r="AJ558" s="2472"/>
      <c r="AK558" s="2472"/>
      <c r="AL558" s="2473"/>
      <c r="AM558" s="593"/>
      <c r="AN558" s="595"/>
      <c r="AS558" s="866"/>
      <c r="AT558" s="866"/>
      <c r="AU558" s="866"/>
      <c r="AV558" s="866"/>
      <c r="AW558" s="866"/>
    </row>
    <row r="559" spans="1:81" s="549" customFormat="1" ht="12.75" customHeight="1">
      <c r="B559" s="802"/>
      <c r="C559" s="802"/>
      <c r="D559" s="802"/>
      <c r="E559" s="802"/>
      <c r="F559" s="2471"/>
      <c r="G559" s="2472"/>
      <c r="H559" s="2472"/>
      <c r="I559" s="2472"/>
      <c r="J559" s="2472"/>
      <c r="K559" s="2472"/>
      <c r="L559" s="2472"/>
      <c r="M559" s="2472"/>
      <c r="N559" s="2472"/>
      <c r="O559" s="2472"/>
      <c r="P559" s="2472"/>
      <c r="Q559" s="2472"/>
      <c r="R559" s="2472"/>
      <c r="S559" s="2472"/>
      <c r="T559" s="2472"/>
      <c r="U559" s="2472"/>
      <c r="V559" s="2472"/>
      <c r="W559" s="2472"/>
      <c r="X559" s="2472"/>
      <c r="Y559" s="2472"/>
      <c r="Z559" s="2472"/>
      <c r="AA559" s="2472"/>
      <c r="AB559" s="2472"/>
      <c r="AC559" s="2472"/>
      <c r="AD559" s="2472"/>
      <c r="AE559" s="2472"/>
      <c r="AF559" s="2472"/>
      <c r="AG559" s="2472"/>
      <c r="AH559" s="2472"/>
      <c r="AI559" s="2472"/>
      <c r="AJ559" s="2472"/>
      <c r="AK559" s="2472"/>
      <c r="AL559" s="2473"/>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1" t="s">
        <v>1554</v>
      </c>
      <c r="G561" s="2472"/>
      <c r="H561" s="2472"/>
      <c r="I561" s="2472"/>
      <c r="J561" s="2472"/>
      <c r="K561" s="2472"/>
      <c r="L561" s="2472"/>
      <c r="M561" s="2472"/>
      <c r="N561" s="2472"/>
      <c r="O561" s="2472"/>
      <c r="P561" s="2472"/>
      <c r="Q561" s="2472"/>
      <c r="R561" s="2472"/>
      <c r="S561" s="2472"/>
      <c r="T561" s="2472"/>
      <c r="U561" s="2472"/>
      <c r="V561" s="2472"/>
      <c r="W561" s="2472"/>
      <c r="X561" s="2472"/>
      <c r="Y561" s="2472"/>
      <c r="Z561" s="2472"/>
      <c r="AA561" s="2472"/>
      <c r="AB561" s="2472"/>
      <c r="AC561" s="2472"/>
      <c r="AD561" s="2472"/>
      <c r="AE561" s="2472"/>
      <c r="AF561" s="2472"/>
      <c r="AG561" s="2472"/>
      <c r="AH561" s="2472"/>
      <c r="AI561" s="2472"/>
      <c r="AJ561" s="2472"/>
      <c r="AK561" s="2472"/>
      <c r="AL561" s="809"/>
      <c r="AM561" s="593"/>
      <c r="AN561" s="595"/>
    </row>
    <row r="562" spans="1:45" s="549" customFormat="1" ht="12.75" customHeight="1">
      <c r="B562" s="802"/>
      <c r="C562" s="802"/>
      <c r="D562" s="802"/>
      <c r="E562" s="802"/>
      <c r="F562" s="2474"/>
      <c r="G562" s="2475"/>
      <c r="H562" s="2475"/>
      <c r="I562" s="2475"/>
      <c r="J562" s="2475"/>
      <c r="K562" s="2475"/>
      <c r="L562" s="2475"/>
      <c r="M562" s="2475"/>
      <c r="N562" s="2475"/>
      <c r="O562" s="2475"/>
      <c r="P562" s="2475"/>
      <c r="Q562" s="2475"/>
      <c r="R562" s="2475"/>
      <c r="S562" s="2475"/>
      <c r="T562" s="2475"/>
      <c r="U562" s="2475"/>
      <c r="V562" s="2475"/>
      <c r="W562" s="2475"/>
      <c r="X562" s="2475"/>
      <c r="Y562" s="2475"/>
      <c r="Z562" s="2475"/>
      <c r="AA562" s="2475"/>
      <c r="AB562" s="2475"/>
      <c r="AC562" s="2475"/>
      <c r="AD562" s="2475"/>
      <c r="AE562" s="2475"/>
      <c r="AF562" s="2475"/>
      <c r="AG562" s="2475"/>
      <c r="AH562" s="2475"/>
      <c r="AI562" s="2475"/>
      <c r="AJ562" s="2475"/>
      <c r="AK562" s="247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0">
        <f>Application!AJ1001</f>
        <v>176887542</v>
      </c>
      <c r="AQ563" s="2610"/>
      <c r="AR563" s="2610"/>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3">
        <f>'Sources and Uses Budget'!S107+'Sources and Uses Budget'!T107</f>
        <v>124371890</v>
      </c>
      <c r="AG564" s="2483"/>
      <c r="AH564" s="2483"/>
      <c r="AI564" s="2483"/>
      <c r="AJ564" s="2483"/>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4">
        <f>IFERROR(AP572,0)</f>
        <v>307784323.07999998</v>
      </c>
      <c r="AG565" s="2614"/>
      <c r="AH565" s="2614"/>
      <c r="AI565" s="2614"/>
      <c r="AJ565" s="2614"/>
      <c r="AK565" s="593"/>
      <c r="AL565" s="593"/>
      <c r="AM565" s="593"/>
      <c r="AN565" s="595"/>
      <c r="AP565" s="2610">
        <f>Application!AJ1054</f>
        <v>42453010.079999998</v>
      </c>
      <c r="AQ565" s="2610"/>
      <c r="AR565" s="2610"/>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5">
        <f>IFERROR(ROUNDDOWN(IF(C557="YES",((1-(AF564/AF565))*2),(1-(AF564/AF565))),2),0)</f>
        <v>0.59</v>
      </c>
      <c r="AG566" s="2615"/>
      <c r="AH566" s="2615"/>
      <c r="AI566" s="2615"/>
      <c r="AJ566" s="2615"/>
      <c r="AK566" s="593"/>
      <c r="AL566" s="593"/>
      <c r="AM566" s="593"/>
      <c r="AN566" s="595"/>
      <c r="AP566" s="2630">
        <f>Application!AJ1058</f>
        <v>88443771</v>
      </c>
      <c r="AQ566" s="2630"/>
      <c r="AR566" s="2630"/>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9">
        <f>IF(((AP565+AP566)/AP563)&gt;0.8,0.8,((AP565+AP566)/AP563))</f>
        <v>0.74</v>
      </c>
      <c r="AQ567" s="2609"/>
      <c r="AR567" s="2609"/>
      <c r="AS567" s="549" t="s">
        <v>2127</v>
      </c>
    </row>
    <row r="568" spans="1:45" s="549" customFormat="1" ht="12.75" customHeight="1">
      <c r="A568" s="622"/>
      <c r="B568" s="2556" t="s">
        <v>1993</v>
      </c>
      <c r="C568" s="2557"/>
      <c r="D568" s="2557"/>
      <c r="E568" s="2557"/>
      <c r="F568" s="2557"/>
      <c r="G568" s="2557"/>
      <c r="H568" s="2557"/>
      <c r="I568" s="2557"/>
      <c r="J568" s="2557"/>
      <c r="K568" s="2557"/>
      <c r="L568" s="2557"/>
      <c r="M568" s="2557"/>
      <c r="N568" s="2557"/>
      <c r="O568" s="2557"/>
      <c r="P568" s="2557"/>
      <c r="Q568" s="2557"/>
      <c r="R568" s="2557"/>
      <c r="S568" s="2557"/>
      <c r="T568" s="2557"/>
      <c r="U568" s="2557"/>
      <c r="V568" s="2557"/>
      <c r="W568" s="2557"/>
      <c r="X568" s="2557"/>
      <c r="Y568" s="2557"/>
      <c r="Z568" s="2557"/>
      <c r="AA568" s="2557"/>
      <c r="AB568" s="2557"/>
      <c r="AC568" s="2557"/>
      <c r="AD568" s="2557"/>
      <c r="AE568" s="2557"/>
      <c r="AF568" s="2557"/>
      <c r="AG568" s="2557"/>
      <c r="AH568" s="2557"/>
      <c r="AI568" s="2557"/>
      <c r="AJ568" s="2558"/>
      <c r="AK568" s="593"/>
      <c r="AL568" s="593"/>
      <c r="AM568" s="593"/>
      <c r="AN568" s="595"/>
    </row>
    <row r="569" spans="1:45" s="549" customFormat="1" ht="12.75" customHeight="1">
      <c r="A569" s="622"/>
      <c r="B569" s="2559"/>
      <c r="C569" s="2560"/>
      <c r="D569" s="2560"/>
      <c r="E569" s="2560"/>
      <c r="F569" s="2560"/>
      <c r="G569" s="2560"/>
      <c r="H569" s="2560"/>
      <c r="I569" s="2560"/>
      <c r="J569" s="2560"/>
      <c r="K569" s="2560"/>
      <c r="L569" s="2560"/>
      <c r="M569" s="2560"/>
      <c r="N569" s="2560"/>
      <c r="O569" s="2560"/>
      <c r="P569" s="2560"/>
      <c r="Q569" s="2560"/>
      <c r="R569" s="2560"/>
      <c r="S569" s="2560"/>
      <c r="T569" s="2560"/>
      <c r="U569" s="2560"/>
      <c r="V569" s="2560"/>
      <c r="W569" s="2560"/>
      <c r="X569" s="2560"/>
      <c r="Y569" s="2560"/>
      <c r="Z569" s="2560"/>
      <c r="AA569" s="2560"/>
      <c r="AB569" s="2560"/>
      <c r="AC569" s="2560"/>
      <c r="AD569" s="2560"/>
      <c r="AE569" s="2560"/>
      <c r="AF569" s="2560"/>
      <c r="AG569" s="2560"/>
      <c r="AH569" s="2560"/>
      <c r="AI569" s="2560"/>
      <c r="AJ569" s="2561"/>
      <c r="AK569" s="593"/>
      <c r="AL569" s="593"/>
      <c r="AM569" s="593"/>
      <c r="AN569" s="595"/>
      <c r="AP569" s="2610">
        <f>AP570-AP565-AP566</f>
        <v>176887542</v>
      </c>
      <c r="AQ569" s="2541"/>
      <c r="AR569" s="2541"/>
      <c r="AS569" s="549" t="s">
        <v>2129</v>
      </c>
    </row>
    <row r="570" spans="1:45" s="549" customFormat="1" ht="12.75" customHeight="1">
      <c r="A570" s="622"/>
      <c r="B570" s="2562"/>
      <c r="C570" s="2563"/>
      <c r="D570" s="2563"/>
      <c r="E570" s="2563"/>
      <c r="F570" s="2563"/>
      <c r="G570" s="2563"/>
      <c r="H570" s="2563"/>
      <c r="I570" s="2563"/>
      <c r="J570" s="2563"/>
      <c r="K570" s="2563"/>
      <c r="L570" s="2563"/>
      <c r="M570" s="2563"/>
      <c r="N570" s="2563"/>
      <c r="O570" s="2563"/>
      <c r="P570" s="2563"/>
      <c r="Q570" s="2563"/>
      <c r="R570" s="2563"/>
      <c r="S570" s="2563"/>
      <c r="T570" s="2563"/>
      <c r="U570" s="2563"/>
      <c r="V570" s="2563"/>
      <c r="W570" s="2563"/>
      <c r="X570" s="2563"/>
      <c r="Y570" s="2563"/>
      <c r="Z570" s="2563"/>
      <c r="AA570" s="2563"/>
      <c r="AB570" s="2563"/>
      <c r="AC570" s="2563"/>
      <c r="AD570" s="2563"/>
      <c r="AE570" s="2563"/>
      <c r="AF570" s="2563"/>
      <c r="AG570" s="2563"/>
      <c r="AH570" s="2563"/>
      <c r="AI570" s="2563"/>
      <c r="AJ570" s="2564"/>
      <c r="AK570" s="593"/>
      <c r="AL570" s="593"/>
      <c r="AM570" s="593"/>
      <c r="AN570" s="595"/>
      <c r="AP570" s="2610">
        <f>Application!AJ1062</f>
        <v>307784323.07999998</v>
      </c>
      <c r="AQ570" s="2610"/>
      <c r="AR570" s="2610"/>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5">
        <f>IFERROR(IF(AND(C554="N/A",C557="N/A"),0,IF(AF566=0,0,IF((AF566*100)&gt;12,12,(AF566*100)))),0)</f>
        <v>12</v>
      </c>
      <c r="AL572" s="2565"/>
      <c r="AM572" s="2566"/>
      <c r="AN572" s="595"/>
      <c r="AP572" s="2623">
        <f>AP569+(AP563*AP567)</f>
        <v>307784323.07999998</v>
      </c>
      <c r="AQ572" s="2624"/>
      <c r="AR572" s="2625"/>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2" t="s">
        <v>1308</v>
      </c>
      <c r="AF575" s="2422"/>
      <c r="AG575" s="2422"/>
      <c r="AH575" s="2422"/>
      <c r="AI575" s="2422"/>
      <c r="AJ575" s="2422"/>
      <c r="AK575" s="242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2" t="s">
        <v>1985</v>
      </c>
      <c r="C577" s="2472"/>
      <c r="D577" s="2472"/>
      <c r="E577" s="2472"/>
      <c r="F577" s="2472"/>
      <c r="G577" s="2472"/>
      <c r="H577" s="2472"/>
      <c r="I577" s="2472"/>
      <c r="J577" s="2472"/>
      <c r="K577" s="2472"/>
      <c r="L577" s="2472"/>
      <c r="M577" s="2472"/>
      <c r="N577" s="2472"/>
      <c r="O577" s="2472"/>
      <c r="P577" s="2472"/>
      <c r="Q577" s="2472"/>
      <c r="R577" s="2472"/>
      <c r="S577" s="2472"/>
      <c r="T577" s="2472"/>
      <c r="U577" s="2472"/>
      <c r="V577" s="2472"/>
      <c r="W577" s="2472"/>
      <c r="X577" s="2472"/>
      <c r="Y577" s="2472"/>
      <c r="Z577" s="2472"/>
      <c r="AA577" s="2472"/>
      <c r="AB577" s="2472"/>
      <c r="AC577" s="2472"/>
      <c r="AD577" s="2472"/>
      <c r="AE577" s="2472"/>
      <c r="AF577" s="2472"/>
      <c r="AG577" s="2472"/>
      <c r="AH577" s="2472"/>
      <c r="AI577" s="2472"/>
      <c r="AJ577" s="2472"/>
      <c r="AK577" s="640"/>
      <c r="AL577" s="571"/>
      <c r="AM577" s="601"/>
      <c r="AN577" s="595"/>
    </row>
    <row r="578" spans="1:42" s="549" customFormat="1" ht="12.75" customHeight="1">
      <c r="A578" s="601"/>
      <c r="B578" s="2472"/>
      <c r="C578" s="2472"/>
      <c r="D578" s="2472"/>
      <c r="E578" s="2472"/>
      <c r="F578" s="2472"/>
      <c r="G578" s="2472"/>
      <c r="H578" s="2472"/>
      <c r="I578" s="2472"/>
      <c r="J578" s="2472"/>
      <c r="K578" s="2472"/>
      <c r="L578" s="2472"/>
      <c r="M578" s="2472"/>
      <c r="N578" s="2472"/>
      <c r="O578" s="2472"/>
      <c r="P578" s="2472"/>
      <c r="Q578" s="2472"/>
      <c r="R578" s="2472"/>
      <c r="S578" s="2472"/>
      <c r="T578" s="2472"/>
      <c r="U578" s="2472"/>
      <c r="V578" s="2472"/>
      <c r="W578" s="2472"/>
      <c r="X578" s="2472"/>
      <c r="Y578" s="2472"/>
      <c r="Z578" s="2472"/>
      <c r="AA578" s="2472"/>
      <c r="AB578" s="2472"/>
      <c r="AC578" s="2472"/>
      <c r="AD578" s="2472"/>
      <c r="AE578" s="2472"/>
      <c r="AF578" s="2472"/>
      <c r="AG578" s="2472"/>
      <c r="AH578" s="2472"/>
      <c r="AI578" s="2472"/>
      <c r="AJ578" s="2472"/>
      <c r="AK578" s="640"/>
      <c r="AL578" s="571"/>
      <c r="AM578" s="601"/>
      <c r="AN578" s="595"/>
    </row>
    <row r="579" spans="1:42" s="549" customFormat="1" ht="12.75" customHeight="1">
      <c r="A579" s="601"/>
      <c r="B579" s="2472"/>
      <c r="C579" s="2472"/>
      <c r="D579" s="2472"/>
      <c r="E579" s="2472"/>
      <c r="F579" s="2472"/>
      <c r="G579" s="2472"/>
      <c r="H579" s="2472"/>
      <c r="I579" s="2472"/>
      <c r="J579" s="2472"/>
      <c r="K579" s="2472"/>
      <c r="L579" s="2472"/>
      <c r="M579" s="2472"/>
      <c r="N579" s="2472"/>
      <c r="O579" s="2472"/>
      <c r="P579" s="2472"/>
      <c r="Q579" s="2472"/>
      <c r="R579" s="2472"/>
      <c r="S579" s="2472"/>
      <c r="T579" s="2472"/>
      <c r="U579" s="2472"/>
      <c r="V579" s="2472"/>
      <c r="W579" s="2472"/>
      <c r="X579" s="2472"/>
      <c r="Y579" s="2472"/>
      <c r="Z579" s="2472"/>
      <c r="AA579" s="2472"/>
      <c r="AB579" s="2472"/>
      <c r="AC579" s="2472"/>
      <c r="AD579" s="2472"/>
      <c r="AE579" s="2472"/>
      <c r="AF579" s="2472"/>
      <c r="AG579" s="2472"/>
      <c r="AH579" s="2472"/>
      <c r="AI579" s="2472"/>
      <c r="AJ579" s="2472"/>
      <c r="AK579" s="640"/>
      <c r="AL579" s="571"/>
      <c r="AM579" s="601"/>
      <c r="AN579" s="595"/>
    </row>
    <row r="580" spans="1:42" s="549" customFormat="1" ht="12.75" customHeight="1">
      <c r="A580" s="601"/>
      <c r="B580" s="2472"/>
      <c r="C580" s="2472"/>
      <c r="D580" s="2472"/>
      <c r="E580" s="2472"/>
      <c r="F580" s="2472"/>
      <c r="G580" s="2472"/>
      <c r="H580" s="2472"/>
      <c r="I580" s="2472"/>
      <c r="J580" s="2472"/>
      <c r="K580" s="2472"/>
      <c r="L580" s="2472"/>
      <c r="M580" s="2472"/>
      <c r="N580" s="2472"/>
      <c r="O580" s="2472"/>
      <c r="P580" s="2472"/>
      <c r="Q580" s="2472"/>
      <c r="R580" s="2472"/>
      <c r="S580" s="2472"/>
      <c r="T580" s="2472"/>
      <c r="U580" s="2472"/>
      <c r="V580" s="2472"/>
      <c r="W580" s="2472"/>
      <c r="X580" s="2472"/>
      <c r="Y580" s="2472"/>
      <c r="Z580" s="2472"/>
      <c r="AA580" s="2472"/>
      <c r="AB580" s="2472"/>
      <c r="AC580" s="2472"/>
      <c r="AD580" s="2472"/>
      <c r="AE580" s="2472"/>
      <c r="AF580" s="2472"/>
      <c r="AG580" s="2472"/>
      <c r="AH580" s="2472"/>
      <c r="AI580" s="2472"/>
      <c r="AJ580" s="2472"/>
      <c r="AK580" s="640"/>
      <c r="AL580" s="571"/>
      <c r="AM580" s="601"/>
      <c r="AN580" s="595"/>
    </row>
    <row r="581" spans="1:42" s="549" customFormat="1" ht="12.75" customHeight="1">
      <c r="A581" s="601"/>
      <c r="B581" s="2472"/>
      <c r="C581" s="2472"/>
      <c r="D581" s="2472"/>
      <c r="E581" s="2472"/>
      <c r="F581" s="2472"/>
      <c r="G581" s="2472"/>
      <c r="H581" s="2472"/>
      <c r="I581" s="2472"/>
      <c r="J581" s="2472"/>
      <c r="K581" s="2472"/>
      <c r="L581" s="2472"/>
      <c r="M581" s="2472"/>
      <c r="N581" s="2472"/>
      <c r="O581" s="2472"/>
      <c r="P581" s="2472"/>
      <c r="Q581" s="2472"/>
      <c r="R581" s="2472"/>
      <c r="S581" s="2472"/>
      <c r="T581" s="2472"/>
      <c r="U581" s="2472"/>
      <c r="V581" s="2472"/>
      <c r="W581" s="2472"/>
      <c r="X581" s="2472"/>
      <c r="Y581" s="2472"/>
      <c r="Z581" s="2472"/>
      <c r="AA581" s="2472"/>
      <c r="AB581" s="2472"/>
      <c r="AC581" s="2472"/>
      <c r="AD581" s="2472"/>
      <c r="AE581" s="2472"/>
      <c r="AF581" s="2472"/>
      <c r="AG581" s="2472"/>
      <c r="AH581" s="2472"/>
      <c r="AI581" s="2472"/>
      <c r="AJ581" s="2472"/>
      <c r="AK581" s="640"/>
      <c r="AL581" s="571"/>
      <c r="AM581" s="601"/>
      <c r="AN581" s="595"/>
    </row>
    <row r="582" spans="1:42" s="549" customFormat="1" ht="12.75" customHeight="1">
      <c r="A582" s="601"/>
      <c r="B582" s="2472"/>
      <c r="C582" s="2472"/>
      <c r="D582" s="2472"/>
      <c r="E582" s="2472"/>
      <c r="F582" s="2472"/>
      <c r="G582" s="2472"/>
      <c r="H582" s="2472"/>
      <c r="I582" s="2472"/>
      <c r="J582" s="2472"/>
      <c r="K582" s="2472"/>
      <c r="L582" s="2472"/>
      <c r="M582" s="2472"/>
      <c r="N582" s="2472"/>
      <c r="O582" s="2472"/>
      <c r="P582" s="2472"/>
      <c r="Q582" s="2472"/>
      <c r="R582" s="2472"/>
      <c r="S582" s="2472"/>
      <c r="T582" s="2472"/>
      <c r="U582" s="2472"/>
      <c r="V582" s="2472"/>
      <c r="W582" s="2472"/>
      <c r="X582" s="2472"/>
      <c r="Y582" s="2472"/>
      <c r="Z582" s="2472"/>
      <c r="AA582" s="2472"/>
      <c r="AB582" s="2472"/>
      <c r="AC582" s="2472"/>
      <c r="AD582" s="2472"/>
      <c r="AE582" s="2472"/>
      <c r="AF582" s="2472"/>
      <c r="AG582" s="2472"/>
      <c r="AH582" s="2472"/>
      <c r="AI582" s="2472"/>
      <c r="AJ582" s="2472"/>
      <c r="AK582" s="640"/>
      <c r="AL582" s="571"/>
      <c r="AM582" s="601"/>
      <c r="AN582" s="595"/>
    </row>
    <row r="583" spans="1:42" s="549" customFormat="1" ht="12.75" customHeight="1">
      <c r="A583" s="601"/>
      <c r="B583" s="2472"/>
      <c r="C583" s="2472"/>
      <c r="D583" s="2472"/>
      <c r="E583" s="2472"/>
      <c r="F583" s="2472"/>
      <c r="G583" s="2472"/>
      <c r="H583" s="2472"/>
      <c r="I583" s="2472"/>
      <c r="J583" s="2472"/>
      <c r="K583" s="2472"/>
      <c r="L583" s="2472"/>
      <c r="M583" s="2472"/>
      <c r="N583" s="2472"/>
      <c r="O583" s="2472"/>
      <c r="P583" s="2472"/>
      <c r="Q583" s="2472"/>
      <c r="R583" s="2472"/>
      <c r="S583" s="2472"/>
      <c r="T583" s="2472"/>
      <c r="U583" s="2472"/>
      <c r="V583" s="2472"/>
      <c r="W583" s="2472"/>
      <c r="X583" s="2472"/>
      <c r="Y583" s="2472"/>
      <c r="Z583" s="2472"/>
      <c r="AA583" s="2472"/>
      <c r="AB583" s="2472"/>
      <c r="AC583" s="2472"/>
      <c r="AD583" s="2472"/>
      <c r="AE583" s="2472"/>
      <c r="AF583" s="2472"/>
      <c r="AG583" s="2472"/>
      <c r="AH583" s="2472"/>
      <c r="AI583" s="2472"/>
      <c r="AJ583" s="2472"/>
      <c r="AK583" s="640"/>
      <c r="AL583" s="571"/>
      <c r="AM583" s="601"/>
      <c r="AN583" s="595"/>
    </row>
    <row r="584" spans="1:42" ht="12.75" customHeight="1">
      <c r="A584" s="601"/>
      <c r="B584" s="2472"/>
      <c r="C584" s="2472"/>
      <c r="D584" s="2472"/>
      <c r="E584" s="2472"/>
      <c r="F584" s="2472"/>
      <c r="G584" s="2472"/>
      <c r="H584" s="2472"/>
      <c r="I584" s="2472"/>
      <c r="J584" s="2472"/>
      <c r="K584" s="2472"/>
      <c r="L584" s="2472"/>
      <c r="M584" s="2472"/>
      <c r="N584" s="2472"/>
      <c r="O584" s="2472"/>
      <c r="P584" s="2472"/>
      <c r="Q584" s="2472"/>
      <c r="R584" s="2472"/>
      <c r="S584" s="2472"/>
      <c r="T584" s="2472"/>
      <c r="U584" s="2472"/>
      <c r="V584" s="2472"/>
      <c r="W584" s="2472"/>
      <c r="X584" s="2472"/>
      <c r="Y584" s="2472"/>
      <c r="Z584" s="2472"/>
      <c r="AA584" s="2472"/>
      <c r="AB584" s="2472"/>
      <c r="AC584" s="2472"/>
      <c r="AD584" s="2472"/>
      <c r="AE584" s="2472"/>
      <c r="AF584" s="2472"/>
      <c r="AG584" s="2472"/>
      <c r="AH584" s="2472"/>
      <c r="AI584" s="2472"/>
      <c r="AJ584" s="2472"/>
      <c r="AK584" s="640"/>
      <c r="AL584" s="571"/>
      <c r="AM584" s="601"/>
    </row>
    <row r="585" spans="1:42" s="549" customFormat="1" ht="12.75" customHeight="1">
      <c r="B585" s="2472"/>
      <c r="C585" s="2472"/>
      <c r="D585" s="2472"/>
      <c r="E585" s="2472"/>
      <c r="F585" s="2472"/>
      <c r="G585" s="2472"/>
      <c r="H585" s="2472"/>
      <c r="I585" s="2472"/>
      <c r="J585" s="2472"/>
      <c r="K585" s="2472"/>
      <c r="L585" s="2472"/>
      <c r="M585" s="2472"/>
      <c r="N585" s="2472"/>
      <c r="O585" s="2472"/>
      <c r="P585" s="2472"/>
      <c r="Q585" s="2472"/>
      <c r="R585" s="2472"/>
      <c r="S585" s="2472"/>
      <c r="T585" s="2472"/>
      <c r="U585" s="2472"/>
      <c r="V585" s="2472"/>
      <c r="W585" s="2472"/>
      <c r="X585" s="2472"/>
      <c r="Y585" s="2472"/>
      <c r="Z585" s="2472"/>
      <c r="AA585" s="2472"/>
      <c r="AB585" s="2472"/>
      <c r="AC585" s="2472"/>
      <c r="AD585" s="2472"/>
      <c r="AE585" s="2472"/>
      <c r="AF585" s="2472"/>
      <c r="AG585" s="2472"/>
      <c r="AH585" s="2472"/>
      <c r="AI585" s="2472"/>
      <c r="AJ585" s="247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5" t="s">
        <v>1332</v>
      </c>
      <c r="AG591" s="2455"/>
      <c r="AH591" s="2455"/>
      <c r="AI591" s="2455"/>
      <c r="AJ591" s="2455"/>
      <c r="AK591" s="2455"/>
      <c r="AL591" s="2455"/>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5" t="s">
        <v>1388</v>
      </c>
      <c r="AG598" s="2455"/>
      <c r="AH598" s="2455"/>
      <c r="AI598" s="2455"/>
      <c r="AJ598" s="2455"/>
      <c r="AK598" s="2455"/>
      <c r="AL598" s="2455"/>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5" t="s">
        <v>1371</v>
      </c>
      <c r="AG604" s="2455"/>
      <c r="AH604" s="2455"/>
      <c r="AI604" s="2455"/>
      <c r="AJ604" s="2455"/>
      <c r="AK604" s="2455"/>
      <c r="AL604" s="2455"/>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5" t="s">
        <v>1391</v>
      </c>
      <c r="AG610" s="2455"/>
      <c r="AH610" s="2455"/>
      <c r="AI610" s="2455"/>
      <c r="AJ610" s="2455"/>
      <c r="AK610" s="2455"/>
      <c r="AL610" s="2455"/>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7" t="s">
        <v>1184</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5" t="s">
        <v>1346</v>
      </c>
      <c r="AG616" s="2455"/>
      <c r="AH616" s="2455"/>
      <c r="AI616" s="2455"/>
      <c r="AJ616" s="2455"/>
      <c r="AK616" s="2455"/>
      <c r="AL616" s="2455"/>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5" t="s">
        <v>687</v>
      </c>
      <c r="I619" s="2535"/>
      <c r="J619" s="932"/>
      <c r="K619" s="932"/>
      <c r="L619" s="932"/>
      <c r="N619" s="22"/>
      <c r="O619" s="22"/>
      <c r="P619" s="22"/>
      <c r="Q619" s="1145" t="s">
        <v>2132</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7" t="s">
        <v>591</v>
      </c>
      <c r="C629" s="2467"/>
      <c r="D629" s="640"/>
      <c r="E629" s="2472" t="s">
        <v>1395</v>
      </c>
      <c r="F629" s="2472"/>
      <c r="G629" s="2472"/>
      <c r="H629" s="2472"/>
      <c r="I629" s="2472"/>
      <c r="J629" s="2472"/>
      <c r="K629" s="2472"/>
      <c r="L629" s="2472"/>
      <c r="M629" s="2472"/>
      <c r="N629" s="2472"/>
      <c r="O629" s="2472"/>
      <c r="P629" s="2472"/>
      <c r="Q629" s="2472"/>
      <c r="R629" s="2472"/>
      <c r="S629" s="2472"/>
      <c r="T629" s="2472"/>
      <c r="U629" s="2472"/>
      <c r="V629" s="2472"/>
      <c r="W629" s="2472"/>
      <c r="X629" s="2472"/>
      <c r="Y629" s="2472"/>
      <c r="Z629" s="2472"/>
      <c r="AA629" s="2472"/>
      <c r="AB629" s="2472"/>
      <c r="AC629" s="2472"/>
      <c r="AD629" s="2472"/>
      <c r="AE629" s="2472"/>
      <c r="AF629" s="2472"/>
      <c r="AG629" s="2472"/>
      <c r="AH629" s="640"/>
      <c r="AI629" s="640"/>
      <c r="AJ629" s="640"/>
      <c r="AK629" s="640"/>
      <c r="AL629" s="640"/>
      <c r="AN629" s="595"/>
    </row>
    <row r="630" spans="1:42" s="549" customFormat="1" ht="12.75" customHeight="1">
      <c r="B630" s="536"/>
      <c r="C630" s="929"/>
      <c r="D630" s="640"/>
      <c r="E630" s="2472"/>
      <c r="F630" s="2472"/>
      <c r="G630" s="2472"/>
      <c r="H630" s="2472"/>
      <c r="I630" s="2472"/>
      <c r="J630" s="2472"/>
      <c r="K630" s="2472"/>
      <c r="L630" s="2472"/>
      <c r="M630" s="2472"/>
      <c r="N630" s="2472"/>
      <c r="O630" s="2472"/>
      <c r="P630" s="2472"/>
      <c r="Q630" s="2472"/>
      <c r="R630" s="2472"/>
      <c r="S630" s="2472"/>
      <c r="T630" s="2472"/>
      <c r="U630" s="2472"/>
      <c r="V630" s="2472"/>
      <c r="W630" s="2472"/>
      <c r="X630" s="2472"/>
      <c r="Y630" s="2472"/>
      <c r="Z630" s="2472"/>
      <c r="AA630" s="2472"/>
      <c r="AB630" s="2472"/>
      <c r="AC630" s="2472"/>
      <c r="AD630" s="2472"/>
      <c r="AE630" s="2472"/>
      <c r="AF630" s="2472"/>
      <c r="AG630" s="2472"/>
      <c r="AH630" s="640"/>
      <c r="AI630" s="640"/>
      <c r="AJ630" s="640"/>
      <c r="AK630" s="640"/>
      <c r="AL630" s="640"/>
      <c r="AN630" s="595"/>
    </row>
    <row r="631" spans="1:42" s="549" customFormat="1" ht="12.75" customHeight="1">
      <c r="B631" s="536"/>
      <c r="C631" s="929"/>
      <c r="D631" s="640"/>
      <c r="E631" s="2472"/>
      <c r="F631" s="2472"/>
      <c r="G631" s="2472"/>
      <c r="H631" s="2472"/>
      <c r="I631" s="2472"/>
      <c r="J631" s="2472"/>
      <c r="K631" s="2472"/>
      <c r="L631" s="2472"/>
      <c r="M631" s="2472"/>
      <c r="N631" s="2472"/>
      <c r="O631" s="2472"/>
      <c r="P631" s="2472"/>
      <c r="Q631" s="2472"/>
      <c r="R631" s="2472"/>
      <c r="S631" s="2472"/>
      <c r="T631" s="2472"/>
      <c r="U631" s="2472"/>
      <c r="V631" s="2472"/>
      <c r="W631" s="2472"/>
      <c r="X631" s="2472"/>
      <c r="Y631" s="2472"/>
      <c r="Z631" s="2472"/>
      <c r="AA631" s="2472"/>
      <c r="AB631" s="2472"/>
      <c r="AC631" s="2472"/>
      <c r="AD631" s="2472"/>
      <c r="AE631" s="2472"/>
      <c r="AF631" s="2472"/>
      <c r="AG631" s="2472"/>
      <c r="AH631" s="640"/>
      <c r="AI631" s="640"/>
      <c r="AJ631" s="640"/>
      <c r="AK631" s="640"/>
      <c r="AL631" s="640"/>
      <c r="AN631" s="595"/>
    </row>
    <row r="632" spans="1:42" s="549" customFormat="1" ht="12.75" customHeight="1">
      <c r="B632" s="536"/>
      <c r="C632" s="929"/>
      <c r="D632" s="640"/>
      <c r="E632" s="2472"/>
      <c r="F632" s="2472"/>
      <c r="G632" s="2472"/>
      <c r="H632" s="2472"/>
      <c r="I632" s="2472"/>
      <c r="J632" s="2472"/>
      <c r="K632" s="2472"/>
      <c r="L632" s="2472"/>
      <c r="M632" s="2472"/>
      <c r="N632" s="2472"/>
      <c r="O632" s="2472"/>
      <c r="P632" s="2472"/>
      <c r="Q632" s="2472"/>
      <c r="R632" s="2472"/>
      <c r="S632" s="2472"/>
      <c r="T632" s="2472"/>
      <c r="U632" s="2472"/>
      <c r="V632" s="2472"/>
      <c r="W632" s="2472"/>
      <c r="X632" s="2472"/>
      <c r="Y632" s="2472"/>
      <c r="Z632" s="2472"/>
      <c r="AA632" s="2472"/>
      <c r="AB632" s="2472"/>
      <c r="AC632" s="2472"/>
      <c r="AD632" s="2472"/>
      <c r="AE632" s="2472"/>
      <c r="AF632" s="2472"/>
      <c r="AG632" s="247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80">
        <f>VLOOKUP($H$619,$AO$599:$AP$604,2,FALSE)+IF(R619=AO607,0,VLOOKUP($I$627,$AO$626:$AP$628,2,FALSE))</f>
        <v>7</v>
      </c>
      <c r="AK634" s="248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4" t="s">
        <v>1683</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455" t="s">
        <v>1346</v>
      </c>
      <c r="AG638" s="2455"/>
      <c r="AH638" s="2455"/>
      <c r="AI638" s="2455"/>
      <c r="AJ638" s="2455"/>
      <c r="AK638" s="2455"/>
      <c r="AL638" s="2455"/>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7" t="s">
        <v>591</v>
      </c>
      <c r="Y647" s="2467"/>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5" t="s">
        <v>1400</v>
      </c>
      <c r="AG649" s="2455"/>
      <c r="AH649" s="2455"/>
      <c r="AI649" s="2455"/>
      <c r="AJ649" s="2455"/>
      <c r="AK649" s="2455"/>
      <c r="AL649" s="2455"/>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5" t="s">
        <v>687</v>
      </c>
      <c r="I651" s="2535"/>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80">
        <f>VLOOKUP($H$651,$AO$618:$AP$620,2,FALSE)</f>
        <v>3</v>
      </c>
      <c r="AK653" s="248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72" t="s">
        <v>2054</v>
      </c>
      <c r="F657" s="2472"/>
      <c r="G657" s="2472"/>
      <c r="H657" s="2472"/>
      <c r="I657" s="2472"/>
      <c r="J657" s="2472"/>
      <c r="K657" s="2472"/>
      <c r="L657" s="2472"/>
      <c r="M657" s="2472"/>
      <c r="N657" s="2472"/>
      <c r="O657" s="2472"/>
      <c r="P657" s="2472"/>
      <c r="Q657" s="2472"/>
      <c r="R657" s="2472"/>
      <c r="S657" s="2472"/>
      <c r="T657" s="2472"/>
      <c r="U657" s="2472"/>
      <c r="V657" s="2472"/>
      <c r="W657" s="2472"/>
      <c r="X657" s="2472"/>
      <c r="Y657" s="2472"/>
      <c r="Z657" s="2472"/>
      <c r="AA657" s="2472"/>
      <c r="AB657" s="2472"/>
      <c r="AC657" s="2472"/>
      <c r="AD657" s="2472"/>
      <c r="AE657" s="536"/>
      <c r="AF657" s="2455" t="s">
        <v>1346</v>
      </c>
      <c r="AG657" s="2455"/>
      <c r="AH657" s="2455"/>
      <c r="AI657" s="2455"/>
      <c r="AJ657" s="2455"/>
      <c r="AK657" s="2455"/>
      <c r="AL657" s="2455"/>
      <c r="AN657" s="595"/>
    </row>
    <row r="658" spans="1:42" s="549" customFormat="1" ht="12.75" customHeight="1">
      <c r="B658" s="536"/>
      <c r="C658" s="536"/>
      <c r="D658" s="659"/>
      <c r="E658" s="2472"/>
      <c r="F658" s="2472"/>
      <c r="G658" s="2472"/>
      <c r="H658" s="2472"/>
      <c r="I658" s="2472"/>
      <c r="J658" s="2472"/>
      <c r="K658" s="2472"/>
      <c r="L658" s="2472"/>
      <c r="M658" s="2472"/>
      <c r="N658" s="2472"/>
      <c r="O658" s="2472"/>
      <c r="P658" s="2472"/>
      <c r="Q658" s="2472"/>
      <c r="R658" s="2472"/>
      <c r="S658" s="2472"/>
      <c r="T658" s="2472"/>
      <c r="U658" s="2472"/>
      <c r="V658" s="2472"/>
      <c r="W658" s="2472"/>
      <c r="X658" s="2472"/>
      <c r="Y658" s="2472"/>
      <c r="Z658" s="2472"/>
      <c r="AA658" s="2472"/>
      <c r="AB658" s="2472"/>
      <c r="AC658" s="2472"/>
      <c r="AD658" s="247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5" t="s">
        <v>1400</v>
      </c>
      <c r="AG660" s="2455"/>
      <c r="AH660" s="2455"/>
      <c r="AI660" s="2455"/>
      <c r="AJ660" s="2455"/>
      <c r="AK660" s="2455"/>
      <c r="AL660" s="2455"/>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5" t="s">
        <v>509</v>
      </c>
      <c r="I663" s="2535"/>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80">
        <f>VLOOKUP(H663,AT618:AU620,2,FALSE)</f>
        <v>2</v>
      </c>
      <c r="AK665" s="248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72" t="s">
        <v>1410</v>
      </c>
      <c r="F670" s="2472"/>
      <c r="G670" s="2472"/>
      <c r="H670" s="2472"/>
      <c r="I670" s="2472"/>
      <c r="J670" s="2472"/>
      <c r="K670" s="2472"/>
      <c r="L670" s="2472"/>
      <c r="M670" s="2472"/>
      <c r="N670" s="2472"/>
      <c r="O670" s="2472"/>
      <c r="P670" s="2472"/>
      <c r="Q670" s="2472"/>
      <c r="R670" s="2472"/>
      <c r="S670" s="2472"/>
      <c r="T670" s="2472"/>
      <c r="U670" s="2472"/>
      <c r="V670" s="2472"/>
      <c r="W670" s="2472"/>
      <c r="X670" s="2472"/>
      <c r="Y670" s="2472"/>
      <c r="Z670" s="2472"/>
      <c r="AA670" s="2472"/>
      <c r="AB670" s="2472"/>
      <c r="AC670" s="2472"/>
      <c r="AD670" s="536"/>
      <c r="AE670" s="536"/>
      <c r="AF670" s="2455" t="s">
        <v>1371</v>
      </c>
      <c r="AG670" s="2455"/>
      <c r="AH670" s="2455"/>
      <c r="AI670" s="2455"/>
      <c r="AJ670" s="2455"/>
      <c r="AK670" s="2455"/>
      <c r="AL670" s="2455"/>
      <c r="AN670" s="595"/>
    </row>
    <row r="671" spans="1:42" s="549" customFormat="1" ht="12.75" customHeight="1">
      <c r="B671" s="536"/>
      <c r="C671" s="539"/>
      <c r="D671" s="536"/>
      <c r="E671" s="2472"/>
      <c r="F671" s="2472"/>
      <c r="G671" s="2472"/>
      <c r="H671" s="2472"/>
      <c r="I671" s="2472"/>
      <c r="J671" s="2472"/>
      <c r="K671" s="2472"/>
      <c r="L671" s="2472"/>
      <c r="M671" s="2472"/>
      <c r="N671" s="2472"/>
      <c r="O671" s="2472"/>
      <c r="P671" s="2472"/>
      <c r="Q671" s="2472"/>
      <c r="R671" s="2472"/>
      <c r="S671" s="2472"/>
      <c r="T671" s="2472"/>
      <c r="U671" s="2472"/>
      <c r="V671" s="2472"/>
      <c r="W671" s="2472"/>
      <c r="X671" s="2472"/>
      <c r="Y671" s="2472"/>
      <c r="Z671" s="2472"/>
      <c r="AA671" s="2472"/>
      <c r="AB671" s="2472"/>
      <c r="AC671" s="2472"/>
      <c r="AD671" s="536"/>
      <c r="AE671" s="536"/>
      <c r="AF671" s="536"/>
      <c r="AG671" s="536"/>
      <c r="AH671" s="536"/>
      <c r="AI671" s="536"/>
      <c r="AJ671" s="536"/>
      <c r="AK671" s="536"/>
      <c r="AL671" s="536"/>
      <c r="AN671" s="595"/>
    </row>
    <row r="672" spans="1:42" s="549" customFormat="1" ht="12.75" customHeight="1">
      <c r="B672" s="536"/>
      <c r="C672" s="539"/>
      <c r="D672" s="659"/>
      <c r="E672" s="2472"/>
      <c r="F672" s="2472"/>
      <c r="G672" s="2472"/>
      <c r="H672" s="2472"/>
      <c r="I672" s="2472"/>
      <c r="J672" s="2472"/>
      <c r="K672" s="2472"/>
      <c r="L672" s="2472"/>
      <c r="M672" s="2472"/>
      <c r="N672" s="2472"/>
      <c r="O672" s="2472"/>
      <c r="P672" s="2472"/>
      <c r="Q672" s="2472"/>
      <c r="R672" s="2472"/>
      <c r="S672" s="2472"/>
      <c r="T672" s="2472"/>
      <c r="U672" s="2472"/>
      <c r="V672" s="2472"/>
      <c r="W672" s="2472"/>
      <c r="X672" s="2472"/>
      <c r="Y672" s="2472"/>
      <c r="Z672" s="2472"/>
      <c r="AA672" s="2472"/>
      <c r="AB672" s="2472"/>
      <c r="AC672" s="247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72" t="s">
        <v>1411</v>
      </c>
      <c r="F674" s="2472"/>
      <c r="G674" s="2472"/>
      <c r="H674" s="2472"/>
      <c r="I674" s="2472"/>
      <c r="J674" s="2472"/>
      <c r="K674" s="2472"/>
      <c r="L674" s="2472"/>
      <c r="M674" s="2472"/>
      <c r="N674" s="2472"/>
      <c r="O674" s="2472"/>
      <c r="P674" s="2472"/>
      <c r="Q674" s="2472"/>
      <c r="R674" s="2472"/>
      <c r="S674" s="2472"/>
      <c r="T674" s="2472"/>
      <c r="U674" s="2472"/>
      <c r="V674" s="2472"/>
      <c r="W674" s="2472"/>
      <c r="X674" s="2472"/>
      <c r="Y674" s="2472"/>
      <c r="Z674" s="2472"/>
      <c r="AA674" s="2472"/>
      <c r="AB674" s="2472"/>
      <c r="AC674" s="2472"/>
      <c r="AD674" s="536"/>
      <c r="AE674" s="536"/>
      <c r="AF674" s="2455" t="s">
        <v>1391</v>
      </c>
      <c r="AG674" s="2455"/>
      <c r="AH674" s="2455"/>
      <c r="AI674" s="2455"/>
      <c r="AJ674" s="2455"/>
      <c r="AK674" s="2455"/>
      <c r="AL674" s="2455"/>
      <c r="AN674" s="595"/>
    </row>
    <row r="675" spans="1:42" s="549" customFormat="1" ht="12.75" customHeight="1">
      <c r="B675" s="536"/>
      <c r="C675" s="539"/>
      <c r="D675" s="536"/>
      <c r="E675" s="2472"/>
      <c r="F675" s="2472"/>
      <c r="G675" s="2472"/>
      <c r="H675" s="2472"/>
      <c r="I675" s="2472"/>
      <c r="J675" s="2472"/>
      <c r="K675" s="2472"/>
      <c r="L675" s="2472"/>
      <c r="M675" s="2472"/>
      <c r="N675" s="2472"/>
      <c r="O675" s="2472"/>
      <c r="P675" s="2472"/>
      <c r="Q675" s="2472"/>
      <c r="R675" s="2472"/>
      <c r="S675" s="2472"/>
      <c r="T675" s="2472"/>
      <c r="U675" s="2472"/>
      <c r="V675" s="2472"/>
      <c r="W675" s="2472"/>
      <c r="X675" s="2472"/>
      <c r="Y675" s="2472"/>
      <c r="Z675" s="2472"/>
      <c r="AA675" s="2472"/>
      <c r="AB675" s="2472"/>
      <c r="AC675" s="2472"/>
      <c r="AD675" s="536"/>
      <c r="AE675" s="536"/>
      <c r="AF675" s="536"/>
      <c r="AG675" s="536"/>
      <c r="AH675" s="536"/>
      <c r="AI675" s="536"/>
      <c r="AJ675" s="536"/>
      <c r="AK675" s="536"/>
      <c r="AL675" s="536"/>
      <c r="AN675" s="595"/>
    </row>
    <row r="676" spans="1:42" s="549" customFormat="1" ht="15" customHeight="1">
      <c r="B676" s="536"/>
      <c r="C676" s="539"/>
      <c r="D676" s="659"/>
      <c r="E676" s="2472"/>
      <c r="F676" s="2472"/>
      <c r="G676" s="2472"/>
      <c r="H676" s="2472"/>
      <c r="I676" s="2472"/>
      <c r="J676" s="2472"/>
      <c r="K676" s="2472"/>
      <c r="L676" s="2472"/>
      <c r="M676" s="2472"/>
      <c r="N676" s="2472"/>
      <c r="O676" s="2472"/>
      <c r="P676" s="2472"/>
      <c r="Q676" s="2472"/>
      <c r="R676" s="2472"/>
      <c r="S676" s="2472"/>
      <c r="T676" s="2472"/>
      <c r="U676" s="2472"/>
      <c r="V676" s="2472"/>
      <c r="W676" s="2472"/>
      <c r="X676" s="2472"/>
      <c r="Y676" s="2472"/>
      <c r="Z676" s="2472"/>
      <c r="AA676" s="2472"/>
      <c r="AB676" s="2472"/>
      <c r="AC676" s="247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72" t="s">
        <v>1412</v>
      </c>
      <c r="F678" s="2472"/>
      <c r="G678" s="2472"/>
      <c r="H678" s="2472"/>
      <c r="I678" s="2472"/>
      <c r="J678" s="2472"/>
      <c r="K678" s="2472"/>
      <c r="L678" s="2472"/>
      <c r="M678" s="2472"/>
      <c r="N678" s="2472"/>
      <c r="O678" s="2472"/>
      <c r="P678" s="2472"/>
      <c r="Q678" s="2472"/>
      <c r="R678" s="2472"/>
      <c r="S678" s="2472"/>
      <c r="T678" s="2472"/>
      <c r="U678" s="2472"/>
      <c r="V678" s="2472"/>
      <c r="W678" s="2472"/>
      <c r="X678" s="2472"/>
      <c r="Y678" s="2472"/>
      <c r="Z678" s="2472"/>
      <c r="AA678" s="2472"/>
      <c r="AB678" s="2472"/>
      <c r="AC678" s="2472"/>
      <c r="AD678" s="536"/>
      <c r="AE678" s="536"/>
      <c r="AF678" s="2455" t="s">
        <v>1346</v>
      </c>
      <c r="AG678" s="2455"/>
      <c r="AH678" s="2455"/>
      <c r="AI678" s="2455"/>
      <c r="AJ678" s="2455"/>
      <c r="AK678" s="2455"/>
      <c r="AL678" s="2455"/>
      <c r="AN678" s="595"/>
    </row>
    <row r="679" spans="1:42" s="549" customFormat="1" ht="12.75" customHeight="1">
      <c r="B679" s="536"/>
      <c r="C679" s="927"/>
      <c r="D679" s="536"/>
      <c r="E679" s="2472"/>
      <c r="F679" s="2472"/>
      <c r="G679" s="2472"/>
      <c r="H679" s="2472"/>
      <c r="I679" s="2472"/>
      <c r="J679" s="2472"/>
      <c r="K679" s="2472"/>
      <c r="L679" s="2472"/>
      <c r="M679" s="2472"/>
      <c r="N679" s="2472"/>
      <c r="O679" s="2472"/>
      <c r="P679" s="2472"/>
      <c r="Q679" s="2472"/>
      <c r="R679" s="2472"/>
      <c r="S679" s="2472"/>
      <c r="T679" s="2472"/>
      <c r="U679" s="2472"/>
      <c r="V679" s="2472"/>
      <c r="W679" s="2472"/>
      <c r="X679" s="2472"/>
      <c r="Y679" s="2472"/>
      <c r="Z679" s="2472"/>
      <c r="AA679" s="2472"/>
      <c r="AB679" s="2472"/>
      <c r="AC679" s="2472"/>
      <c r="AD679" s="536"/>
      <c r="AE679" s="2455"/>
      <c r="AF679" s="2455"/>
      <c r="AG679" s="2455"/>
      <c r="AH679" s="2455"/>
      <c r="AI679" s="2455"/>
      <c r="AJ679" s="2455"/>
      <c r="AK679" s="2455"/>
      <c r="AL679" s="592"/>
      <c r="AN679" s="595"/>
      <c r="AO679" s="549" t="s">
        <v>591</v>
      </c>
      <c r="AP679" s="669">
        <v>0</v>
      </c>
    </row>
    <row r="680" spans="1:42" s="549" customFormat="1" ht="12.75" customHeight="1">
      <c r="A680" s="675"/>
      <c r="B680" s="536"/>
      <c r="C680" s="536"/>
      <c r="D680" s="659"/>
      <c r="E680" s="2472"/>
      <c r="F680" s="2472"/>
      <c r="G680" s="2472"/>
      <c r="H680" s="2472"/>
      <c r="I680" s="2472"/>
      <c r="J680" s="2472"/>
      <c r="K680" s="2472"/>
      <c r="L680" s="2472"/>
      <c r="M680" s="2472"/>
      <c r="N680" s="2472"/>
      <c r="O680" s="2472"/>
      <c r="P680" s="2472"/>
      <c r="Q680" s="2472"/>
      <c r="R680" s="2472"/>
      <c r="S680" s="2472"/>
      <c r="T680" s="2472"/>
      <c r="U680" s="2472"/>
      <c r="V680" s="2472"/>
      <c r="W680" s="2472"/>
      <c r="X680" s="2472"/>
      <c r="Y680" s="2472"/>
      <c r="Z680" s="2472"/>
      <c r="AA680" s="2472"/>
      <c r="AB680" s="2472"/>
      <c r="AC680" s="2472"/>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72" t="s">
        <v>1413</v>
      </c>
      <c r="F682" s="2472"/>
      <c r="G682" s="2472"/>
      <c r="H682" s="2472"/>
      <c r="I682" s="2472"/>
      <c r="J682" s="2472"/>
      <c r="K682" s="2472"/>
      <c r="L682" s="2472"/>
      <c r="M682" s="2472"/>
      <c r="N682" s="2472"/>
      <c r="O682" s="2472"/>
      <c r="P682" s="2472"/>
      <c r="Q682" s="2472"/>
      <c r="R682" s="2472"/>
      <c r="S682" s="2472"/>
      <c r="T682" s="2472"/>
      <c r="U682" s="2472"/>
      <c r="V682" s="2472"/>
      <c r="W682" s="2472"/>
      <c r="X682" s="2472"/>
      <c r="Y682" s="2472"/>
      <c r="Z682" s="2472"/>
      <c r="AA682" s="2472"/>
      <c r="AB682" s="2472"/>
      <c r="AC682" s="2472"/>
      <c r="AD682" s="536"/>
      <c r="AE682" s="536"/>
      <c r="AF682" s="2455" t="s">
        <v>1391</v>
      </c>
      <c r="AG682" s="2455"/>
      <c r="AH682" s="2455"/>
      <c r="AI682" s="2455"/>
      <c r="AJ682" s="2455"/>
      <c r="AK682" s="2455"/>
      <c r="AL682" s="2455"/>
      <c r="AN682" s="595"/>
    </row>
    <row r="683" spans="1:42" s="549" customFormat="1" ht="12.75" customHeight="1">
      <c r="A683" s="666"/>
      <c r="B683" s="536"/>
      <c r="C683" s="943"/>
      <c r="D683" s="659"/>
      <c r="E683" s="2472"/>
      <c r="F683" s="2472"/>
      <c r="G683" s="2472"/>
      <c r="H683" s="2472"/>
      <c r="I683" s="2472"/>
      <c r="J683" s="2472"/>
      <c r="K683" s="2472"/>
      <c r="L683" s="2472"/>
      <c r="M683" s="2472"/>
      <c r="N683" s="2472"/>
      <c r="O683" s="2472"/>
      <c r="P683" s="2472"/>
      <c r="Q683" s="2472"/>
      <c r="R683" s="2472"/>
      <c r="S683" s="2472"/>
      <c r="T683" s="2472"/>
      <c r="U683" s="2472"/>
      <c r="V683" s="2472"/>
      <c r="W683" s="2472"/>
      <c r="X683" s="2472"/>
      <c r="Y683" s="2472"/>
      <c r="Z683" s="2472"/>
      <c r="AA683" s="2472"/>
      <c r="AB683" s="2472"/>
      <c r="AC683" s="247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2"/>
      <c r="F684" s="2472"/>
      <c r="G684" s="2472"/>
      <c r="H684" s="2472"/>
      <c r="I684" s="2472"/>
      <c r="J684" s="2472"/>
      <c r="K684" s="2472"/>
      <c r="L684" s="2472"/>
      <c r="M684" s="2472"/>
      <c r="N684" s="2472"/>
      <c r="O684" s="2472"/>
      <c r="P684" s="2472"/>
      <c r="Q684" s="2472"/>
      <c r="R684" s="2472"/>
      <c r="S684" s="2472"/>
      <c r="T684" s="2472"/>
      <c r="U684" s="2472"/>
      <c r="V684" s="2472"/>
      <c r="W684" s="2472"/>
      <c r="X684" s="2472"/>
      <c r="Y684" s="2472"/>
      <c r="Z684" s="2472"/>
      <c r="AA684" s="2472"/>
      <c r="AB684" s="2472"/>
      <c r="AC684" s="247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72" t="s">
        <v>1414</v>
      </c>
      <c r="F686" s="2472"/>
      <c r="G686" s="2472"/>
      <c r="H686" s="2472"/>
      <c r="I686" s="2472"/>
      <c r="J686" s="2472"/>
      <c r="K686" s="2472"/>
      <c r="L686" s="2472"/>
      <c r="M686" s="2472"/>
      <c r="N686" s="2472"/>
      <c r="O686" s="2472"/>
      <c r="P686" s="2472"/>
      <c r="Q686" s="2472"/>
      <c r="R686" s="2472"/>
      <c r="S686" s="2472"/>
      <c r="T686" s="2472"/>
      <c r="U686" s="2472"/>
      <c r="V686" s="2472"/>
      <c r="W686" s="2472"/>
      <c r="X686" s="2472"/>
      <c r="Y686" s="2472"/>
      <c r="Z686" s="2472"/>
      <c r="AA686" s="2472"/>
      <c r="AB686" s="2472"/>
      <c r="AC686" s="2472"/>
      <c r="AD686" s="536"/>
      <c r="AE686" s="536"/>
      <c r="AF686" s="2455" t="s">
        <v>1346</v>
      </c>
      <c r="AG686" s="2455"/>
      <c r="AH686" s="2455"/>
      <c r="AI686" s="2455"/>
      <c r="AJ686" s="2455"/>
      <c r="AK686" s="2455"/>
      <c r="AL686" s="2455"/>
      <c r="AM686" s="594"/>
      <c r="AN686" s="595"/>
    </row>
    <row r="687" spans="1:42" s="549" customFormat="1" ht="12.75" customHeight="1">
      <c r="B687" s="536"/>
      <c r="C687" s="927"/>
      <c r="D687" s="659"/>
      <c r="E687" s="2472"/>
      <c r="F687" s="2472"/>
      <c r="G687" s="2472"/>
      <c r="H687" s="2472"/>
      <c r="I687" s="2472"/>
      <c r="J687" s="2472"/>
      <c r="K687" s="2472"/>
      <c r="L687" s="2472"/>
      <c r="M687" s="2472"/>
      <c r="N687" s="2472"/>
      <c r="O687" s="2472"/>
      <c r="P687" s="2472"/>
      <c r="Q687" s="2472"/>
      <c r="R687" s="2472"/>
      <c r="S687" s="2472"/>
      <c r="T687" s="2472"/>
      <c r="U687" s="2472"/>
      <c r="V687" s="2472"/>
      <c r="W687" s="2472"/>
      <c r="X687" s="2472"/>
      <c r="Y687" s="2472"/>
      <c r="Z687" s="2472"/>
      <c r="AA687" s="2472"/>
      <c r="AB687" s="2472"/>
      <c r="AC687" s="2472"/>
      <c r="AD687" s="536"/>
      <c r="AE687" s="536"/>
      <c r="AF687" s="536"/>
      <c r="AG687" s="536"/>
      <c r="AH687" s="536"/>
      <c r="AI687" s="536"/>
      <c r="AJ687" s="536"/>
      <c r="AK687" s="536"/>
      <c r="AL687" s="536"/>
      <c r="AM687" s="594"/>
      <c r="AN687" s="595"/>
    </row>
    <row r="688" spans="1:42" s="549" customFormat="1" ht="12.75" customHeight="1">
      <c r="B688" s="536"/>
      <c r="C688" s="927"/>
      <c r="D688" s="659"/>
      <c r="E688" s="2472"/>
      <c r="F688" s="2472"/>
      <c r="G688" s="2472"/>
      <c r="H688" s="2472"/>
      <c r="I688" s="2472"/>
      <c r="J688" s="2472"/>
      <c r="K688" s="2472"/>
      <c r="L688" s="2472"/>
      <c r="M688" s="2472"/>
      <c r="N688" s="2472"/>
      <c r="O688" s="2472"/>
      <c r="P688" s="2472"/>
      <c r="Q688" s="2472"/>
      <c r="R688" s="2472"/>
      <c r="S688" s="2472"/>
      <c r="T688" s="2472"/>
      <c r="U688" s="2472"/>
      <c r="V688" s="2472"/>
      <c r="W688" s="2472"/>
      <c r="X688" s="2472"/>
      <c r="Y688" s="2472"/>
      <c r="Z688" s="2472"/>
      <c r="AA688" s="2472"/>
      <c r="AB688" s="2472"/>
      <c r="AC688" s="247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72" t="s">
        <v>1415</v>
      </c>
      <c r="F690" s="2472"/>
      <c r="G690" s="2472"/>
      <c r="H690" s="2472"/>
      <c r="I690" s="2472"/>
      <c r="J690" s="2472"/>
      <c r="K690" s="2472"/>
      <c r="L690" s="2472"/>
      <c r="M690" s="2472"/>
      <c r="N690" s="2472"/>
      <c r="O690" s="2472"/>
      <c r="P690" s="2472"/>
      <c r="Q690" s="2472"/>
      <c r="R690" s="2472"/>
      <c r="S690" s="2472"/>
      <c r="T690" s="2472"/>
      <c r="U690" s="2472"/>
      <c r="V690" s="2472"/>
      <c r="W690" s="2472"/>
      <c r="X690" s="2472"/>
      <c r="Y690" s="2472"/>
      <c r="Z690" s="2472"/>
      <c r="AA690" s="2472"/>
      <c r="AB690" s="2472"/>
      <c r="AC690" s="2472"/>
      <c r="AD690" s="536"/>
      <c r="AE690" s="536"/>
      <c r="AF690" s="2455" t="s">
        <v>1400</v>
      </c>
      <c r="AG690" s="2455"/>
      <c r="AH690" s="2455"/>
      <c r="AI690" s="2455"/>
      <c r="AJ690" s="2455"/>
      <c r="AK690" s="2455"/>
      <c r="AL690" s="2455"/>
      <c r="AM690" s="594"/>
      <c r="AN690" s="595"/>
    </row>
    <row r="691" spans="1:50" s="549" customFormat="1" ht="12.75" customHeight="1">
      <c r="A691" s="675"/>
      <c r="B691" s="536"/>
      <c r="C691" s="927"/>
      <c r="D691" s="659"/>
      <c r="E691" s="2472"/>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247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247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72" t="s">
        <v>1416</v>
      </c>
      <c r="F694" s="2472"/>
      <c r="G694" s="2472"/>
      <c r="H694" s="2472"/>
      <c r="I694" s="2472"/>
      <c r="J694" s="2472"/>
      <c r="K694" s="2472"/>
      <c r="L694" s="2472"/>
      <c r="M694" s="2472"/>
      <c r="N694" s="2472"/>
      <c r="O694" s="2472"/>
      <c r="P694" s="2472"/>
      <c r="Q694" s="2472"/>
      <c r="R694" s="2472"/>
      <c r="S694" s="2472"/>
      <c r="T694" s="2472"/>
      <c r="U694" s="2472"/>
      <c r="V694" s="2472"/>
      <c r="W694" s="2472"/>
      <c r="X694" s="2472"/>
      <c r="Y694" s="2472"/>
      <c r="Z694" s="2472"/>
      <c r="AA694" s="2472"/>
      <c r="AB694" s="2472"/>
      <c r="AC694" s="2472"/>
      <c r="AD694" s="536"/>
      <c r="AE694" s="536"/>
      <c r="AF694" s="2455" t="s">
        <v>1417</v>
      </c>
      <c r="AG694" s="2455"/>
      <c r="AH694" s="2455"/>
      <c r="AI694" s="2455"/>
      <c r="AJ694" s="2455"/>
      <c r="AK694" s="2455"/>
      <c r="AL694" s="2455"/>
      <c r="AM694" s="594"/>
      <c r="AN694" s="595"/>
      <c r="AO694" s="609" t="s">
        <v>687</v>
      </c>
      <c r="AP694" s="549">
        <v>3</v>
      </c>
    </row>
    <row r="695" spans="1:50" s="549" customFormat="1" ht="12.75" customHeight="1">
      <c r="A695" s="675"/>
      <c r="B695" s="536"/>
      <c r="C695" s="927"/>
      <c r="D695" s="659"/>
      <c r="E695" s="2472"/>
      <c r="F695" s="2472"/>
      <c r="G695" s="2472"/>
      <c r="H695" s="2472"/>
      <c r="I695" s="2472"/>
      <c r="J695" s="2472"/>
      <c r="K695" s="2472"/>
      <c r="L695" s="2472"/>
      <c r="M695" s="2472"/>
      <c r="N695" s="2472"/>
      <c r="O695" s="2472"/>
      <c r="P695" s="2472"/>
      <c r="Q695" s="2472"/>
      <c r="R695" s="2472"/>
      <c r="S695" s="2472"/>
      <c r="T695" s="2472"/>
      <c r="U695" s="2472"/>
      <c r="V695" s="2472"/>
      <c r="W695" s="2472"/>
      <c r="X695" s="2472"/>
      <c r="Y695" s="2472"/>
      <c r="Z695" s="2472"/>
      <c r="AA695" s="2472"/>
      <c r="AB695" s="2472"/>
      <c r="AC695" s="2472"/>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72"/>
      <c r="F696" s="2472"/>
      <c r="G696" s="2472"/>
      <c r="H696" s="2472"/>
      <c r="I696" s="2472"/>
      <c r="J696" s="2472"/>
      <c r="K696" s="2472"/>
      <c r="L696" s="2472"/>
      <c r="M696" s="2472"/>
      <c r="N696" s="2472"/>
      <c r="O696" s="2472"/>
      <c r="P696" s="2472"/>
      <c r="Q696" s="2472"/>
      <c r="R696" s="2472"/>
      <c r="S696" s="2472"/>
      <c r="T696" s="2472"/>
      <c r="U696" s="2472"/>
      <c r="V696" s="2472"/>
      <c r="W696" s="2472"/>
      <c r="X696" s="2472"/>
      <c r="Y696" s="2472"/>
      <c r="Z696" s="2472"/>
      <c r="AA696" s="2472"/>
      <c r="AB696" s="2472"/>
      <c r="AC696" s="247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5" t="s">
        <v>509</v>
      </c>
      <c r="I698" s="2535"/>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80">
        <f>VLOOKUP($H$698,$AO$646:$AP$653,2,FALSE)</f>
        <v>4</v>
      </c>
      <c r="AK700" s="248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344</v>
      </c>
    </row>
    <row r="704" spans="1:50" s="549" customFormat="1" ht="12.75" customHeight="1">
      <c r="A704" s="675"/>
      <c r="B704" s="536"/>
      <c r="C704" s="944"/>
      <c r="D704" s="659" t="s">
        <v>687</v>
      </c>
      <c r="E704" s="2542" t="s">
        <v>2145</v>
      </c>
      <c r="F704" s="2542"/>
      <c r="G704" s="2542"/>
      <c r="H704" s="2542"/>
      <c r="I704" s="2542"/>
      <c r="J704" s="2542"/>
      <c r="K704" s="2542"/>
      <c r="L704" s="2542"/>
      <c r="M704" s="2542"/>
      <c r="N704" s="2542"/>
      <c r="O704" s="2542"/>
      <c r="P704" s="2542"/>
      <c r="Q704" s="2542"/>
      <c r="R704" s="2542"/>
      <c r="S704" s="2542"/>
      <c r="T704" s="2542"/>
      <c r="U704" s="2542"/>
      <c r="V704" s="2542"/>
      <c r="W704" s="2542"/>
      <c r="X704" s="2542"/>
      <c r="Y704" s="2542"/>
      <c r="Z704" s="2542"/>
      <c r="AA704" s="2542"/>
      <c r="AB704" s="2542"/>
      <c r="AC704" s="536"/>
      <c r="AD704" s="536"/>
      <c r="AE704" s="536"/>
      <c r="AF704" s="2455" t="s">
        <v>1346</v>
      </c>
      <c r="AG704" s="2455"/>
      <c r="AH704" s="2455"/>
      <c r="AI704" s="2455"/>
      <c r="AJ704" s="2455"/>
      <c r="AK704" s="2455"/>
      <c r="AL704" s="2455"/>
      <c r="AN704" s="595"/>
      <c r="AW704" s="22" t="s">
        <v>2140</v>
      </c>
      <c r="AX704" s="549">
        <f>Application!DE761</f>
        <v>97</v>
      </c>
    </row>
    <row r="705" spans="1:51" s="549" customFormat="1" ht="12.75" customHeight="1">
      <c r="A705" s="675"/>
      <c r="B705" s="536"/>
      <c r="C705" s="944"/>
      <c r="D705" s="659"/>
      <c r="E705" s="2542"/>
      <c r="F705" s="2542"/>
      <c r="G705" s="2542"/>
      <c r="H705" s="2542"/>
      <c r="I705" s="2542"/>
      <c r="J705" s="2542"/>
      <c r="K705" s="2542"/>
      <c r="L705" s="2542"/>
      <c r="M705" s="2542"/>
      <c r="N705" s="2542"/>
      <c r="O705" s="2542"/>
      <c r="P705" s="2542"/>
      <c r="Q705" s="2542"/>
      <c r="R705" s="2542"/>
      <c r="S705" s="2542"/>
      <c r="T705" s="2542"/>
      <c r="U705" s="2542"/>
      <c r="V705" s="2542"/>
      <c r="W705" s="2542"/>
      <c r="X705" s="2542"/>
      <c r="Y705" s="2542"/>
      <c r="Z705" s="2542"/>
      <c r="AA705" s="2542"/>
      <c r="AB705" s="2542"/>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72" t="s">
        <v>2090</v>
      </c>
      <c r="F707" s="2472"/>
      <c r="G707" s="2472"/>
      <c r="H707" s="2472"/>
      <c r="I707" s="2472"/>
      <c r="J707" s="2472"/>
      <c r="K707" s="2472"/>
      <c r="L707" s="2472"/>
      <c r="M707" s="2472"/>
      <c r="N707" s="2472"/>
      <c r="O707" s="2472"/>
      <c r="P707" s="2472"/>
      <c r="Q707" s="2472"/>
      <c r="R707" s="2472"/>
      <c r="S707" s="2472"/>
      <c r="T707" s="2472"/>
      <c r="U707" s="2472"/>
      <c r="V707" s="2472"/>
      <c r="W707" s="2472"/>
      <c r="X707" s="2472"/>
      <c r="Y707" s="2472"/>
      <c r="Z707" s="2472"/>
      <c r="AA707" s="2472"/>
      <c r="AB707" s="2472"/>
      <c r="AC707" s="536"/>
      <c r="AD707" s="536"/>
      <c r="AE707" s="536"/>
      <c r="AF707" s="2455" t="s">
        <v>1346</v>
      </c>
      <c r="AG707" s="2455"/>
      <c r="AH707" s="2455"/>
      <c r="AI707" s="2455"/>
      <c r="AJ707" s="2455"/>
      <c r="AK707" s="2455"/>
      <c r="AL707" s="2455"/>
      <c r="AN707" s="595"/>
      <c r="AW707" s="22" t="s">
        <v>2143</v>
      </c>
      <c r="AX707" s="549">
        <f>AX704+AX705+AX706</f>
        <v>97</v>
      </c>
    </row>
    <row r="708" spans="1:51" s="549" customFormat="1" ht="12.75" customHeight="1">
      <c r="B708" s="536"/>
      <c r="C708" s="936"/>
      <c r="D708" s="659"/>
      <c r="E708" s="2472"/>
      <c r="F708" s="2472"/>
      <c r="G708" s="2472"/>
      <c r="H708" s="2472"/>
      <c r="I708" s="2472"/>
      <c r="J708" s="2472"/>
      <c r="K708" s="2472"/>
      <c r="L708" s="2472"/>
      <c r="M708" s="2472"/>
      <c r="N708" s="2472"/>
      <c r="O708" s="2472"/>
      <c r="P708" s="2472"/>
      <c r="Q708" s="2472"/>
      <c r="R708" s="2472"/>
      <c r="S708" s="2472"/>
      <c r="T708" s="2472"/>
      <c r="U708" s="2472"/>
      <c r="V708" s="2472"/>
      <c r="W708" s="2472"/>
      <c r="X708" s="2472"/>
      <c r="Y708" s="2472"/>
      <c r="Z708" s="2472"/>
      <c r="AA708" s="2472"/>
      <c r="AB708" s="2472"/>
      <c r="AC708" s="536"/>
      <c r="AD708" s="536"/>
      <c r="AE708" s="614"/>
      <c r="AF708" s="536"/>
      <c r="AG708" s="536"/>
      <c r="AH708" s="536"/>
      <c r="AI708" s="536"/>
      <c r="AJ708" s="536"/>
      <c r="AK708" s="536"/>
      <c r="AL708" s="536"/>
      <c r="AN708" s="595"/>
      <c r="AO708" s="2541" t="b">
        <f>IF(Application!D211="Special Needs",IF(AY708&gt;=0.25,TRUE,FALSE),IF(AX708&gt;=0.25,TRUE,FALSE))</f>
        <v>1</v>
      </c>
      <c r="AP708" s="2541"/>
      <c r="AW708" s="22" t="s">
        <v>2144</v>
      </c>
      <c r="AX708" s="549">
        <f>IFERROR(AX707/AX703,0)</f>
        <v>0.28197674418604651</v>
      </c>
      <c r="AY708" s="549">
        <f>IFERROR(AX707/(AX703-AX702),0)</f>
        <v>0.28197674418604651</v>
      </c>
    </row>
    <row r="709" spans="1:51" s="549" customFormat="1" ht="12.75" customHeight="1">
      <c r="B709" s="536"/>
      <c r="C709" s="936"/>
      <c r="E709" s="2472"/>
      <c r="F709" s="2472"/>
      <c r="G709" s="2472"/>
      <c r="H709" s="2472"/>
      <c r="I709" s="2472"/>
      <c r="J709" s="2472"/>
      <c r="K709" s="2472"/>
      <c r="L709" s="2472"/>
      <c r="M709" s="2472"/>
      <c r="N709" s="2472"/>
      <c r="O709" s="2472"/>
      <c r="P709" s="2472"/>
      <c r="Q709" s="2472"/>
      <c r="R709" s="2472"/>
      <c r="S709" s="2472"/>
      <c r="T709" s="2472"/>
      <c r="U709" s="2472"/>
      <c r="V709" s="2472"/>
      <c r="W709" s="2472"/>
      <c r="X709" s="2472"/>
      <c r="Y709" s="2472"/>
      <c r="Z709" s="2472"/>
      <c r="AA709" s="2472"/>
      <c r="AB709" s="2472"/>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2"/>
      <c r="F710" s="2472"/>
      <c r="G710" s="2472"/>
      <c r="H710" s="2472"/>
      <c r="I710" s="2472"/>
      <c r="J710" s="2472"/>
      <c r="K710" s="2472"/>
      <c r="L710" s="2472"/>
      <c r="M710" s="2472"/>
      <c r="N710" s="2472"/>
      <c r="O710" s="2472"/>
      <c r="P710" s="2472"/>
      <c r="Q710" s="2472"/>
      <c r="R710" s="2472"/>
      <c r="S710" s="2472"/>
      <c r="T710" s="2472"/>
      <c r="U710" s="2472"/>
      <c r="V710" s="2472"/>
      <c r="W710" s="2472"/>
      <c r="X710" s="2472"/>
      <c r="Y710" s="2472"/>
      <c r="Z710" s="2472"/>
      <c r="AA710" s="2472"/>
      <c r="AB710" s="2472"/>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72" t="s">
        <v>2091</v>
      </c>
      <c r="F712" s="2472"/>
      <c r="G712" s="2472"/>
      <c r="H712" s="2472"/>
      <c r="I712" s="2472"/>
      <c r="J712" s="2472"/>
      <c r="K712" s="2472"/>
      <c r="L712" s="2472"/>
      <c r="M712" s="2472"/>
      <c r="N712" s="2472"/>
      <c r="O712" s="2472"/>
      <c r="P712" s="2472"/>
      <c r="Q712" s="2472"/>
      <c r="R712" s="2472"/>
      <c r="S712" s="2472"/>
      <c r="T712" s="2472"/>
      <c r="U712" s="2472"/>
      <c r="V712" s="2472"/>
      <c r="W712" s="2472"/>
      <c r="X712" s="2472"/>
      <c r="Y712" s="2472"/>
      <c r="Z712" s="2472"/>
      <c r="AA712" s="2472"/>
      <c r="AB712" s="2472"/>
      <c r="AC712" s="536"/>
      <c r="AD712" s="536"/>
      <c r="AE712" s="536"/>
      <c r="AF712" s="2455" t="s">
        <v>1400</v>
      </c>
      <c r="AG712" s="2455"/>
      <c r="AH712" s="2455"/>
      <c r="AI712" s="2455"/>
      <c r="AJ712" s="2455"/>
      <c r="AK712" s="2455"/>
      <c r="AL712" s="2455"/>
      <c r="AN712" s="595"/>
      <c r="AO712" s="609" t="s">
        <v>509</v>
      </c>
      <c r="AP712" s="549">
        <v>1</v>
      </c>
    </row>
    <row r="713" spans="1:51" s="549" customFormat="1" ht="12" customHeight="1">
      <c r="B713" s="536"/>
      <c r="C713" s="927"/>
      <c r="E713" s="2472"/>
      <c r="F713" s="2472"/>
      <c r="G713" s="2472"/>
      <c r="H713" s="2472"/>
      <c r="I713" s="2472"/>
      <c r="J713" s="2472"/>
      <c r="K713" s="2472"/>
      <c r="L713" s="2472"/>
      <c r="M713" s="2472"/>
      <c r="N713" s="2472"/>
      <c r="O713" s="2472"/>
      <c r="P713" s="2472"/>
      <c r="Q713" s="2472"/>
      <c r="R713" s="2472"/>
      <c r="S713" s="2472"/>
      <c r="T713" s="2472"/>
      <c r="U713" s="2472"/>
      <c r="V713" s="2472"/>
      <c r="W713" s="2472"/>
      <c r="X713" s="2472"/>
      <c r="Y713" s="2472"/>
      <c r="Z713" s="2472"/>
      <c r="AA713" s="2472"/>
      <c r="AB713" s="2472"/>
      <c r="AC713" s="536"/>
      <c r="AD713" s="536"/>
      <c r="AE713" s="614"/>
      <c r="AF713" s="536"/>
      <c r="AG713" s="536"/>
      <c r="AH713" s="536"/>
      <c r="AI713" s="536"/>
      <c r="AJ713" s="536"/>
      <c r="AK713" s="536"/>
      <c r="AL713" s="536"/>
      <c r="AN713" s="595"/>
    </row>
    <row r="714" spans="1:51" s="549" customFormat="1" ht="12" customHeight="1">
      <c r="B714" s="536"/>
      <c r="C714" s="927"/>
      <c r="D714" s="536"/>
      <c r="E714" s="2472"/>
      <c r="F714" s="2472"/>
      <c r="G714" s="2472"/>
      <c r="H714" s="2472"/>
      <c r="I714" s="2472"/>
      <c r="J714" s="2472"/>
      <c r="K714" s="2472"/>
      <c r="L714" s="2472"/>
      <c r="M714" s="2472"/>
      <c r="N714" s="2472"/>
      <c r="O714" s="2472"/>
      <c r="P714" s="2472"/>
      <c r="Q714" s="2472"/>
      <c r="R714" s="2472"/>
      <c r="S714" s="2472"/>
      <c r="T714" s="2472"/>
      <c r="U714" s="2472"/>
      <c r="V714" s="2472"/>
      <c r="W714" s="2472"/>
      <c r="X714" s="2472"/>
      <c r="Y714" s="2472"/>
      <c r="Z714" s="2472"/>
      <c r="AA714" s="2472"/>
      <c r="AB714" s="2472"/>
      <c r="AC714" s="536"/>
      <c r="AD714" s="536"/>
      <c r="AE714" s="614"/>
      <c r="AF714" s="536"/>
      <c r="AG714" s="536"/>
      <c r="AH714" s="536"/>
      <c r="AI714" s="536"/>
      <c r="AJ714" s="536"/>
      <c r="AK714" s="536"/>
      <c r="AL714" s="536"/>
      <c r="AN714" s="595"/>
    </row>
    <row r="715" spans="1:51" s="549" customFormat="1" ht="12" customHeight="1">
      <c r="B715" s="536"/>
      <c r="C715" s="927"/>
      <c r="D715" s="536"/>
      <c r="E715" s="2472"/>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72" t="s">
        <v>1682</v>
      </c>
      <c r="F718" s="2472"/>
      <c r="G718" s="2472"/>
      <c r="H718" s="2472"/>
      <c r="I718" s="2472"/>
      <c r="J718" s="2472"/>
      <c r="K718" s="2472"/>
      <c r="L718" s="2472"/>
      <c r="M718" s="2472"/>
      <c r="N718" s="2472"/>
      <c r="O718" s="2472"/>
      <c r="P718" s="2472"/>
      <c r="Q718" s="2472"/>
      <c r="R718" s="2472"/>
      <c r="S718" s="2472"/>
      <c r="T718" s="2472"/>
      <c r="U718" s="2472"/>
      <c r="V718" s="2472"/>
      <c r="W718" s="2472"/>
      <c r="X718" s="2472"/>
      <c r="Y718" s="2472"/>
      <c r="Z718" s="2472"/>
      <c r="AA718" s="2472"/>
      <c r="AB718" s="2472"/>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72"/>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5" t="s">
        <v>687</v>
      </c>
      <c r="I722" s="2535"/>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80">
        <f>VLOOKUP($H$722,$AO$716:$AP$719,2,FALSE)</f>
        <v>3</v>
      </c>
      <c r="AK724" s="248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3" t="s">
        <v>1684</v>
      </c>
      <c r="F728" s="2543"/>
      <c r="G728" s="2543"/>
      <c r="H728" s="2543"/>
      <c r="I728" s="2543"/>
      <c r="J728" s="2543"/>
      <c r="K728" s="2543"/>
      <c r="L728" s="2543"/>
      <c r="M728" s="2543"/>
      <c r="N728" s="2543"/>
      <c r="O728" s="2543"/>
      <c r="P728" s="2543"/>
      <c r="Q728" s="2543"/>
      <c r="R728" s="2543"/>
      <c r="S728" s="2543"/>
      <c r="T728" s="2543"/>
      <c r="U728" s="2543"/>
      <c r="V728" s="2543"/>
      <c r="W728" s="2543"/>
      <c r="X728" s="2543"/>
      <c r="Y728" s="2543"/>
      <c r="Z728" s="2543"/>
      <c r="AA728" s="2543"/>
      <c r="AB728" s="2543"/>
      <c r="AC728" s="536"/>
      <c r="AD728" s="536"/>
      <c r="AE728" s="536"/>
      <c r="AF728" s="2455" t="s">
        <v>1346</v>
      </c>
      <c r="AG728" s="2455"/>
      <c r="AH728" s="2455"/>
      <c r="AI728" s="2455"/>
      <c r="AJ728" s="2455"/>
      <c r="AK728" s="2455"/>
      <c r="AL728" s="2455"/>
      <c r="AM728" s="549"/>
      <c r="AN728" s="680"/>
      <c r="AP728" s="568" t="s">
        <v>1424</v>
      </c>
    </row>
    <row r="729" spans="1:43" s="568" customFormat="1" ht="11.85" customHeight="1">
      <c r="A729" s="549"/>
      <c r="B729" s="536"/>
      <c r="C729" s="929"/>
      <c r="D729" s="659"/>
      <c r="E729" s="2543"/>
      <c r="F729" s="2543"/>
      <c r="G729" s="2543"/>
      <c r="H729" s="2543"/>
      <c r="I729" s="2543"/>
      <c r="J729" s="2543"/>
      <c r="K729" s="2543"/>
      <c r="L729" s="2543"/>
      <c r="M729" s="2543"/>
      <c r="N729" s="2543"/>
      <c r="O729" s="2543"/>
      <c r="P729" s="2543"/>
      <c r="Q729" s="2543"/>
      <c r="R729" s="2543"/>
      <c r="S729" s="2543"/>
      <c r="T729" s="2543"/>
      <c r="U729" s="2543"/>
      <c r="V729" s="2543"/>
      <c r="W729" s="2543"/>
      <c r="X729" s="2543"/>
      <c r="Y729" s="2543"/>
      <c r="Z729" s="2543"/>
      <c r="AA729" s="2543"/>
      <c r="AB729" s="2543"/>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43"/>
      <c r="F730" s="2543"/>
      <c r="G730" s="2543"/>
      <c r="H730" s="2543"/>
      <c r="I730" s="2543"/>
      <c r="J730" s="2543"/>
      <c r="K730" s="2543"/>
      <c r="L730" s="2543"/>
      <c r="M730" s="2543"/>
      <c r="N730" s="2543"/>
      <c r="O730" s="2543"/>
      <c r="P730" s="2543"/>
      <c r="Q730" s="2543"/>
      <c r="R730" s="2543"/>
      <c r="S730" s="2543"/>
      <c r="T730" s="2543"/>
      <c r="U730" s="2543"/>
      <c r="V730" s="2543"/>
      <c r="W730" s="2543"/>
      <c r="X730" s="2543"/>
      <c r="Y730" s="2543"/>
      <c r="Z730" s="2543"/>
      <c r="AA730" s="2543"/>
      <c r="AB730" s="2543"/>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44" t="s">
        <v>1427</v>
      </c>
      <c r="F732" s="2544"/>
      <c r="G732" s="2544"/>
      <c r="H732" s="2544"/>
      <c r="I732" s="2544"/>
      <c r="J732" s="2544"/>
      <c r="K732" s="2544"/>
      <c r="L732" s="2544"/>
      <c r="M732" s="2544"/>
      <c r="N732" s="2544"/>
      <c r="O732" s="2544"/>
      <c r="P732" s="2544"/>
      <c r="Q732" s="2544"/>
      <c r="R732" s="2544"/>
      <c r="S732" s="2544"/>
      <c r="T732" s="2544"/>
      <c r="U732" s="2544"/>
      <c r="V732" s="2544"/>
      <c r="W732" s="2544"/>
      <c r="X732" s="2544"/>
      <c r="Y732" s="2544"/>
      <c r="Z732" s="2544"/>
      <c r="AA732" s="2544"/>
      <c r="AB732" s="2544"/>
      <c r="AC732" s="536"/>
      <c r="AD732" s="536"/>
      <c r="AE732" s="536"/>
      <c r="AF732" s="2455" t="s">
        <v>1400</v>
      </c>
      <c r="AG732" s="2455"/>
      <c r="AH732" s="2455"/>
      <c r="AI732" s="2455"/>
      <c r="AJ732" s="2455"/>
      <c r="AK732" s="2455"/>
      <c r="AL732" s="2455"/>
      <c r="AM732" s="549"/>
      <c r="AN732" s="681"/>
    </row>
    <row r="733" spans="1:43" s="568" customFormat="1" ht="12.75" customHeight="1">
      <c r="A733" s="549"/>
      <c r="B733" s="536"/>
      <c r="C733" s="929"/>
      <c r="D733" s="536"/>
      <c r="E733" s="2544"/>
      <c r="F733" s="2544"/>
      <c r="G733" s="2544"/>
      <c r="H733" s="2544"/>
      <c r="I733" s="2544"/>
      <c r="J733" s="2544"/>
      <c r="K733" s="2544"/>
      <c r="L733" s="2544"/>
      <c r="M733" s="2544"/>
      <c r="N733" s="2544"/>
      <c r="O733" s="2544"/>
      <c r="P733" s="2544"/>
      <c r="Q733" s="2544"/>
      <c r="R733" s="2544"/>
      <c r="S733" s="2544"/>
      <c r="T733" s="2544"/>
      <c r="U733" s="2544"/>
      <c r="V733" s="2544"/>
      <c r="W733" s="2544"/>
      <c r="X733" s="2544"/>
      <c r="Y733" s="2544"/>
      <c r="Z733" s="2544"/>
      <c r="AA733" s="2544"/>
      <c r="AB733" s="2544"/>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4"/>
      <c r="F734" s="2544"/>
      <c r="G734" s="2544"/>
      <c r="H734" s="2544"/>
      <c r="I734" s="2544"/>
      <c r="J734" s="2544"/>
      <c r="K734" s="2544"/>
      <c r="L734" s="2544"/>
      <c r="M734" s="2544"/>
      <c r="N734" s="2544"/>
      <c r="O734" s="2544"/>
      <c r="P734" s="2544"/>
      <c r="Q734" s="2544"/>
      <c r="R734" s="2544"/>
      <c r="S734" s="2544"/>
      <c r="T734" s="2544"/>
      <c r="U734" s="2544"/>
      <c r="V734" s="2544"/>
      <c r="W734" s="2544"/>
      <c r="X734" s="2544"/>
      <c r="Y734" s="2544"/>
      <c r="Z734" s="2544"/>
      <c r="AA734" s="2544"/>
      <c r="AB734" s="2544"/>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35" t="s">
        <v>591</v>
      </c>
      <c r="I736" s="2535"/>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80">
        <f>VLOOKUP($H$736,$AP$733:$AQ$735,2,FALSE)</f>
        <v>0</v>
      </c>
      <c r="AK738" s="2482"/>
      <c r="AL738" s="593"/>
      <c r="AM738" s="549"/>
      <c r="AN738" s="680"/>
      <c r="AP738" s="2480"/>
      <c r="AQ738" s="248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72" t="s">
        <v>1685</v>
      </c>
      <c r="F742" s="2472"/>
      <c r="G742" s="2472"/>
      <c r="H742" s="2472"/>
      <c r="I742" s="2472"/>
      <c r="J742" s="2472"/>
      <c r="K742" s="2472"/>
      <c r="L742" s="2472"/>
      <c r="M742" s="2472"/>
      <c r="N742" s="2472"/>
      <c r="O742" s="2472"/>
      <c r="P742" s="2472"/>
      <c r="Q742" s="2472"/>
      <c r="R742" s="2472"/>
      <c r="S742" s="2472"/>
      <c r="T742" s="2472"/>
      <c r="U742" s="2472"/>
      <c r="V742" s="2472"/>
      <c r="W742" s="2472"/>
      <c r="X742" s="2472"/>
      <c r="Y742" s="2472"/>
      <c r="Z742" s="2472"/>
      <c r="AA742" s="2472"/>
      <c r="AB742" s="2472"/>
      <c r="AC742" s="536"/>
      <c r="AD742" s="536"/>
      <c r="AE742" s="536"/>
      <c r="AF742" s="2455" t="s">
        <v>1346</v>
      </c>
      <c r="AG742" s="2455"/>
      <c r="AH742" s="2455"/>
      <c r="AI742" s="2455"/>
      <c r="AJ742" s="2455"/>
      <c r="AK742" s="2455"/>
      <c r="AL742" s="2455"/>
      <c r="AM742" s="549"/>
      <c r="AN742" s="680"/>
      <c r="AT742" s="14"/>
      <c r="AU742" s="14"/>
      <c r="AV742" s="14"/>
      <c r="AW742" s="14"/>
      <c r="AX742" s="14"/>
      <c r="AY742" s="14"/>
      <c r="AZ742" s="14"/>
    </row>
    <row r="743" spans="1:81" s="568" customFormat="1">
      <c r="A743" s="549"/>
      <c r="B743" s="536"/>
      <c r="C743" s="929"/>
      <c r="D743" s="659"/>
      <c r="E743" s="2472"/>
      <c r="F743" s="2472"/>
      <c r="G743" s="2472"/>
      <c r="H743" s="2472"/>
      <c r="I743" s="2472"/>
      <c r="J743" s="2472"/>
      <c r="K743" s="2472"/>
      <c r="L743" s="2472"/>
      <c r="M743" s="2472"/>
      <c r="N743" s="2472"/>
      <c r="O743" s="2472"/>
      <c r="P743" s="2472"/>
      <c r="Q743" s="2472"/>
      <c r="R743" s="2472"/>
      <c r="S743" s="2472"/>
      <c r="T743" s="2472"/>
      <c r="U743" s="2472"/>
      <c r="V743" s="2472"/>
      <c r="W743" s="2472"/>
      <c r="X743" s="2472"/>
      <c r="Y743" s="2472"/>
      <c r="Z743" s="2472"/>
      <c r="AA743" s="2472"/>
      <c r="AB743" s="247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72" t="s">
        <v>1431</v>
      </c>
      <c r="F745" s="2472"/>
      <c r="G745" s="2472"/>
      <c r="H745" s="2472"/>
      <c r="I745" s="2472"/>
      <c r="J745" s="2472"/>
      <c r="K745" s="2472"/>
      <c r="L745" s="2472"/>
      <c r="M745" s="2472"/>
      <c r="N745" s="2472"/>
      <c r="O745" s="2472"/>
      <c r="P745" s="2472"/>
      <c r="Q745" s="2472"/>
      <c r="R745" s="2472"/>
      <c r="S745" s="2472"/>
      <c r="T745" s="2472"/>
      <c r="U745" s="2472"/>
      <c r="V745" s="2472"/>
      <c r="W745" s="2472"/>
      <c r="X745" s="2472"/>
      <c r="Y745" s="2472"/>
      <c r="Z745" s="2472"/>
      <c r="AA745" s="2472"/>
      <c r="AB745" s="2472"/>
      <c r="AC745" s="536"/>
      <c r="AD745" s="536"/>
      <c r="AE745" s="536"/>
      <c r="AF745" s="2455" t="s">
        <v>1400</v>
      </c>
      <c r="AG745" s="2455"/>
      <c r="AH745" s="2455"/>
      <c r="AI745" s="2455"/>
      <c r="AJ745" s="2455"/>
      <c r="AK745" s="2455"/>
      <c r="AL745" s="2455"/>
      <c r="AM745" s="549"/>
      <c r="AN745" s="680"/>
      <c r="AT745" s="14"/>
      <c r="AU745" s="14"/>
      <c r="AV745" s="14"/>
      <c r="AW745" s="14"/>
      <c r="AX745" s="14"/>
      <c r="AY745" s="14"/>
      <c r="AZ745" s="14"/>
    </row>
    <row r="746" spans="1:81" s="568" customFormat="1">
      <c r="A746" s="549"/>
      <c r="B746" s="536"/>
      <c r="C746" s="929"/>
      <c r="D746" s="536"/>
      <c r="E746" s="2472"/>
      <c r="F746" s="2472"/>
      <c r="G746" s="2472"/>
      <c r="H746" s="2472"/>
      <c r="I746" s="2472"/>
      <c r="J746" s="2472"/>
      <c r="K746" s="2472"/>
      <c r="L746" s="2472"/>
      <c r="M746" s="2472"/>
      <c r="N746" s="2472"/>
      <c r="O746" s="2472"/>
      <c r="P746" s="2472"/>
      <c r="Q746" s="2472"/>
      <c r="R746" s="2472"/>
      <c r="S746" s="2472"/>
      <c r="T746" s="2472"/>
      <c r="U746" s="2472"/>
      <c r="V746" s="2472"/>
      <c r="W746" s="2472"/>
      <c r="X746" s="2472"/>
      <c r="Y746" s="2472"/>
      <c r="Z746" s="2472"/>
      <c r="AA746" s="2472"/>
      <c r="AB746" s="247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5" t="s">
        <v>591</v>
      </c>
      <c r="I748" s="2535"/>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80">
        <f>VLOOKUP($H$748,$AO$679:$AP$681,2,FALSE)</f>
        <v>0</v>
      </c>
      <c r="AK750" s="248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72" t="s">
        <v>1434</v>
      </c>
      <c r="F754" s="2472"/>
      <c r="G754" s="2472"/>
      <c r="H754" s="2472"/>
      <c r="I754" s="2472"/>
      <c r="J754" s="2472"/>
      <c r="K754" s="2472"/>
      <c r="L754" s="2472"/>
      <c r="M754" s="2472"/>
      <c r="N754" s="2472"/>
      <c r="O754" s="2472"/>
      <c r="P754" s="2472"/>
      <c r="Q754" s="2472"/>
      <c r="R754" s="2472"/>
      <c r="S754" s="2472"/>
      <c r="T754" s="2472"/>
      <c r="U754" s="2472"/>
      <c r="V754" s="2472"/>
      <c r="W754" s="2472"/>
      <c r="X754" s="2472"/>
      <c r="Y754" s="2472"/>
      <c r="Z754" s="2472"/>
      <c r="AA754" s="2472"/>
      <c r="AB754" s="2472"/>
      <c r="AC754" s="536"/>
      <c r="AD754" s="536"/>
      <c r="AE754" s="536"/>
      <c r="AF754" s="2455" t="s">
        <v>1346</v>
      </c>
      <c r="AG754" s="2455"/>
      <c r="AH754" s="2455"/>
      <c r="AI754" s="2455"/>
      <c r="AJ754" s="2455"/>
      <c r="AK754" s="2455"/>
      <c r="AL754" s="2455"/>
      <c r="AM754" s="549"/>
      <c r="AN754" s="680"/>
      <c r="AT754" s="14"/>
      <c r="AU754" s="14"/>
      <c r="AV754" s="14"/>
      <c r="AW754" s="14"/>
      <c r="AX754" s="14"/>
      <c r="AY754" s="14"/>
      <c r="AZ754" s="14"/>
    </row>
    <row r="755" spans="1:81" s="568" customFormat="1">
      <c r="A755" s="549"/>
      <c r="B755" s="536"/>
      <c r="C755" s="927"/>
      <c r="D755" s="659"/>
      <c r="E755" s="2472"/>
      <c r="F755" s="2472"/>
      <c r="G755" s="2472"/>
      <c r="H755" s="2472"/>
      <c r="I755" s="2472"/>
      <c r="J755" s="2472"/>
      <c r="K755" s="2472"/>
      <c r="L755" s="2472"/>
      <c r="M755" s="2472"/>
      <c r="N755" s="2472"/>
      <c r="O755" s="2472"/>
      <c r="P755" s="2472"/>
      <c r="Q755" s="2472"/>
      <c r="R755" s="2472"/>
      <c r="S755" s="2472"/>
      <c r="T755" s="2472"/>
      <c r="U755" s="2472"/>
      <c r="V755" s="2472"/>
      <c r="W755" s="2472"/>
      <c r="X755" s="2472"/>
      <c r="Y755" s="2472"/>
      <c r="Z755" s="2472"/>
      <c r="AA755" s="2472"/>
      <c r="AB755" s="247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2"/>
      <c r="F756" s="2472"/>
      <c r="G756" s="2472"/>
      <c r="H756" s="2472"/>
      <c r="I756" s="2472"/>
      <c r="J756" s="2472"/>
      <c r="K756" s="2472"/>
      <c r="L756" s="2472"/>
      <c r="M756" s="2472"/>
      <c r="N756" s="2472"/>
      <c r="O756" s="2472"/>
      <c r="P756" s="2472"/>
      <c r="Q756" s="2472"/>
      <c r="R756" s="2472"/>
      <c r="S756" s="2472"/>
      <c r="T756" s="2472"/>
      <c r="U756" s="2472"/>
      <c r="V756" s="2472"/>
      <c r="W756" s="2472"/>
      <c r="X756" s="2472"/>
      <c r="Y756" s="2472"/>
      <c r="Z756" s="2472"/>
      <c r="AA756" s="2472"/>
      <c r="AB756" s="247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2"/>
      <c r="F757" s="2472"/>
      <c r="G757" s="2472"/>
      <c r="H757" s="2472"/>
      <c r="I757" s="2472"/>
      <c r="J757" s="2472"/>
      <c r="K757" s="2472"/>
      <c r="L757" s="2472"/>
      <c r="M757" s="2472"/>
      <c r="N757" s="2472"/>
      <c r="O757" s="2472"/>
      <c r="P757" s="2472"/>
      <c r="Q757" s="2472"/>
      <c r="R757" s="2472"/>
      <c r="S757" s="2472"/>
      <c r="T757" s="2472"/>
      <c r="U757" s="2472"/>
      <c r="V757" s="2472"/>
      <c r="W757" s="2472"/>
      <c r="X757" s="2472"/>
      <c r="Y757" s="2472"/>
      <c r="Z757" s="2472"/>
      <c r="AA757" s="2472"/>
      <c r="AB757" s="247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72" t="s">
        <v>1435</v>
      </c>
      <c r="F759" s="2472"/>
      <c r="G759" s="2472"/>
      <c r="H759" s="2472"/>
      <c r="I759" s="2472"/>
      <c r="J759" s="2472"/>
      <c r="K759" s="2472"/>
      <c r="L759" s="2472"/>
      <c r="M759" s="2472"/>
      <c r="N759" s="2472"/>
      <c r="O759" s="2472"/>
      <c r="P759" s="2472"/>
      <c r="Q759" s="2472"/>
      <c r="R759" s="2472"/>
      <c r="S759" s="2472"/>
      <c r="T759" s="2472"/>
      <c r="U759" s="2472"/>
      <c r="V759" s="2472"/>
      <c r="W759" s="2472"/>
      <c r="X759" s="2472"/>
      <c r="Y759" s="2472"/>
      <c r="Z759" s="2472"/>
      <c r="AA759" s="2472"/>
      <c r="AB759" s="573"/>
      <c r="AC759" s="536"/>
      <c r="AD759" s="536"/>
      <c r="AE759" s="536"/>
      <c r="AF759" s="2455" t="s">
        <v>1400</v>
      </c>
      <c r="AG759" s="2455"/>
      <c r="AH759" s="2455"/>
      <c r="AI759" s="2455"/>
      <c r="AJ759" s="2455"/>
      <c r="AK759" s="2455"/>
      <c r="AL759" s="2455"/>
      <c r="AM759" s="549"/>
      <c r="AN759" s="680"/>
      <c r="AO759" s="30"/>
      <c r="AP759" s="14"/>
    </row>
    <row r="760" spans="1:81" s="568" customFormat="1">
      <c r="A760" s="549"/>
      <c r="B760" s="536"/>
      <c r="C760" s="927"/>
      <c r="D760" s="659"/>
      <c r="E760" s="2472"/>
      <c r="F760" s="2472"/>
      <c r="G760" s="2472"/>
      <c r="H760" s="2472"/>
      <c r="I760" s="2472"/>
      <c r="J760" s="2472"/>
      <c r="K760" s="2472"/>
      <c r="L760" s="2472"/>
      <c r="M760" s="2472"/>
      <c r="N760" s="2472"/>
      <c r="O760" s="2472"/>
      <c r="P760" s="2472"/>
      <c r="Q760" s="2472"/>
      <c r="R760" s="2472"/>
      <c r="S760" s="2472"/>
      <c r="T760" s="2472"/>
      <c r="U760" s="2472"/>
      <c r="V760" s="2472"/>
      <c r="W760" s="2472"/>
      <c r="X760" s="2472"/>
      <c r="Y760" s="2472"/>
      <c r="Z760" s="2472"/>
      <c r="AA760" s="247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2"/>
      <c r="F761" s="2472"/>
      <c r="G761" s="2472"/>
      <c r="H761" s="2472"/>
      <c r="I761" s="2472"/>
      <c r="J761" s="2472"/>
      <c r="K761" s="2472"/>
      <c r="L761" s="2472"/>
      <c r="M761" s="2472"/>
      <c r="N761" s="2472"/>
      <c r="O761" s="2472"/>
      <c r="P761" s="2472"/>
      <c r="Q761" s="2472"/>
      <c r="R761" s="2472"/>
      <c r="S761" s="2472"/>
      <c r="T761" s="2472"/>
      <c r="U761" s="2472"/>
      <c r="V761" s="2472"/>
      <c r="W761" s="2472"/>
      <c r="X761" s="2472"/>
      <c r="Y761" s="2472"/>
      <c r="Z761" s="2472"/>
      <c r="AA761" s="247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2"/>
      <c r="F762" s="2472"/>
      <c r="G762" s="2472"/>
      <c r="H762" s="2472"/>
      <c r="I762" s="2472"/>
      <c r="J762" s="2472"/>
      <c r="K762" s="2472"/>
      <c r="L762" s="2472"/>
      <c r="M762" s="2472"/>
      <c r="N762" s="2472"/>
      <c r="O762" s="2472"/>
      <c r="P762" s="2472"/>
      <c r="Q762" s="2472"/>
      <c r="R762" s="2472"/>
      <c r="S762" s="2472"/>
      <c r="T762" s="2472"/>
      <c r="U762" s="2472"/>
      <c r="V762" s="2472"/>
      <c r="W762" s="2472"/>
      <c r="X762" s="2472"/>
      <c r="Y762" s="2472"/>
      <c r="Z762" s="2472"/>
      <c r="AA762" s="247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5" t="s">
        <v>591</v>
      </c>
      <c r="I764" s="2535"/>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80">
        <f>VLOOKUP($H$764,$AO$693:$AP$695,2,FALSE)</f>
        <v>0</v>
      </c>
      <c r="AK766" s="248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72" t="s">
        <v>1437</v>
      </c>
      <c r="F770" s="2472"/>
      <c r="G770" s="2472"/>
      <c r="H770" s="2472"/>
      <c r="I770" s="2472"/>
      <c r="J770" s="2472"/>
      <c r="K770" s="2472"/>
      <c r="L770" s="2472"/>
      <c r="M770" s="2472"/>
      <c r="N770" s="2472"/>
      <c r="O770" s="2472"/>
      <c r="P770" s="2472"/>
      <c r="Q770" s="2472"/>
      <c r="R770" s="2472"/>
      <c r="S770" s="2472"/>
      <c r="T770" s="2472"/>
      <c r="U770" s="2472"/>
      <c r="V770" s="2472"/>
      <c r="W770" s="2472"/>
      <c r="X770" s="2472"/>
      <c r="Y770" s="2472"/>
      <c r="Z770" s="2472"/>
      <c r="AA770" s="2472"/>
      <c r="AB770" s="2472"/>
      <c r="AC770" s="536"/>
      <c r="AD770" s="536"/>
      <c r="AE770" s="536"/>
      <c r="AF770" s="2455" t="s">
        <v>1400</v>
      </c>
      <c r="AG770" s="2455"/>
      <c r="AH770" s="2455"/>
      <c r="AI770" s="2455"/>
      <c r="AJ770" s="2455"/>
      <c r="AK770" s="2455"/>
      <c r="AL770" s="245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2"/>
      <c r="F771" s="2472"/>
      <c r="G771" s="2472"/>
      <c r="H771" s="2472"/>
      <c r="I771" s="2472"/>
      <c r="J771" s="2472"/>
      <c r="K771" s="2472"/>
      <c r="L771" s="2472"/>
      <c r="M771" s="2472"/>
      <c r="N771" s="2472"/>
      <c r="O771" s="2472"/>
      <c r="P771" s="2472"/>
      <c r="Q771" s="2472"/>
      <c r="R771" s="2472"/>
      <c r="S771" s="2472"/>
      <c r="T771" s="2472"/>
      <c r="U771" s="2472"/>
      <c r="V771" s="2472"/>
      <c r="W771" s="2472"/>
      <c r="X771" s="2472"/>
      <c r="Y771" s="2472"/>
      <c r="Z771" s="2472"/>
      <c r="AA771" s="2472"/>
      <c r="AB771" s="247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72" t="s">
        <v>1438</v>
      </c>
      <c r="F773" s="2472"/>
      <c r="G773" s="2472"/>
      <c r="H773" s="2472"/>
      <c r="I773" s="2472"/>
      <c r="J773" s="2472"/>
      <c r="K773" s="2472"/>
      <c r="L773" s="2472"/>
      <c r="M773" s="2472"/>
      <c r="N773" s="2472"/>
      <c r="O773" s="2472"/>
      <c r="P773" s="2472"/>
      <c r="Q773" s="2472"/>
      <c r="R773" s="2472"/>
      <c r="S773" s="2472"/>
      <c r="T773" s="2472"/>
      <c r="U773" s="2472"/>
      <c r="V773" s="2472"/>
      <c r="W773" s="2472"/>
      <c r="X773" s="2472"/>
      <c r="Y773" s="2472"/>
      <c r="Z773" s="2472"/>
      <c r="AA773" s="2472"/>
      <c r="AB773" s="2472"/>
      <c r="AC773" s="536"/>
      <c r="AD773" s="536"/>
      <c r="AE773" s="536"/>
      <c r="AF773" s="2455" t="s">
        <v>1417</v>
      </c>
      <c r="AG773" s="2455"/>
      <c r="AH773" s="2455"/>
      <c r="AI773" s="2455"/>
      <c r="AJ773" s="2455"/>
      <c r="AK773" s="2455"/>
      <c r="AL773" s="245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2"/>
      <c r="F774" s="2472"/>
      <c r="G774" s="2472"/>
      <c r="H774" s="2472"/>
      <c r="I774" s="2472"/>
      <c r="J774" s="2472"/>
      <c r="K774" s="2472"/>
      <c r="L774" s="2472"/>
      <c r="M774" s="2472"/>
      <c r="N774" s="2472"/>
      <c r="O774" s="2472"/>
      <c r="P774" s="2472"/>
      <c r="Q774" s="2472"/>
      <c r="R774" s="2472"/>
      <c r="S774" s="2472"/>
      <c r="T774" s="2472"/>
      <c r="U774" s="2472"/>
      <c r="V774" s="2472"/>
      <c r="W774" s="2472"/>
      <c r="X774" s="2472"/>
      <c r="Y774" s="2472"/>
      <c r="Z774" s="2472"/>
      <c r="AA774" s="2472"/>
      <c r="AB774" s="247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5" t="s">
        <v>509</v>
      </c>
      <c r="I776" s="2535"/>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80">
        <f>VLOOKUP($H$776,$AO$710:$AP$712,2,FALSE)</f>
        <v>1</v>
      </c>
      <c r="AK778" s="248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72" t="s">
        <v>1681</v>
      </c>
      <c r="F782" s="2472"/>
      <c r="G782" s="2472"/>
      <c r="H782" s="2472"/>
      <c r="I782" s="2472"/>
      <c r="J782" s="2472"/>
      <c r="K782" s="2472"/>
      <c r="L782" s="2472"/>
      <c r="M782" s="2472"/>
      <c r="N782" s="2472"/>
      <c r="O782" s="2472"/>
      <c r="P782" s="2472"/>
      <c r="Q782" s="2472"/>
      <c r="R782" s="2472"/>
      <c r="S782" s="2472"/>
      <c r="T782" s="2472"/>
      <c r="U782" s="2472"/>
      <c r="V782" s="2472"/>
      <c r="W782" s="2472"/>
      <c r="X782" s="2472"/>
      <c r="Y782" s="2472"/>
      <c r="Z782" s="2472"/>
      <c r="AA782" s="2472"/>
      <c r="AB782" s="2472"/>
      <c r="AC782" s="2472"/>
      <c r="AD782" s="2472"/>
      <c r="AE782" s="536"/>
      <c r="AF782" s="2455" t="s">
        <v>1400</v>
      </c>
      <c r="AG782" s="2455"/>
      <c r="AH782" s="2455"/>
      <c r="AI782" s="2455"/>
      <c r="AJ782" s="2455"/>
      <c r="AK782" s="2455"/>
      <c r="AL782" s="2455"/>
      <c r="AM782" s="611"/>
      <c r="AN782" s="680"/>
      <c r="AO782" s="549" t="s">
        <v>591</v>
      </c>
      <c r="AP782" s="669">
        <v>0</v>
      </c>
    </row>
    <row r="783" spans="1:74" s="568" customFormat="1" ht="13.7" customHeight="1">
      <c r="A783" s="549"/>
      <c r="B783" s="614"/>
      <c r="C783" s="936"/>
      <c r="D783" s="659"/>
      <c r="E783" s="2472"/>
      <c r="F783" s="2472"/>
      <c r="G783" s="2472"/>
      <c r="H783" s="2472"/>
      <c r="I783" s="2472"/>
      <c r="J783" s="2472"/>
      <c r="K783" s="2472"/>
      <c r="L783" s="2472"/>
      <c r="M783" s="2472"/>
      <c r="N783" s="2472"/>
      <c r="O783" s="2472"/>
      <c r="P783" s="2472"/>
      <c r="Q783" s="2472"/>
      <c r="R783" s="2472"/>
      <c r="S783" s="2472"/>
      <c r="T783" s="2472"/>
      <c r="U783" s="2472"/>
      <c r="V783" s="2472"/>
      <c r="W783" s="2472"/>
      <c r="X783" s="2472"/>
      <c r="Y783" s="2472"/>
      <c r="Z783" s="2472"/>
      <c r="AA783" s="2472"/>
      <c r="AB783" s="2472"/>
      <c r="AC783" s="2472"/>
      <c r="AD783" s="2472"/>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72"/>
      <c r="F784" s="2472"/>
      <c r="G784" s="2472"/>
      <c r="H784" s="2472"/>
      <c r="I784" s="2472"/>
      <c r="J784" s="2472"/>
      <c r="K784" s="2472"/>
      <c r="L784" s="2472"/>
      <c r="M784" s="2472"/>
      <c r="N784" s="2472"/>
      <c r="O784" s="2472"/>
      <c r="P784" s="2472"/>
      <c r="Q784" s="2472"/>
      <c r="R784" s="2472"/>
      <c r="S784" s="2472"/>
      <c r="T784" s="2472"/>
      <c r="U784" s="2472"/>
      <c r="V784" s="2472"/>
      <c r="W784" s="2472"/>
      <c r="X784" s="2472"/>
      <c r="Y784" s="2472"/>
      <c r="Z784" s="2472"/>
      <c r="AA784" s="2472"/>
      <c r="AB784" s="2472"/>
      <c r="AC784" s="2472"/>
      <c r="AD784" s="2472"/>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2"/>
      <c r="F785" s="2472"/>
      <c r="G785" s="2472"/>
      <c r="H785" s="2472"/>
      <c r="I785" s="2472"/>
      <c r="J785" s="2472"/>
      <c r="K785" s="2472"/>
      <c r="L785" s="2472"/>
      <c r="M785" s="2472"/>
      <c r="N785" s="2472"/>
      <c r="O785" s="2472"/>
      <c r="P785" s="2472"/>
      <c r="Q785" s="2472"/>
      <c r="R785" s="2472"/>
      <c r="S785" s="2472"/>
      <c r="T785" s="2472"/>
      <c r="U785" s="2472"/>
      <c r="V785" s="2472"/>
      <c r="W785" s="2472"/>
      <c r="X785" s="2472"/>
      <c r="Y785" s="2472"/>
      <c r="Z785" s="2472"/>
      <c r="AA785" s="2472"/>
      <c r="AB785" s="2472"/>
      <c r="AC785" s="2472"/>
      <c r="AD785" s="247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5" t="s">
        <v>1686</v>
      </c>
      <c r="F787" s="2545"/>
      <c r="G787" s="2545"/>
      <c r="H787" s="2545"/>
      <c r="I787" s="2545"/>
      <c r="J787" s="2545"/>
      <c r="K787" s="2545"/>
      <c r="L787" s="2545"/>
      <c r="M787" s="2545"/>
      <c r="N787" s="2545"/>
      <c r="O787" s="2545"/>
      <c r="P787" s="2545"/>
      <c r="Q787" s="2545"/>
      <c r="R787" s="2545"/>
      <c r="S787" s="2545"/>
      <c r="T787" s="2545"/>
      <c r="U787" s="2545"/>
      <c r="V787" s="2545"/>
      <c r="W787" s="2545"/>
      <c r="X787" s="2545"/>
      <c r="Y787" s="2545"/>
      <c r="Z787" s="2545"/>
      <c r="AA787" s="2545"/>
      <c r="AB787" s="2545"/>
      <c r="AC787" s="2545"/>
      <c r="AD787" s="2545"/>
      <c r="AE787" s="536"/>
      <c r="AF787" s="2455" t="s">
        <v>1346</v>
      </c>
      <c r="AG787" s="2455"/>
      <c r="AH787" s="2455"/>
      <c r="AI787" s="2455"/>
      <c r="AJ787" s="2455"/>
      <c r="AK787" s="2455"/>
      <c r="AL787" s="2455"/>
      <c r="AM787" s="611"/>
      <c r="AN787" s="595"/>
    </row>
    <row r="788" spans="1:81" s="549" customFormat="1" ht="12.75" customHeight="1">
      <c r="B788" s="614"/>
      <c r="C788" s="936"/>
      <c r="D788" s="659"/>
      <c r="E788" s="2545"/>
      <c r="F788" s="2545"/>
      <c r="G788" s="2545"/>
      <c r="H788" s="2545"/>
      <c r="I788" s="2545"/>
      <c r="J788" s="2545"/>
      <c r="K788" s="2545"/>
      <c r="L788" s="2545"/>
      <c r="M788" s="2545"/>
      <c r="N788" s="2545"/>
      <c r="O788" s="2545"/>
      <c r="P788" s="2545"/>
      <c r="Q788" s="2545"/>
      <c r="R788" s="2545"/>
      <c r="S788" s="2545"/>
      <c r="T788" s="2545"/>
      <c r="U788" s="2545"/>
      <c r="V788" s="2545"/>
      <c r="W788" s="2545"/>
      <c r="X788" s="2545"/>
      <c r="Y788" s="2545"/>
      <c r="Z788" s="2545"/>
      <c r="AA788" s="2545"/>
      <c r="AB788" s="2545"/>
      <c r="AC788" s="2545"/>
      <c r="AD788" s="2545"/>
      <c r="AE788" s="592"/>
      <c r="AF788" s="592"/>
      <c r="AG788" s="592"/>
      <c r="AH788" s="592"/>
      <c r="AI788" s="592"/>
      <c r="AJ788" s="592"/>
      <c r="AK788" s="592"/>
      <c r="AL788" s="592"/>
      <c r="AM788" s="611"/>
      <c r="AN788" s="595"/>
    </row>
    <row r="789" spans="1:81" s="549" customFormat="1" ht="12.75" customHeight="1">
      <c r="B789" s="614"/>
      <c r="C789" s="936"/>
      <c r="D789" s="659"/>
      <c r="E789" s="2545"/>
      <c r="F789" s="2545"/>
      <c r="G789" s="2545"/>
      <c r="H789" s="2545"/>
      <c r="I789" s="2545"/>
      <c r="J789" s="2545"/>
      <c r="K789" s="2545"/>
      <c r="L789" s="2545"/>
      <c r="M789" s="2545"/>
      <c r="N789" s="2545"/>
      <c r="O789" s="2545"/>
      <c r="P789" s="2545"/>
      <c r="Q789" s="2545"/>
      <c r="R789" s="2545"/>
      <c r="S789" s="2545"/>
      <c r="T789" s="2545"/>
      <c r="U789" s="2545"/>
      <c r="V789" s="2545"/>
      <c r="W789" s="2545"/>
      <c r="X789" s="2545"/>
      <c r="Y789" s="2545"/>
      <c r="Z789" s="2545"/>
      <c r="AA789" s="2545"/>
      <c r="AB789" s="2545"/>
      <c r="AC789" s="2545"/>
      <c r="AD789" s="2545"/>
      <c r="AE789" s="592"/>
      <c r="AF789" s="592"/>
      <c r="AG789" s="592"/>
      <c r="AH789" s="592"/>
      <c r="AI789" s="592"/>
      <c r="AJ789" s="592"/>
      <c r="AK789" s="592"/>
      <c r="AL789" s="592"/>
      <c r="AM789" s="611"/>
      <c r="AN789" s="595"/>
    </row>
    <row r="790" spans="1:81" s="549" customFormat="1" ht="12.75" customHeight="1">
      <c r="B790" s="614"/>
      <c r="C790" s="936"/>
      <c r="D790" s="659"/>
      <c r="E790" s="2545"/>
      <c r="F790" s="2545"/>
      <c r="G790" s="2545"/>
      <c r="H790" s="2545"/>
      <c r="I790" s="2545"/>
      <c r="J790" s="2545"/>
      <c r="K790" s="2545"/>
      <c r="L790" s="2545"/>
      <c r="M790" s="2545"/>
      <c r="N790" s="2545"/>
      <c r="O790" s="2545"/>
      <c r="P790" s="2545"/>
      <c r="Q790" s="2545"/>
      <c r="R790" s="2545"/>
      <c r="S790" s="2545"/>
      <c r="T790" s="2545"/>
      <c r="U790" s="2545"/>
      <c r="V790" s="2545"/>
      <c r="W790" s="2545"/>
      <c r="X790" s="2545"/>
      <c r="Y790" s="2545"/>
      <c r="Z790" s="2545"/>
      <c r="AA790" s="2545"/>
      <c r="AB790" s="2545"/>
      <c r="AC790" s="2545"/>
      <c r="AD790" s="254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5" t="s">
        <v>591</v>
      </c>
      <c r="I792" s="2535"/>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80">
        <f>VLOOKUP($H$792,$AO$782:$AP$784,2,FALSE)</f>
        <v>0</v>
      </c>
      <c r="AK794" s="248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72" t="s">
        <v>2640</v>
      </c>
      <c r="F798" s="2472"/>
      <c r="G798" s="2472"/>
      <c r="H798" s="2472"/>
      <c r="I798" s="2472"/>
      <c r="J798" s="2472"/>
      <c r="K798" s="2472"/>
      <c r="L798" s="2472"/>
      <c r="M798" s="2472"/>
      <c r="N798" s="2472"/>
      <c r="O798" s="2472"/>
      <c r="P798" s="2472"/>
      <c r="Q798" s="2472"/>
      <c r="R798" s="2472"/>
      <c r="S798" s="2472"/>
      <c r="T798" s="2472"/>
      <c r="U798" s="2472"/>
      <c r="V798" s="2472"/>
      <c r="W798" s="2472"/>
      <c r="X798" s="2472"/>
      <c r="Y798" s="2472"/>
      <c r="Z798" s="2472"/>
      <c r="AA798" s="2472"/>
      <c r="AB798" s="2472"/>
      <c r="AC798" s="2472"/>
      <c r="AD798" s="2472"/>
      <c r="AE798" s="536"/>
      <c r="AF798" s="2455" t="s">
        <v>1346</v>
      </c>
      <c r="AG798" s="2455"/>
      <c r="AH798" s="2455"/>
      <c r="AI798" s="2455"/>
      <c r="AJ798" s="2455"/>
      <c r="AK798" s="2455"/>
      <c r="AL798" s="2455"/>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72"/>
      <c r="F799" s="2472"/>
      <c r="G799" s="2472"/>
      <c r="H799" s="2472"/>
      <c r="I799" s="2472"/>
      <c r="J799" s="2472"/>
      <c r="K799" s="2472"/>
      <c r="L799" s="2472"/>
      <c r="M799" s="2472"/>
      <c r="N799" s="2472"/>
      <c r="O799" s="2472"/>
      <c r="P799" s="2472"/>
      <c r="Q799" s="2472"/>
      <c r="R799" s="2472"/>
      <c r="S799" s="2472"/>
      <c r="T799" s="2472"/>
      <c r="U799" s="2472"/>
      <c r="V799" s="2472"/>
      <c r="W799" s="2472"/>
      <c r="X799" s="2472"/>
      <c r="Y799" s="2472"/>
      <c r="Z799" s="2472"/>
      <c r="AA799" s="2472"/>
      <c r="AB799" s="2472"/>
      <c r="AC799" s="2472"/>
      <c r="AD799" s="247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2"/>
      <c r="F800" s="2472"/>
      <c r="G800" s="2472"/>
      <c r="H800" s="2472"/>
      <c r="I800" s="2472"/>
      <c r="J800" s="2472"/>
      <c r="K800" s="2472"/>
      <c r="L800" s="2472"/>
      <c r="M800" s="2472"/>
      <c r="N800" s="2472"/>
      <c r="O800" s="2472"/>
      <c r="P800" s="2472"/>
      <c r="Q800" s="2472"/>
      <c r="R800" s="2472"/>
      <c r="S800" s="2472"/>
      <c r="T800" s="2472"/>
      <c r="U800" s="2472"/>
      <c r="V800" s="2472"/>
      <c r="W800" s="2472"/>
      <c r="X800" s="2472"/>
      <c r="Y800" s="2472"/>
      <c r="Z800" s="2472"/>
      <c r="AA800" s="2472"/>
      <c r="AB800" s="2472"/>
      <c r="AC800" s="2472"/>
      <c r="AD800" s="247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2"/>
      <c r="F801" s="2472"/>
      <c r="G801" s="2472"/>
      <c r="H801" s="2472"/>
      <c r="I801" s="2472"/>
      <c r="J801" s="2472"/>
      <c r="K801" s="2472"/>
      <c r="L801" s="2472"/>
      <c r="M801" s="2472"/>
      <c r="N801" s="2472"/>
      <c r="O801" s="2472"/>
      <c r="P801" s="2472"/>
      <c r="Q801" s="2472"/>
      <c r="R801" s="2472"/>
      <c r="S801" s="2472"/>
      <c r="T801" s="2472"/>
      <c r="U801" s="2472"/>
      <c r="V801" s="2472"/>
      <c r="W801" s="2472"/>
      <c r="X801" s="2472"/>
      <c r="Y801" s="2472"/>
      <c r="Z801" s="2472"/>
      <c r="AA801" s="2472"/>
      <c r="AB801" s="2472"/>
      <c r="AC801" s="2472"/>
      <c r="AD801" s="247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5" t="s">
        <v>591</v>
      </c>
      <c r="I803" s="2535"/>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80">
        <f>VLOOKUP($H$803,$AO$797:$AP$798,2,FALSE)</f>
        <v>0</v>
      </c>
      <c r="AK805" s="248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72" t="s">
        <v>2602</v>
      </c>
      <c r="F809" s="2472"/>
      <c r="G809" s="2472"/>
      <c r="H809" s="2472"/>
      <c r="I809" s="2472"/>
      <c r="J809" s="2472"/>
      <c r="K809" s="2472"/>
      <c r="L809" s="2472"/>
      <c r="M809" s="2472"/>
      <c r="N809" s="2472"/>
      <c r="O809" s="2472"/>
      <c r="P809" s="2472"/>
      <c r="Q809" s="2472"/>
      <c r="R809" s="2472"/>
      <c r="S809" s="2472"/>
      <c r="T809" s="2472"/>
      <c r="U809" s="2472"/>
      <c r="V809" s="2472"/>
      <c r="W809" s="2472"/>
      <c r="X809" s="2472"/>
      <c r="Y809" s="2472"/>
      <c r="Z809" s="2472"/>
      <c r="AA809" s="2472"/>
      <c r="AB809" s="2472"/>
      <c r="AC809" s="2472"/>
      <c r="AD809" s="2472"/>
      <c r="AE809" s="550"/>
      <c r="AF809" s="2455" t="s">
        <v>1371</v>
      </c>
      <c r="AG809" s="2455"/>
      <c r="AH809" s="2455"/>
      <c r="AI809" s="2455"/>
      <c r="AJ809" s="2455"/>
      <c r="AK809" s="2455"/>
      <c r="AL809" s="2455"/>
      <c r="AN809" s="595"/>
    </row>
    <row r="810" spans="1:81" s="549" customFormat="1" ht="12.75" customHeight="1">
      <c r="B810" s="614"/>
      <c r="C810" s="684"/>
      <c r="D810" s="659"/>
      <c r="E810" s="2472"/>
      <c r="F810" s="2472"/>
      <c r="G810" s="2472"/>
      <c r="H810" s="2472"/>
      <c r="I810" s="2472"/>
      <c r="J810" s="2472"/>
      <c r="K810" s="2472"/>
      <c r="L810" s="2472"/>
      <c r="M810" s="2472"/>
      <c r="N810" s="2472"/>
      <c r="O810" s="2472"/>
      <c r="P810" s="2472"/>
      <c r="Q810" s="2472"/>
      <c r="R810" s="2472"/>
      <c r="S810" s="2472"/>
      <c r="T810" s="2472"/>
      <c r="U810" s="2472"/>
      <c r="V810" s="2472"/>
      <c r="W810" s="2472"/>
      <c r="X810" s="2472"/>
      <c r="Y810" s="2472"/>
      <c r="Z810" s="2472"/>
      <c r="AA810" s="2472"/>
      <c r="AB810" s="2472"/>
      <c r="AC810" s="2472"/>
      <c r="AD810" s="247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5" t="s">
        <v>591</v>
      </c>
      <c r="I812" s="2535"/>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80">
        <f>IF(H812="Yes",5,0)</f>
        <v>0</v>
      </c>
      <c r="AK814" s="248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80">
        <f>IF(($AJ$634+$AJ$653+$AJ$665+$AJ$700+$AJ$724+$AJ$738+$AJ$750+$AJ$766+$AJ$778+$AJ$794+AJ805+AJ814)&gt;10,10,($AJ$634+$AJ$653+$AJ$665+$AJ$700+$AJ$724+$AJ$738+$AJ$750+$AJ$766+$AJ$778+$AJ$794+AJ805+AJ814))</f>
        <v>10</v>
      </c>
      <c r="AL816" s="2481"/>
      <c r="AM816" s="248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7" t="s">
        <v>1558</v>
      </c>
      <c r="B819" s="2568"/>
      <c r="C819" s="2568"/>
      <c r="D819" s="2568"/>
      <c r="E819" s="2568"/>
      <c r="F819" s="2568"/>
      <c r="G819" s="2568"/>
      <c r="H819" s="2568"/>
      <c r="I819" s="2568"/>
      <c r="J819" s="2568"/>
      <c r="K819" s="2568"/>
      <c r="L819" s="2568"/>
      <c r="M819" s="2568"/>
      <c r="N819" s="2568"/>
      <c r="O819" s="2568"/>
      <c r="P819" s="2568"/>
      <c r="Q819" s="2568"/>
      <c r="R819" s="2568"/>
      <c r="S819" s="2568"/>
      <c r="T819" s="2568"/>
      <c r="U819" s="2568"/>
      <c r="V819" s="2568"/>
      <c r="W819" s="2568"/>
      <c r="X819" s="2568"/>
      <c r="Y819" s="2568"/>
      <c r="Z819" s="2568"/>
      <c r="AA819" s="2568"/>
      <c r="AB819" s="2568"/>
      <c r="AC819" s="2568"/>
      <c r="AD819" s="2568"/>
      <c r="AE819" s="2568"/>
      <c r="AF819" s="2568"/>
      <c r="AG819" s="2568"/>
      <c r="AH819" s="2568"/>
      <c r="AI819" s="2568"/>
      <c r="AJ819" s="2568"/>
      <c r="AK819" s="2568"/>
      <c r="AL819" s="2568"/>
      <c r="AM819" s="2568"/>
    </row>
    <row r="820" spans="1:43">
      <c r="A820" s="2569"/>
      <c r="B820" s="2569"/>
      <c r="C820" s="2569"/>
      <c r="D820" s="2569"/>
      <c r="E820" s="2569"/>
      <c r="F820" s="2569"/>
      <c r="G820" s="2569"/>
      <c r="H820" s="2569"/>
      <c r="I820" s="2569"/>
      <c r="J820" s="2569"/>
      <c r="K820" s="2569"/>
      <c r="L820" s="2569"/>
      <c r="M820" s="2569"/>
      <c r="N820" s="2569"/>
      <c r="O820" s="2569"/>
      <c r="P820" s="2569"/>
      <c r="Q820" s="2569"/>
      <c r="R820" s="2569"/>
      <c r="S820" s="2569"/>
      <c r="T820" s="2569"/>
      <c r="U820" s="2569"/>
      <c r="V820" s="2569"/>
      <c r="W820" s="2569"/>
      <c r="X820" s="2569"/>
      <c r="Y820" s="2569"/>
      <c r="Z820" s="2569"/>
      <c r="AA820" s="2569"/>
      <c r="AB820" s="2569"/>
      <c r="AC820" s="2569"/>
      <c r="AD820" s="2569"/>
      <c r="AE820" s="2569"/>
      <c r="AF820" s="2569"/>
      <c r="AG820" s="2569"/>
      <c r="AH820" s="2569"/>
      <c r="AI820" s="2569"/>
      <c r="AJ820" s="2569"/>
      <c r="AK820" s="2569"/>
      <c r="AL820" s="2569"/>
      <c r="AM820" s="256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8"/>
      <c r="B822" s="2518"/>
      <c r="C822" s="2518"/>
      <c r="D822" s="2518"/>
      <c r="E822" s="2518"/>
      <c r="F822" s="2518"/>
      <c r="G822" s="2518"/>
      <c r="H822" s="2518"/>
      <c r="I822" s="2518"/>
      <c r="J822" s="2518"/>
      <c r="K822" s="2518"/>
      <c r="L822" s="2518"/>
      <c r="M822" s="2518"/>
      <c r="N822" s="2518"/>
      <c r="O822" s="2518"/>
      <c r="P822" s="2518"/>
      <c r="Q822" s="2518"/>
      <c r="R822" s="2518"/>
      <c r="S822" s="2518"/>
      <c r="T822" s="2518"/>
      <c r="U822" s="2518"/>
      <c r="V822" s="2518"/>
      <c r="W822" s="2518"/>
      <c r="X822" s="2518"/>
      <c r="Y822" s="2518"/>
      <c r="Z822" s="2518"/>
      <c r="AA822" s="2518"/>
      <c r="AB822" s="2518"/>
      <c r="AC822" s="2518"/>
      <c r="AD822" s="2518"/>
      <c r="AE822" s="2518"/>
      <c r="AF822" s="2518"/>
      <c r="AG822" s="2518"/>
      <c r="AH822" s="2518"/>
      <c r="AI822" s="2518"/>
      <c r="AJ822" s="2518"/>
      <c r="AK822" s="2518"/>
      <c r="AL822" s="2518"/>
      <c r="AM822" s="2518"/>
      <c r="AP822" s="812"/>
      <c r="AQ822" s="812"/>
    </row>
    <row r="823" spans="1:43">
      <c r="A823" s="2518"/>
      <c r="B823" s="2518"/>
      <c r="C823" s="2518"/>
      <c r="D823" s="2518"/>
      <c r="E823" s="2518"/>
      <c r="F823" s="2518"/>
      <c r="G823" s="2518"/>
      <c r="H823" s="2518"/>
      <c r="I823" s="2518"/>
      <c r="J823" s="2518"/>
      <c r="K823" s="2518"/>
      <c r="L823" s="2518"/>
      <c r="M823" s="2518"/>
      <c r="N823" s="2518"/>
      <c r="O823" s="2518"/>
      <c r="P823" s="2518"/>
      <c r="Q823" s="2518"/>
      <c r="R823" s="2518"/>
      <c r="S823" s="2518"/>
      <c r="T823" s="2518"/>
      <c r="U823" s="2518"/>
      <c r="V823" s="2518"/>
      <c r="W823" s="2518"/>
      <c r="X823" s="2518"/>
      <c r="Y823" s="2518"/>
      <c r="Z823" s="2518"/>
      <c r="AA823" s="2518"/>
      <c r="AB823" s="2518"/>
      <c r="AC823" s="2518"/>
      <c r="AD823" s="2518"/>
      <c r="AE823" s="2518"/>
      <c r="AF823" s="2518"/>
      <c r="AG823" s="2518"/>
      <c r="AH823" s="2518"/>
      <c r="AI823" s="2518"/>
      <c r="AJ823" s="2518"/>
      <c r="AK823" s="2518"/>
      <c r="AL823" s="2518"/>
      <c r="AM823" s="251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0" t="s">
        <v>1559</v>
      </c>
      <c r="U824" s="2571"/>
      <c r="V824" s="2571"/>
      <c r="W824" s="2571"/>
      <c r="X824" s="2571"/>
      <c r="Y824" s="2572"/>
      <c r="Z824" s="2570" t="s">
        <v>1560</v>
      </c>
      <c r="AA824" s="2571"/>
      <c r="AB824" s="2571"/>
      <c r="AC824" s="2571"/>
      <c r="AD824" s="2571"/>
      <c r="AE824" s="2572"/>
      <c r="AF824" s="2570" t="s">
        <v>1561</v>
      </c>
      <c r="AG824" s="2571"/>
      <c r="AH824" s="2571"/>
      <c r="AI824" s="2571"/>
      <c r="AJ824" s="2571"/>
      <c r="AK824" s="257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3"/>
      <c r="U825" s="2574"/>
      <c r="V825" s="2574"/>
      <c r="W825" s="2574"/>
      <c r="X825" s="2574"/>
      <c r="Y825" s="2575"/>
      <c r="Z825" s="2573"/>
      <c r="AA825" s="2574"/>
      <c r="AB825" s="2574"/>
      <c r="AC825" s="2574"/>
      <c r="AD825" s="2574"/>
      <c r="AE825" s="2575"/>
      <c r="AF825" s="2573"/>
      <c r="AG825" s="2574"/>
      <c r="AH825" s="2574"/>
      <c r="AI825" s="2574"/>
      <c r="AJ825" s="2574"/>
      <c r="AK825" s="2575"/>
      <c r="AL825" s="814"/>
      <c r="AM825" s="594"/>
      <c r="AO825" s="812"/>
      <c r="AP825" s="812"/>
      <c r="AQ825" s="812"/>
    </row>
    <row r="826" spans="1:43">
      <c r="A826" s="815" t="s">
        <v>757</v>
      </c>
      <c r="B826" s="2550" t="str">
        <f>B7</f>
        <v xml:space="preserve">Acquisition/Rehabilitation Project Priorities </v>
      </c>
      <c r="C826" s="2550"/>
      <c r="D826" s="2550"/>
      <c r="E826" s="2550"/>
      <c r="F826" s="2550"/>
      <c r="G826" s="2550"/>
      <c r="H826" s="2550"/>
      <c r="I826" s="2550"/>
      <c r="J826" s="2550"/>
      <c r="K826" s="2550"/>
      <c r="L826" s="2550"/>
      <c r="M826" s="2550"/>
      <c r="N826" s="2550"/>
      <c r="O826" s="2550"/>
      <c r="P826" s="2550"/>
      <c r="Q826" s="2550"/>
      <c r="R826" s="2550"/>
      <c r="S826" s="2551"/>
      <c r="T826" s="2552">
        <f>AK61</f>
        <v>0</v>
      </c>
      <c r="U826" s="2553"/>
      <c r="V826" s="2553"/>
      <c r="W826" s="2553"/>
      <c r="X826" s="2553"/>
      <c r="Y826" s="2554"/>
      <c r="Z826" s="2555">
        <v>20</v>
      </c>
      <c r="AA826" s="2553"/>
      <c r="AB826" s="2553"/>
      <c r="AC826" s="2553"/>
      <c r="AD826" s="2553"/>
      <c r="AE826" s="2554"/>
      <c r="AF826" s="2548">
        <f>IF(T826&gt;Z826,Z826,T826)</f>
        <v>0</v>
      </c>
      <c r="AG826" s="2548"/>
      <c r="AH826" s="2548"/>
      <c r="AI826" s="2548"/>
      <c r="AJ826" s="2548"/>
      <c r="AK826" s="2548"/>
      <c r="AL826" s="814"/>
      <c r="AM826" s="594"/>
      <c r="AO826" s="812"/>
      <c r="AP826" s="812"/>
      <c r="AQ826" s="812"/>
    </row>
    <row r="827" spans="1:43">
      <c r="A827" s="815" t="s">
        <v>1532</v>
      </c>
      <c r="B827" s="2550" t="s">
        <v>1307</v>
      </c>
      <c r="C827" s="2550"/>
      <c r="D827" s="2550"/>
      <c r="E827" s="2550"/>
      <c r="F827" s="2550"/>
      <c r="G827" s="2550"/>
      <c r="H827" s="2550"/>
      <c r="I827" s="2550"/>
      <c r="J827" s="2550"/>
      <c r="K827" s="2550"/>
      <c r="L827" s="2550"/>
      <c r="M827" s="2550"/>
      <c r="N827" s="2550"/>
      <c r="O827" s="2550"/>
      <c r="P827" s="2550"/>
      <c r="Q827" s="2550"/>
      <c r="R827" s="2550"/>
      <c r="S827" s="2551"/>
      <c r="T827" s="2552">
        <f>AK83</f>
        <v>10</v>
      </c>
      <c r="U827" s="2553"/>
      <c r="V827" s="2553"/>
      <c r="W827" s="2553"/>
      <c r="X827" s="2553"/>
      <c r="Y827" s="2554"/>
      <c r="Z827" s="2555">
        <v>10</v>
      </c>
      <c r="AA827" s="2553"/>
      <c r="AB827" s="2553"/>
      <c r="AC827" s="2553"/>
      <c r="AD827" s="2553"/>
      <c r="AE827" s="2554"/>
      <c r="AF827" s="2548">
        <f>IF(T827&gt;Z827,Z827,T827)</f>
        <v>10</v>
      </c>
      <c r="AG827" s="2548"/>
      <c r="AH827" s="2548"/>
      <c r="AI827" s="2548"/>
      <c r="AJ827" s="2548"/>
      <c r="AK827" s="2548"/>
      <c r="AL827" s="814"/>
      <c r="AM827" s="594"/>
      <c r="AO827" s="812"/>
      <c r="AP827" s="812"/>
      <c r="AQ827" s="812"/>
    </row>
    <row r="828" spans="1:43">
      <c r="A828" s="815" t="s">
        <v>1541</v>
      </c>
      <c r="B828" s="2550" t="s">
        <v>1317</v>
      </c>
      <c r="C828" s="2550"/>
      <c r="D828" s="2550"/>
      <c r="E828" s="2550"/>
      <c r="F828" s="2550"/>
      <c r="G828" s="2550"/>
      <c r="H828" s="2550"/>
      <c r="I828" s="2550"/>
      <c r="J828" s="2550"/>
      <c r="K828" s="2550"/>
      <c r="L828" s="2550"/>
      <c r="M828" s="2550"/>
      <c r="N828" s="2550"/>
      <c r="O828" s="2550"/>
      <c r="P828" s="2550"/>
      <c r="Q828" s="2550"/>
      <c r="R828" s="2550"/>
      <c r="S828" s="2551"/>
      <c r="T828" s="2552">
        <f>AK108</f>
        <v>19.999999999999996</v>
      </c>
      <c r="U828" s="2553"/>
      <c r="V828" s="2553"/>
      <c r="W828" s="2553"/>
      <c r="X828" s="2553"/>
      <c r="Y828" s="2554"/>
      <c r="Z828" s="2555">
        <v>20</v>
      </c>
      <c r="AA828" s="2553"/>
      <c r="AB828" s="2553"/>
      <c r="AC828" s="2553"/>
      <c r="AD828" s="2553"/>
      <c r="AE828" s="2554"/>
      <c r="AF828" s="2548">
        <f>IF(T828&gt;Z828,Z828,T828)</f>
        <v>19.999999999999996</v>
      </c>
      <c r="AG828" s="2548"/>
      <c r="AH828" s="2548"/>
      <c r="AI828" s="2548"/>
      <c r="AJ828" s="2548"/>
      <c r="AK828" s="2548"/>
      <c r="AL828" s="814"/>
      <c r="AM828" s="594"/>
      <c r="AO828" s="812"/>
      <c r="AP828" s="812"/>
      <c r="AQ828" s="812"/>
    </row>
    <row r="829" spans="1:43">
      <c r="A829" s="815" t="s">
        <v>1562</v>
      </c>
      <c r="B829" s="2550" t="s">
        <v>1327</v>
      </c>
      <c r="C829" s="2550"/>
      <c r="D829" s="2550"/>
      <c r="E829" s="2550"/>
      <c r="F829" s="2550"/>
      <c r="G829" s="2550"/>
      <c r="H829" s="2550"/>
      <c r="I829" s="2550"/>
      <c r="J829" s="2550"/>
      <c r="K829" s="2550"/>
      <c r="L829" s="2550"/>
      <c r="M829" s="2550"/>
      <c r="N829" s="2550"/>
      <c r="O829" s="2550"/>
      <c r="P829" s="2550"/>
      <c r="Q829" s="2550"/>
      <c r="R829" s="2550"/>
      <c r="S829" s="2551"/>
      <c r="T829" s="2552">
        <f>AK142</f>
        <v>10</v>
      </c>
      <c r="U829" s="2553"/>
      <c r="V829" s="2553"/>
      <c r="W829" s="2553"/>
      <c r="X829" s="2553"/>
      <c r="Y829" s="2554"/>
      <c r="Z829" s="2555">
        <v>10</v>
      </c>
      <c r="AA829" s="2553"/>
      <c r="AB829" s="2553"/>
      <c r="AC829" s="2553"/>
      <c r="AD829" s="2553"/>
      <c r="AE829" s="2554"/>
      <c r="AF829" s="2548">
        <f>IF(T829&gt;Z829,Z829,T829)</f>
        <v>10</v>
      </c>
      <c r="AG829" s="2548"/>
      <c r="AH829" s="2548"/>
      <c r="AI829" s="2548"/>
      <c r="AJ829" s="2548"/>
      <c r="AK829" s="2548"/>
      <c r="AL829" s="814"/>
      <c r="AM829" s="594"/>
      <c r="AO829" s="812"/>
      <c r="AP829" s="812"/>
      <c r="AQ829" s="812"/>
    </row>
    <row r="830" spans="1:43">
      <c r="A830" s="816" t="s">
        <v>1563</v>
      </c>
      <c r="B830" s="2550" t="s">
        <v>1564</v>
      </c>
      <c r="C830" s="2550"/>
      <c r="D830" s="2550"/>
      <c r="E830" s="2550"/>
      <c r="F830" s="2550"/>
      <c r="G830" s="2550"/>
      <c r="H830" s="2550"/>
      <c r="I830" s="2550"/>
      <c r="J830" s="2550"/>
      <c r="K830" s="2550"/>
      <c r="L830" s="2550"/>
      <c r="M830" s="2550"/>
      <c r="N830" s="2550"/>
      <c r="O830" s="2550"/>
      <c r="P830" s="2550"/>
      <c r="Q830" s="2550"/>
      <c r="R830" s="2550"/>
      <c r="S830" s="2551"/>
      <c r="T830" s="2576">
        <f>SUM(T831:Y832)</f>
        <v>10</v>
      </c>
      <c r="U830" s="2576"/>
      <c r="V830" s="2576"/>
      <c r="W830" s="2576"/>
      <c r="X830" s="2576"/>
      <c r="Y830" s="2576"/>
      <c r="Z830" s="2548">
        <v>10</v>
      </c>
      <c r="AA830" s="2548"/>
      <c r="AB830" s="2548"/>
      <c r="AC830" s="2548"/>
      <c r="AD830" s="2548"/>
      <c r="AE830" s="2548"/>
      <c r="AF830" s="2548">
        <f>IF(T830&gt;Z830,Z830,T830)</f>
        <v>10</v>
      </c>
      <c r="AG830" s="2548"/>
      <c r="AH830" s="2548"/>
      <c r="AI830" s="2548"/>
      <c r="AJ830" s="2548"/>
      <c r="AK830" s="2548"/>
      <c r="AL830" s="814"/>
      <c r="AM830" s="594"/>
    </row>
    <row r="831" spans="1:43">
      <c r="A831" s="535"/>
      <c r="B831" s="599"/>
      <c r="C831" s="2577" t="s">
        <v>1565</v>
      </c>
      <c r="D831" s="2577"/>
      <c r="E831" s="2577"/>
      <c r="F831" s="2577"/>
      <c r="G831" s="2577"/>
      <c r="H831" s="2577"/>
      <c r="I831" s="2577"/>
      <c r="J831" s="2577"/>
      <c r="K831" s="2577"/>
      <c r="L831" s="2577"/>
      <c r="M831" s="2577"/>
      <c r="N831" s="2577"/>
      <c r="O831" s="2577"/>
      <c r="P831" s="2577"/>
      <c r="Q831" s="2577"/>
      <c r="R831" s="2577"/>
      <c r="S831" s="2578"/>
      <c r="T831" s="2469">
        <f>AJ165</f>
        <v>7</v>
      </c>
      <c r="U831" s="2469"/>
      <c r="V831" s="2469"/>
      <c r="W831" s="2469"/>
      <c r="X831" s="2469"/>
      <c r="Y831" s="2469"/>
      <c r="Z831" s="2470">
        <v>7</v>
      </c>
      <c r="AA831" s="2470"/>
      <c r="AB831" s="2470"/>
      <c r="AC831" s="2470"/>
      <c r="AD831" s="2470"/>
      <c r="AE831" s="2470"/>
      <c r="AF831" s="2579"/>
      <c r="AG831" s="2579"/>
      <c r="AH831" s="2579"/>
      <c r="AI831" s="2579"/>
      <c r="AJ831" s="2579"/>
      <c r="AK831" s="2579"/>
      <c r="AL831" s="814"/>
      <c r="AM831" s="594"/>
    </row>
    <row r="832" spans="1:43">
      <c r="A832" s="598"/>
      <c r="B832" s="599"/>
      <c r="C832" s="2577" t="s">
        <v>1566</v>
      </c>
      <c r="D832" s="2577"/>
      <c r="E832" s="2577"/>
      <c r="F832" s="2577"/>
      <c r="G832" s="2577"/>
      <c r="H832" s="2577"/>
      <c r="I832" s="2577"/>
      <c r="J832" s="2577"/>
      <c r="K832" s="2577"/>
      <c r="L832" s="2577"/>
      <c r="M832" s="2577"/>
      <c r="N832" s="2577"/>
      <c r="O832" s="2577"/>
      <c r="P832" s="2577"/>
      <c r="Q832" s="2577"/>
      <c r="R832" s="2577"/>
      <c r="S832" s="2578"/>
      <c r="T832" s="2469">
        <f>AJ179</f>
        <v>3</v>
      </c>
      <c r="U832" s="2469"/>
      <c r="V832" s="2469"/>
      <c r="W832" s="2469"/>
      <c r="X832" s="2469"/>
      <c r="Y832" s="2469"/>
      <c r="Z832" s="2470">
        <v>3</v>
      </c>
      <c r="AA832" s="2470"/>
      <c r="AB832" s="2470"/>
      <c r="AC832" s="2470"/>
      <c r="AD832" s="2470"/>
      <c r="AE832" s="2470"/>
      <c r="AF832" s="2579"/>
      <c r="AG832" s="2579"/>
      <c r="AH832" s="2579"/>
      <c r="AI832" s="2579"/>
      <c r="AJ832" s="2579"/>
      <c r="AK832" s="2579"/>
      <c r="AL832" s="814"/>
      <c r="AM832" s="594"/>
      <c r="AO832" s="549"/>
    </row>
    <row r="833" spans="1:81">
      <c r="A833" s="816" t="s">
        <v>1355</v>
      </c>
      <c r="B833" s="2550" t="s">
        <v>1567</v>
      </c>
      <c r="C833" s="2550"/>
      <c r="D833" s="2550"/>
      <c r="E833" s="2550"/>
      <c r="F833" s="2550"/>
      <c r="G833" s="2550"/>
      <c r="H833" s="2550"/>
      <c r="I833" s="2550"/>
      <c r="J833" s="2550"/>
      <c r="K833" s="2550"/>
      <c r="L833" s="2550"/>
      <c r="M833" s="2550"/>
      <c r="N833" s="2550"/>
      <c r="O833" s="2550"/>
      <c r="P833" s="2550"/>
      <c r="Q833" s="2550"/>
      <c r="R833" s="2550"/>
      <c r="S833" s="2551"/>
      <c r="T833" s="2576">
        <f>AK190</f>
        <v>10</v>
      </c>
      <c r="U833" s="2576"/>
      <c r="V833" s="2576"/>
      <c r="W833" s="2576"/>
      <c r="X833" s="2576"/>
      <c r="Y833" s="2576"/>
      <c r="Z833" s="2548">
        <v>10</v>
      </c>
      <c r="AA833" s="2548"/>
      <c r="AB833" s="2548"/>
      <c r="AC833" s="2548"/>
      <c r="AD833" s="2548"/>
      <c r="AE833" s="2548"/>
      <c r="AF833" s="2548">
        <f>IF(T833&gt;Z833,Z833,T833)</f>
        <v>10</v>
      </c>
      <c r="AG833" s="2548"/>
      <c r="AH833" s="2548"/>
      <c r="AI833" s="2548"/>
      <c r="AJ833" s="2548"/>
      <c r="AK833" s="2548"/>
      <c r="AL833" s="814"/>
      <c r="AM833" s="594"/>
    </row>
    <row r="834" spans="1:81" hidden="1">
      <c r="A834" s="815" t="s">
        <v>1363</v>
      </c>
      <c r="B834" s="2550" t="s">
        <v>1364</v>
      </c>
      <c r="C834" s="2550"/>
      <c r="D834" s="2550"/>
      <c r="E834" s="2550"/>
      <c r="F834" s="2550"/>
      <c r="G834" s="2550"/>
      <c r="H834" s="2550"/>
      <c r="I834" s="2550"/>
      <c r="J834" s="2550"/>
      <c r="K834" s="2550"/>
      <c r="L834" s="2550"/>
      <c r="M834" s="2550"/>
      <c r="N834" s="2550"/>
      <c r="O834" s="2550"/>
      <c r="P834" s="2550"/>
      <c r="Q834" s="2550"/>
      <c r="R834" s="2550"/>
      <c r="S834" s="2551"/>
      <c r="T834" s="2576">
        <f>AK272</f>
        <v>0</v>
      </c>
      <c r="U834" s="2576"/>
      <c r="V834" s="2576"/>
      <c r="W834" s="2576"/>
      <c r="X834" s="2576"/>
      <c r="Y834" s="2576"/>
      <c r="Z834" s="2555">
        <v>8</v>
      </c>
      <c r="AA834" s="2553"/>
      <c r="AB834" s="2553"/>
      <c r="AC834" s="2553"/>
      <c r="AD834" s="2553"/>
      <c r="AE834" s="2554"/>
      <c r="AF834" s="2548"/>
      <c r="AG834" s="2548"/>
      <c r="AH834" s="2548"/>
      <c r="AI834" s="2548"/>
      <c r="AJ834" s="2548"/>
      <c r="AK834" s="2548"/>
      <c r="AL834" s="814"/>
      <c r="AM834" s="594"/>
    </row>
    <row r="835" spans="1:81" s="534" customFormat="1" hidden="1">
      <c r="A835" s="816" t="s">
        <v>589</v>
      </c>
      <c r="B835" s="2550" t="s">
        <v>1568</v>
      </c>
      <c r="C835" s="2550"/>
      <c r="D835" s="2550"/>
      <c r="E835" s="2550"/>
      <c r="F835" s="2550"/>
      <c r="G835" s="2550"/>
      <c r="H835" s="2550"/>
      <c r="I835" s="2550"/>
      <c r="J835" s="2550"/>
      <c r="K835" s="2550"/>
      <c r="L835" s="2550"/>
      <c r="M835" s="2550"/>
      <c r="N835" s="2550"/>
      <c r="O835" s="2550"/>
      <c r="P835" s="2550"/>
      <c r="Q835" s="2550"/>
      <c r="R835" s="2550"/>
      <c r="S835" s="2551"/>
      <c r="T835" s="2576">
        <f>IF(AK548&gt;5,5,AK548)</f>
        <v>0</v>
      </c>
      <c r="U835" s="2576"/>
      <c r="V835" s="2576"/>
      <c r="W835" s="2576"/>
      <c r="X835" s="2576"/>
      <c r="Y835" s="2576"/>
      <c r="Z835" s="2548">
        <v>5</v>
      </c>
      <c r="AA835" s="2548"/>
      <c r="AB835" s="2548"/>
      <c r="AC835" s="2548"/>
      <c r="AD835" s="2548"/>
      <c r="AE835" s="2548"/>
      <c r="AF835" s="2548"/>
      <c r="AG835" s="2548"/>
      <c r="AH835" s="2548"/>
      <c r="AI835" s="2548"/>
      <c r="AJ835" s="2548"/>
      <c r="AK835" s="254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0" t="str">
        <f>B275</f>
        <v>Readiness to Proceed</v>
      </c>
      <c r="C836" s="2550"/>
      <c r="D836" s="2550"/>
      <c r="E836" s="2550"/>
      <c r="F836" s="2550"/>
      <c r="G836" s="2550"/>
      <c r="H836" s="2550"/>
      <c r="I836" s="2550"/>
      <c r="J836" s="2550"/>
      <c r="K836" s="2550"/>
      <c r="L836" s="2550"/>
      <c r="M836" s="2550"/>
      <c r="N836" s="2550"/>
      <c r="O836" s="2550"/>
      <c r="P836" s="2550"/>
      <c r="Q836" s="2550"/>
      <c r="R836" s="2550"/>
      <c r="S836" s="2551"/>
      <c r="T836" s="2576">
        <f>AK298</f>
        <v>10</v>
      </c>
      <c r="U836" s="2576"/>
      <c r="V836" s="2576"/>
      <c r="W836" s="2576"/>
      <c r="X836" s="2576"/>
      <c r="Y836" s="2576"/>
      <c r="Z836" s="2548">
        <v>10</v>
      </c>
      <c r="AA836" s="2548"/>
      <c r="AB836" s="2548"/>
      <c r="AC836" s="2548"/>
      <c r="AD836" s="2548"/>
      <c r="AE836" s="2548"/>
      <c r="AF836" s="2581">
        <f>IF(T836&gt;Z836,Z836,T836)</f>
        <v>10</v>
      </c>
      <c r="AG836" s="2582"/>
      <c r="AH836" s="2582"/>
      <c r="AI836" s="2582"/>
      <c r="AJ836" s="2582"/>
      <c r="AK836" s="258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0" t="str">
        <f>B301</f>
        <v>Access to Opportunity</v>
      </c>
      <c r="C837" s="2550"/>
      <c r="D837" s="2550"/>
      <c r="E837" s="2550"/>
      <c r="F837" s="2550"/>
      <c r="G837" s="2550"/>
      <c r="H837" s="2550"/>
      <c r="I837" s="2550"/>
      <c r="J837" s="2550"/>
      <c r="K837" s="2550"/>
      <c r="L837" s="2550"/>
      <c r="M837" s="2550"/>
      <c r="N837" s="2550"/>
      <c r="O837" s="2550"/>
      <c r="P837" s="2550"/>
      <c r="Q837" s="2550"/>
      <c r="R837" s="2550"/>
      <c r="S837" s="2551"/>
      <c r="T837" s="2576">
        <f>AK351</f>
        <v>9</v>
      </c>
      <c r="U837" s="2576"/>
      <c r="V837" s="2576"/>
      <c r="W837" s="2576"/>
      <c r="X837" s="2576"/>
      <c r="Y837" s="2576"/>
      <c r="Z837" s="2581">
        <v>10</v>
      </c>
      <c r="AA837" s="2582"/>
      <c r="AB837" s="2582"/>
      <c r="AC837" s="2582"/>
      <c r="AD837" s="2582"/>
      <c r="AE837" s="2583"/>
      <c r="AF837" s="2581">
        <f>IF(T837&gt;Z837,Z837,T837)</f>
        <v>9</v>
      </c>
      <c r="AG837" s="2582"/>
      <c r="AH837" s="2582"/>
      <c r="AI837" s="2582"/>
      <c r="AJ837" s="2582"/>
      <c r="AK837" s="258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9">
        <f>AK351</f>
        <v>9</v>
      </c>
      <c r="U838" s="2469"/>
      <c r="V838" s="2469"/>
      <c r="W838" s="2469"/>
      <c r="X838" s="2469"/>
      <c r="Y838" s="2469"/>
      <c r="Z838" s="2480">
        <v>20</v>
      </c>
      <c r="AA838" s="2481"/>
      <c r="AB838" s="2481"/>
      <c r="AC838" s="2481"/>
      <c r="AD838" s="2481"/>
      <c r="AE838" s="2482"/>
      <c r="AF838" s="2579"/>
      <c r="AG838" s="2579"/>
      <c r="AH838" s="2579"/>
      <c r="AI838" s="2579"/>
      <c r="AJ838" s="2579"/>
      <c r="AK838" s="257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0" t="s">
        <v>845</v>
      </c>
      <c r="C839" s="2550"/>
      <c r="D839" s="2550"/>
      <c r="E839" s="2550"/>
      <c r="F839" s="2550"/>
      <c r="G839" s="2550"/>
      <c r="H839" s="2550"/>
      <c r="I839" s="2550"/>
      <c r="J839" s="2550"/>
      <c r="K839" s="2550"/>
      <c r="L839" s="2550"/>
      <c r="M839" s="2550"/>
      <c r="N839" s="2550"/>
      <c r="O839" s="2550"/>
      <c r="P839" s="2550"/>
      <c r="Q839" s="2550"/>
      <c r="R839" s="2550"/>
      <c r="S839" s="2551"/>
      <c r="T839" s="2576">
        <f>AK482</f>
        <v>10</v>
      </c>
      <c r="U839" s="2576"/>
      <c r="V839" s="2576"/>
      <c r="W839" s="2576"/>
      <c r="X839" s="2576"/>
      <c r="Y839" s="2576"/>
      <c r="Z839" s="2581">
        <v>10</v>
      </c>
      <c r="AA839" s="2582"/>
      <c r="AB839" s="2582"/>
      <c r="AC839" s="2582"/>
      <c r="AD839" s="2582"/>
      <c r="AE839" s="2583"/>
      <c r="AF839" s="2548">
        <f>IF(T839&gt;Z839,Z839,T839)</f>
        <v>10</v>
      </c>
      <c r="AG839" s="2548"/>
      <c r="AH839" s="2548"/>
      <c r="AI839" s="2548"/>
      <c r="AJ839" s="2548"/>
      <c r="AK839" s="254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0" t="s">
        <v>1550</v>
      </c>
      <c r="C840" s="2550"/>
      <c r="D840" s="2550"/>
      <c r="E840" s="2550"/>
      <c r="F840" s="2550"/>
      <c r="G840" s="2550"/>
      <c r="H840" s="2550"/>
      <c r="I840" s="2550"/>
      <c r="J840" s="2550"/>
      <c r="K840" s="2550"/>
      <c r="L840" s="2550"/>
      <c r="M840" s="2550"/>
      <c r="N840" s="2550"/>
      <c r="O840" s="2550"/>
      <c r="P840" s="2550"/>
      <c r="Q840" s="2550"/>
      <c r="R840" s="2550"/>
      <c r="S840" s="2551"/>
      <c r="T840" s="2576">
        <f>AK572</f>
        <v>12</v>
      </c>
      <c r="U840" s="2576"/>
      <c r="V840" s="2576"/>
      <c r="W840" s="2576"/>
      <c r="X840" s="2576"/>
      <c r="Y840" s="2576"/>
      <c r="Z840" s="2581">
        <v>12</v>
      </c>
      <c r="AA840" s="2582"/>
      <c r="AB840" s="2582"/>
      <c r="AC840" s="2582"/>
      <c r="AD840" s="2582"/>
      <c r="AE840" s="2583"/>
      <c r="AF840" s="2548">
        <f>IF(T840&gt;Z840,Z840,T840)</f>
        <v>12</v>
      </c>
      <c r="AG840" s="2548"/>
      <c r="AH840" s="2548"/>
      <c r="AI840" s="2548"/>
      <c r="AJ840" s="2548"/>
      <c r="AK840" s="254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0" t="s">
        <v>1570</v>
      </c>
      <c r="C841" s="2550"/>
      <c r="D841" s="2550"/>
      <c r="E841" s="2550"/>
      <c r="F841" s="2550"/>
      <c r="G841" s="2550"/>
      <c r="H841" s="2550"/>
      <c r="I841" s="2550"/>
      <c r="J841" s="2550"/>
      <c r="K841" s="2550"/>
      <c r="L841" s="2550"/>
      <c r="M841" s="2550"/>
      <c r="N841" s="2550"/>
      <c r="O841" s="2550"/>
      <c r="P841" s="2550"/>
      <c r="Q841" s="2550"/>
      <c r="R841" s="2550"/>
      <c r="S841" s="2551"/>
      <c r="T841" s="2576">
        <f>AK816</f>
        <v>10</v>
      </c>
      <c r="U841" s="2576"/>
      <c r="V841" s="2576"/>
      <c r="W841" s="2576"/>
      <c r="X841" s="2576"/>
      <c r="Y841" s="2576"/>
      <c r="Z841" s="2581">
        <v>10</v>
      </c>
      <c r="AA841" s="2582"/>
      <c r="AB841" s="2582"/>
      <c r="AC841" s="2582"/>
      <c r="AD841" s="2582"/>
      <c r="AE841" s="2583"/>
      <c r="AF841" s="2548">
        <f>IF(T841&gt;Z841,Z841,T841)</f>
        <v>10</v>
      </c>
      <c r="AG841" s="2548"/>
      <c r="AH841" s="2548"/>
      <c r="AI841" s="2548"/>
      <c r="AJ841" s="2548"/>
      <c r="AK841" s="254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80"/>
      <c r="U842" s="2580"/>
      <c r="V842" s="2580"/>
      <c r="W842" s="2580"/>
      <c r="X842" s="2580"/>
      <c r="Y842" s="2580"/>
      <c r="Z842" s="2470" t="s">
        <v>1572</v>
      </c>
      <c r="AA842" s="2470"/>
      <c r="AB842" s="2470"/>
      <c r="AC842" s="2470"/>
      <c r="AD842" s="2470"/>
      <c r="AE842" s="2470"/>
      <c r="AF842" s="2581">
        <f>ABS(T842)</f>
        <v>0</v>
      </c>
      <c r="AG842" s="2582"/>
      <c r="AH842" s="2582"/>
      <c r="AI842" s="2582"/>
      <c r="AJ842" s="2582"/>
      <c r="AK842" s="258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4" t="s">
        <v>1573</v>
      </c>
      <c r="B843" s="2585"/>
      <c r="C843" s="2585"/>
      <c r="D843" s="2585"/>
      <c r="E843" s="2585"/>
      <c r="F843" s="2585"/>
      <c r="G843" s="2585"/>
      <c r="H843" s="2585"/>
      <c r="I843" s="2585"/>
      <c r="J843" s="2585"/>
      <c r="K843" s="2585"/>
      <c r="L843" s="2585"/>
      <c r="M843" s="2585"/>
      <c r="N843" s="2585"/>
      <c r="O843" s="2585"/>
      <c r="P843" s="2585"/>
      <c r="Q843" s="2585"/>
      <c r="R843" s="2585"/>
      <c r="S843" s="2585"/>
      <c r="T843" s="2585"/>
      <c r="U843" s="2585"/>
      <c r="V843" s="2585"/>
      <c r="W843" s="2585"/>
      <c r="X843" s="2585"/>
      <c r="Y843" s="2585"/>
      <c r="Z843" s="2585"/>
      <c r="AA843" s="2585"/>
      <c r="AB843" s="2585"/>
      <c r="AC843" s="2585"/>
      <c r="AD843" s="2585"/>
      <c r="AE843" s="2586"/>
      <c r="AF843" s="2590">
        <f>SUM(AF826:AK841)-AF842</f>
        <v>111</v>
      </c>
      <c r="AG843" s="2591"/>
      <c r="AH843" s="2591"/>
      <c r="AI843" s="2591"/>
      <c r="AJ843" s="2591"/>
      <c r="AK843" s="259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7"/>
      <c r="B844" s="2588"/>
      <c r="C844" s="2588"/>
      <c r="D844" s="2588"/>
      <c r="E844" s="2588"/>
      <c r="F844" s="2588"/>
      <c r="G844" s="2588"/>
      <c r="H844" s="2588"/>
      <c r="I844" s="2588"/>
      <c r="J844" s="2588"/>
      <c r="K844" s="2588"/>
      <c r="L844" s="2588"/>
      <c r="M844" s="2588"/>
      <c r="N844" s="2588"/>
      <c r="O844" s="2588"/>
      <c r="P844" s="2588"/>
      <c r="Q844" s="2588"/>
      <c r="R844" s="2588"/>
      <c r="S844" s="2588"/>
      <c r="T844" s="2588"/>
      <c r="U844" s="2588"/>
      <c r="V844" s="2588"/>
      <c r="W844" s="2588"/>
      <c r="X844" s="2588"/>
      <c r="Y844" s="2588"/>
      <c r="Z844" s="2588"/>
      <c r="AA844" s="2588"/>
      <c r="AB844" s="2588"/>
      <c r="AC844" s="2588"/>
      <c r="AD844" s="2588"/>
      <c r="AE844" s="2589"/>
      <c r="AF844" s="2593"/>
      <c r="AG844" s="2594"/>
      <c r="AH844" s="2594"/>
      <c r="AI844" s="2594"/>
      <c r="AJ844" s="2594"/>
      <c r="AK844" s="259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2026-01-19T19:16:19Z</cp:lastPrinted>
  <dcterms:created xsi:type="dcterms:W3CDTF">2007-12-27T18:26:28Z</dcterms:created>
  <dcterms:modified xsi:type="dcterms:W3CDTF">2026-01-30T17:26:37Z</dcterms:modified>
</cp:coreProperties>
</file>