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showInkAnnotation="0" codeName="ThisWorkbook" defaultThemeVersion="124226"/>
  <mc:AlternateContent xmlns:mc="http://schemas.openxmlformats.org/markup-compatibility/2006">
    <mc:Choice Requires="x15">
      <x15ac:absPath xmlns:x15ac="http://schemas.microsoft.com/office/spreadsheetml/2010/11/ac" url="S:\1200 Main - Santa Ana - Arden\3.3 CDLAC\1200 Main - CDLAC R1\Ready For Review\"/>
    </mc:Choice>
  </mc:AlternateContent>
  <xr:revisionPtr revIDLastSave="0" documentId="13_ncr:1_{68557603-5764-4276-93E1-21D0DDB6701C}"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24450" yWindow="3945" windowWidth="22725" windowHeight="13050" tabRatio="889" firstSheet="2" activeTab="4"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736" i="3" l="1"/>
  <c r="O735" i="3"/>
  <c r="O734" i="3"/>
  <c r="E92" i="4"/>
  <c r="R92" i="4" s="1"/>
  <c r="E91" i="4"/>
  <c r="R91" i="4" s="1"/>
  <c r="E90" i="4"/>
  <c r="R90" i="4" s="1"/>
  <c r="E89" i="4"/>
  <c r="R89" i="4" s="1"/>
  <c r="E88" i="4"/>
  <c r="R88" i="4" s="1"/>
  <c r="E80" i="4"/>
  <c r="R80" i="4" s="1"/>
  <c r="E79" i="4"/>
  <c r="R79" i="4" s="1"/>
  <c r="E75" i="4"/>
  <c r="E66" i="4"/>
  <c r="E65" i="4"/>
  <c r="R65" i="4" s="1"/>
  <c r="E56" i="4"/>
  <c r="R56" i="4" s="1"/>
  <c r="R49" i="4"/>
  <c r="R46" i="4"/>
  <c r="E4" i="4"/>
  <c r="E8" i="4" s="1"/>
  <c r="W865" i="3"/>
  <c r="W870" i="3" s="1"/>
  <c r="E18" i="7" s="1"/>
  <c r="G18" i="7" s="1"/>
  <c r="I18" i="7" s="1"/>
  <c r="K18" i="7" s="1"/>
  <c r="M18" i="7" s="1"/>
  <c r="O18" i="7" s="1"/>
  <c r="Q18" i="7" s="1"/>
  <c r="S18" i="7" s="1"/>
  <c r="U18" i="7" s="1"/>
  <c r="W18" i="7" s="1"/>
  <c r="Y18" i="7" s="1"/>
  <c r="AA18" i="7" s="1"/>
  <c r="AC18" i="7" s="1"/>
  <c r="AE18" i="7" s="1"/>
  <c r="AG18" i="7" s="1"/>
  <c r="C83" i="4"/>
  <c r="B83" i="13" s="1"/>
  <c r="Z824" i="3"/>
  <c r="Z825" i="3" s="1"/>
  <c r="AC895" i="3"/>
  <c r="AF635" i="3"/>
  <c r="E40" i="7" s="1"/>
  <c r="S99" i="4"/>
  <c r="S104" i="4" s="1"/>
  <c r="S91" i="4"/>
  <c r="E91" i="13" s="1"/>
  <c r="S90" i="4"/>
  <c r="E90" i="13" s="1"/>
  <c r="S89" i="4"/>
  <c r="E89" i="13" s="1"/>
  <c r="S80" i="4"/>
  <c r="E80" i="13" s="1"/>
  <c r="S79" i="4"/>
  <c r="S66" i="4"/>
  <c r="S65" i="4"/>
  <c r="E65" i="13" s="1"/>
  <c r="S35" i="4"/>
  <c r="E35" i="13" s="1"/>
  <c r="S31" i="4"/>
  <c r="E31" i="13" s="1"/>
  <c r="S30" i="4"/>
  <c r="E30" i="13" s="1"/>
  <c r="F35" i="4"/>
  <c r="E35" i="4" s="1"/>
  <c r="R35" i="4" s="1"/>
  <c r="F31" i="4"/>
  <c r="F30" i="4"/>
  <c r="E30" i="4" s="1"/>
  <c r="C32" i="4"/>
  <c r="C33" i="11" s="1"/>
  <c r="C40" i="4"/>
  <c r="C43" i="4" s="1"/>
  <c r="S43" i="4" s="1"/>
  <c r="E43" i="13" s="1"/>
  <c r="C86" i="4"/>
  <c r="E86" i="4" s="1"/>
  <c r="R86" i="4" s="1"/>
  <c r="W861" i="3"/>
  <c r="W862" i="3"/>
  <c r="AA927" i="3"/>
  <c r="AF842" i="20"/>
  <c r="AJ814" i="20"/>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I14" i="21"/>
  <c r="G75" i="21"/>
  <c r="G72" i="21"/>
  <c r="G68" i="21"/>
  <c r="G67" i="21"/>
  <c r="A841" i="20"/>
  <c r="A840" i="20"/>
  <c r="A839" i="20"/>
  <c r="A837" i="20"/>
  <c r="B836" i="20"/>
  <c r="A836" i="20"/>
  <c r="B826" i="20"/>
  <c r="B837" i="20"/>
  <c r="AK298" i="20"/>
  <c r="T836" i="20" s="1"/>
  <c r="AF836" i="20" s="1"/>
  <c r="BE78" i="3" s="1"/>
  <c r="AO68" i="20"/>
  <c r="AO70" i="20"/>
  <c r="AO69" i="20"/>
  <c r="AO67" i="20"/>
  <c r="AO55" i="20"/>
  <c r="AO56" i="20"/>
  <c r="AO31" i="20"/>
  <c r="AO45" i="20"/>
  <c r="AO44" i="20"/>
  <c r="AO46" i="20"/>
  <c r="AO43" i="20"/>
  <c r="AO21" i="20"/>
  <c r="AO33" i="20"/>
  <c r="AO32" i="20"/>
  <c r="AO30" i="20"/>
  <c r="AO26" i="20"/>
  <c r="BE106" i="3"/>
  <c r="BE107" i="3"/>
  <c r="BE108" i="3"/>
  <c r="BE109" i="3"/>
  <c r="BE110" i="3"/>
  <c r="BE105" i="3"/>
  <c r="BE64" i="3"/>
  <c r="Y229" i="3"/>
  <c r="Z229" i="3" s="1"/>
  <c r="Y228" i="3"/>
  <c r="Z228" i="3" s="1"/>
  <c r="Y227" i="3"/>
  <c r="Z227" i="3" s="1"/>
  <c r="Y226" i="3"/>
  <c r="Z226" i="3" s="1"/>
  <c r="Y225" i="3"/>
  <c r="Z225" i="3" s="1"/>
  <c r="G154" i="21"/>
  <c r="AW927" i="3"/>
  <c r="BE104" i="3"/>
  <c r="AD67" i="15"/>
  <c r="Y67" i="15"/>
  <c r="BE103" i="3"/>
  <c r="W888" i="3"/>
  <c r="E21" i="7" s="1"/>
  <c r="W855" i="3"/>
  <c r="E15" i="7" s="1"/>
  <c r="G15" i="7" s="1"/>
  <c r="I15" i="7" s="1"/>
  <c r="W881" i="3"/>
  <c r="E20" i="7" s="1"/>
  <c r="G20" i="7" s="1"/>
  <c r="I20" i="7" s="1"/>
  <c r="K20" i="7" s="1"/>
  <c r="M20" i="7" s="1"/>
  <c r="O20" i="7" s="1"/>
  <c r="Q20" i="7" s="1"/>
  <c r="S20" i="7" s="1"/>
  <c r="U20" i="7" s="1"/>
  <c r="W20" i="7" s="1"/>
  <c r="Y20" i="7" s="1"/>
  <c r="AA20" i="7" s="1"/>
  <c r="AC20" i="7" s="1"/>
  <c r="AE20" i="7" s="1"/>
  <c r="AG20" i="7" s="1"/>
  <c r="L44" i="21"/>
  <c r="M44" i="21"/>
  <c r="R44" i="21" s="1" a="1"/>
  <c r="R44" i="21" s="1"/>
  <c r="N44" i="21"/>
  <c r="L45" i="21"/>
  <c r="M45" i="21"/>
  <c r="O45" i="21" s="1"/>
  <c r="N45" i="21"/>
  <c r="L46" i="21"/>
  <c r="M46" i="21"/>
  <c r="P46" i="21" s="1" a="1"/>
  <c r="P46" i="21" s="1"/>
  <c r="N46" i="21"/>
  <c r="L47" i="21"/>
  <c r="M47" i="21"/>
  <c r="O47" i="21" s="1"/>
  <c r="N47" i="21"/>
  <c r="L48" i="21"/>
  <c r="M48" i="21"/>
  <c r="O48" i="21" s="1"/>
  <c r="N48" i="21"/>
  <c r="L49" i="21"/>
  <c r="M49" i="21"/>
  <c r="N49" i="21"/>
  <c r="L50" i="21"/>
  <c r="M50" i="21"/>
  <c r="P50" i="21" s="1" a="1"/>
  <c r="P50" i="21" s="1"/>
  <c r="N50" i="21"/>
  <c r="L51" i="21"/>
  <c r="M51" i="21"/>
  <c r="O51" i="21" s="1"/>
  <c r="N51" i="21"/>
  <c r="L52" i="21"/>
  <c r="M52" i="21"/>
  <c r="O52" i="21" s="1"/>
  <c r="N52" i="21"/>
  <c r="L53" i="21"/>
  <c r="M53" i="21"/>
  <c r="N53" i="21"/>
  <c r="L54" i="21"/>
  <c r="M54" i="21"/>
  <c r="U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BE63"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c r="BA1049" i="3"/>
  <c r="BA1055" i="3" s="1"/>
  <c r="CG726" i="3"/>
  <c r="CI726" i="3" s="1"/>
  <c r="BA1047" i="3"/>
  <c r="AZ1057" i="3"/>
  <c r="AZ1054" i="3"/>
  <c r="AZ1058" i="3" s="1"/>
  <c r="BA1061" i="3"/>
  <c r="BH256" i="3"/>
  <c r="T212" i="3"/>
  <c r="G100" i="21"/>
  <c r="B96" i="21"/>
  <c r="B81" i="21"/>
  <c r="B106" i="21"/>
  <c r="B49" i="21"/>
  <c r="B58" i="21"/>
  <c r="C5" i="7"/>
  <c r="P18" i="21"/>
  <c r="AG453" i="3"/>
  <c r="AG450" i="3"/>
  <c r="BN150" i="3"/>
  <c r="C177" i="20"/>
  <c r="U387" i="20"/>
  <c r="AJ724" i="20"/>
  <c r="L90" i="21"/>
  <c r="X760" i="3"/>
  <c r="AH760" i="3"/>
  <c r="BF759" i="3"/>
  <c r="BS759" i="3"/>
  <c r="BS760" i="3"/>
  <c r="AJ1029" i="3"/>
  <c r="BF748" i="3"/>
  <c r="AH759" i="3"/>
  <c r="AH750" i="3"/>
  <c r="AY1036" i="3"/>
  <c r="G761" i="3"/>
  <c r="AX703" i="20" s="1"/>
  <c r="AX702" i="20"/>
  <c r="AJ738" i="20"/>
  <c r="AO610" i="20"/>
  <c r="AP596" i="20"/>
  <c r="BS750" i="3"/>
  <c r="BS751" i="3"/>
  <c r="BS752" i="3"/>
  <c r="BS753" i="3"/>
  <c r="BS754" i="3"/>
  <c r="BS755" i="3"/>
  <c r="BS756" i="3"/>
  <c r="BS757" i="3"/>
  <c r="BS758" i="3"/>
  <c r="BF750" i="3"/>
  <c r="BF751" i="3"/>
  <c r="BF752" i="3"/>
  <c r="BF753" i="3"/>
  <c r="BF754" i="3"/>
  <c r="BF755" i="3"/>
  <c r="BF756" i="3"/>
  <c r="BF757" i="3"/>
  <c r="BF758" i="3"/>
  <c r="BF749" i="3"/>
  <c r="BF760"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c r="AH758" i="3"/>
  <c r="AH757" i="3"/>
  <c r="AH756" i="3"/>
  <c r="AH755" i="3"/>
  <c r="AH754" i="3"/>
  <c r="AH753" i="3"/>
  <c r="AH752" i="3"/>
  <c r="AH751" i="3"/>
  <c r="AH749" i="3"/>
  <c r="AH748" i="3"/>
  <c r="AH747" i="3"/>
  <c r="AH746" i="3"/>
  <c r="AH745" i="3"/>
  <c r="AH744" i="3"/>
  <c r="AH743" i="3"/>
  <c r="AH742" i="3"/>
  <c r="AH741" i="3"/>
  <c r="AH740" i="3"/>
  <c r="AH739"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c r="X751" i="3"/>
  <c r="X752" i="3"/>
  <c r="X753" i="3"/>
  <c r="X754" i="3"/>
  <c r="X755" i="3"/>
  <c r="X756" i="3"/>
  <c r="X757" i="3"/>
  <c r="X758" i="3"/>
  <c r="X759" i="3"/>
  <c r="AJ179" i="20"/>
  <c r="T832" i="20" s="1"/>
  <c r="AJ165" i="20"/>
  <c r="T831" i="20" s="1"/>
  <c r="AP306" i="20"/>
  <c r="AJ1034" i="3"/>
  <c r="A33" i="7"/>
  <c r="A32" i="7"/>
  <c r="AT636" i="3"/>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A40" i="7"/>
  <c r="E33" i="7"/>
  <c r="G33" i="7" s="1"/>
  <c r="I33" i="7" s="1"/>
  <c r="K33" i="7" s="1"/>
  <c r="M33" i="7" s="1"/>
  <c r="O33" i="7" s="1"/>
  <c r="Q33" i="7" s="1"/>
  <c r="S33" i="7" s="1"/>
  <c r="U33" i="7" s="1"/>
  <c r="W33" i="7" s="1"/>
  <c r="Y33" i="7" s="1"/>
  <c r="AA33" i="7" s="1"/>
  <c r="AC33" i="7" s="1"/>
  <c r="AE33" i="7" s="1"/>
  <c r="AG33" i="7" s="1"/>
  <c r="E32" i="7"/>
  <c r="G32" i="7" s="1"/>
  <c r="I32" i="7" s="1"/>
  <c r="K32" i="7" s="1"/>
  <c r="M32" i="7" s="1"/>
  <c r="O32" i="7" s="1"/>
  <c r="Q32" i="7" s="1"/>
  <c r="S32" i="7" s="1"/>
  <c r="U32" i="7" s="1"/>
  <c r="W32" i="7" s="1"/>
  <c r="Y32" i="7" s="1"/>
  <c r="AA32" i="7" s="1"/>
  <c r="AC32" i="7" s="1"/>
  <c r="AE32" i="7" s="1"/>
  <c r="AG32" i="7" s="1"/>
  <c r="E31" i="7"/>
  <c r="G31" i="7" s="1"/>
  <c r="I31" i="7" s="1"/>
  <c r="K31" i="7" s="1"/>
  <c r="M31" i="7" s="1"/>
  <c r="O31" i="7" s="1"/>
  <c r="Q31" i="7" s="1"/>
  <c r="S31" i="7" s="1"/>
  <c r="U31" i="7" s="1"/>
  <c r="W31" i="7" s="1"/>
  <c r="Y31" i="7" s="1"/>
  <c r="AA31" i="7" s="1"/>
  <c r="AC31" i="7" s="1"/>
  <c r="AE31" i="7" s="1"/>
  <c r="AG31" i="7" s="1"/>
  <c r="E30" i="7"/>
  <c r="G30" i="7" s="1"/>
  <c r="I30" i="7" s="1"/>
  <c r="K30" i="7" s="1"/>
  <c r="M30" i="7" s="1"/>
  <c r="O30" i="7" s="1"/>
  <c r="Q30" i="7" s="1"/>
  <c r="S30" i="7" s="1"/>
  <c r="U30" i="7" s="1"/>
  <c r="W30" i="7" s="1"/>
  <c r="Y30" i="7" s="1"/>
  <c r="AA30" i="7" s="1"/>
  <c r="AC30" i="7" s="1"/>
  <c r="AE30" i="7" s="1"/>
  <c r="AG30" i="7" s="1"/>
  <c r="E29" i="7"/>
  <c r="AC29" i="7" s="1"/>
  <c r="E28" i="7"/>
  <c r="S28" i="7" s="1"/>
  <c r="E27" i="7"/>
  <c r="G27" i="7" s="1"/>
  <c r="I27" i="7" s="1"/>
  <c r="K27" i="7" s="1"/>
  <c r="M27" i="7" s="1"/>
  <c r="O27" i="7" s="1"/>
  <c r="Q27" i="7" s="1"/>
  <c r="S27" i="7" s="1"/>
  <c r="U27" i="7" s="1"/>
  <c r="W27" i="7" s="1"/>
  <c r="Y27" i="7" s="1"/>
  <c r="AA27" i="7" s="1"/>
  <c r="AC27" i="7" s="1"/>
  <c r="AE27" i="7" s="1"/>
  <c r="AG27" i="7" s="1"/>
  <c r="E26" i="7"/>
  <c r="G26" i="7" s="1"/>
  <c r="I26" i="7" s="1"/>
  <c r="K26" i="7" s="1"/>
  <c r="M26" i="7" s="1"/>
  <c r="O26" i="7" s="1"/>
  <c r="Q26" i="7" s="1"/>
  <c r="S26" i="7" s="1"/>
  <c r="U26" i="7" s="1"/>
  <c r="W26" i="7" s="1"/>
  <c r="Y26" i="7" s="1"/>
  <c r="AA26" i="7" s="1"/>
  <c r="AC26" i="7" s="1"/>
  <c r="AE26" i="7" s="1"/>
  <c r="AG26" i="7" s="1"/>
  <c r="E16" i="7"/>
  <c r="G16" i="7" s="1"/>
  <c r="I16" i="7" s="1"/>
  <c r="K16" i="7" s="1"/>
  <c r="M16" i="7" s="1"/>
  <c r="O16" i="7" s="1"/>
  <c r="Q16" i="7" s="1"/>
  <c r="S16" i="7" s="1"/>
  <c r="U16" i="7" s="1"/>
  <c r="W16" i="7" s="1"/>
  <c r="Y16" i="7" s="1"/>
  <c r="AA16" i="7" s="1"/>
  <c r="AC16" i="7" s="1"/>
  <c r="AE16" i="7" s="1"/>
  <c r="AG16" i="7" s="1"/>
  <c r="E19" i="7"/>
  <c r="G19" i="7" s="1"/>
  <c r="I19" i="7" s="1"/>
  <c r="K19" i="7" s="1"/>
  <c r="M19" i="7" s="1"/>
  <c r="O19" i="7" s="1"/>
  <c r="Q19" i="7" s="1"/>
  <c r="S19" i="7" s="1"/>
  <c r="U19" i="7" s="1"/>
  <c r="W19" i="7" s="1"/>
  <c r="Y19" i="7" s="1"/>
  <c r="AA19" i="7" s="1"/>
  <c r="AC19" i="7" s="1"/>
  <c r="AE19" i="7" s="1"/>
  <c r="AG19" i="7" s="1"/>
  <c r="AC781" i="3"/>
  <c r="AC782" i="3"/>
  <c r="AC783" i="3"/>
  <c r="AC784" i="3"/>
  <c r="AC795" i="3"/>
  <c r="AC796" i="3"/>
  <c r="AC797" i="3"/>
  <c r="AC798" i="3"/>
  <c r="AC799" i="3"/>
  <c r="AC800" i="3"/>
  <c r="AC801" i="3"/>
  <c r="AC802" i="3"/>
  <c r="AC803" i="3"/>
  <c r="AC804" i="3"/>
  <c r="T25" i="15"/>
  <c r="AD7" i="15" s="1"/>
  <c r="DG122" i="3"/>
  <c r="R997" i="3" s="1"/>
  <c r="CP726" i="3"/>
  <c r="CP727" i="3"/>
  <c r="CP728" i="3"/>
  <c r="CP729" i="3"/>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DU798" i="3" s="1"/>
  <c r="CP799" i="3"/>
  <c r="DU799" i="3" s="1"/>
  <c r="CP800" i="3"/>
  <c r="DU800" i="3" s="1"/>
  <c r="CP801" i="3"/>
  <c r="DU801" i="3" s="1"/>
  <c r="CP802" i="3"/>
  <c r="DU802" i="3" s="1"/>
  <c r="CP803" i="3"/>
  <c r="DU803" i="3" s="1"/>
  <c r="CP804" i="3"/>
  <c r="DU804" i="3" s="1"/>
  <c r="CU726" i="3"/>
  <c r="CU727" i="3"/>
  <c r="FE727" i="3" s="1"/>
  <c r="CU728" i="3"/>
  <c r="FE728" i="3" s="1"/>
  <c r="CU729" i="3"/>
  <c r="FE729" i="3" s="1"/>
  <c r="CU730" i="3"/>
  <c r="CU731" i="3"/>
  <c r="CU732" i="3"/>
  <c r="CU733" i="3"/>
  <c r="CU734" i="3"/>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CZ727" i="3"/>
  <c r="FJ727" i="3" s="1"/>
  <c r="CZ728" i="3"/>
  <c r="FJ728" i="3" s="1"/>
  <c r="CZ729" i="3"/>
  <c r="FJ729" i="3" s="1"/>
  <c r="CZ730" i="3"/>
  <c r="FJ730" i="3" s="1"/>
  <c r="CZ731" i="3"/>
  <c r="FJ731" i="3" s="1"/>
  <c r="CZ732" i="3"/>
  <c r="FJ732" i="3" s="1"/>
  <c r="CZ733" i="3"/>
  <c r="FJ733" i="3" s="1"/>
  <c r="CZ734" i="3"/>
  <c r="FJ734" i="3" s="1"/>
  <c r="CZ735" i="3"/>
  <c r="CZ736" i="3"/>
  <c r="CZ737" i="3"/>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CZ796" i="3"/>
  <c r="EE796" i="3" s="1"/>
  <c r="CZ797" i="3"/>
  <c r="EE797" i="3" s="1"/>
  <c r="CZ798" i="3"/>
  <c r="EE798" i="3" s="1"/>
  <c r="CZ799" i="3"/>
  <c r="EE799" i="3" s="1"/>
  <c r="CZ800" i="3"/>
  <c r="EE800" i="3" s="1"/>
  <c r="CZ801" i="3"/>
  <c r="EE801" i="3" s="1"/>
  <c r="CZ802" i="3"/>
  <c r="EE802" i="3" s="1"/>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EO795" i="3" s="1"/>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D64" i="15"/>
  <c r="W708" i="3"/>
  <c r="BE69" i="3" s="1"/>
  <c r="BG235" i="3"/>
  <c r="BG236" i="3"/>
  <c r="BG237" i="3"/>
  <c r="BG238" i="3"/>
  <c r="BG239" i="3"/>
  <c r="BG241" i="3"/>
  <c r="BG242" i="3"/>
  <c r="BG243" i="3"/>
  <c r="BG245" i="3"/>
  <c r="BG246" i="3"/>
  <c r="BG247" i="3"/>
  <c r="BG248" i="3"/>
  <c r="BG249" i="3"/>
  <c r="BG250" i="3"/>
  <c r="M241" i="3"/>
  <c r="AG459" i="3"/>
  <c r="BE24" i="3" s="1"/>
  <c r="O805" i="3"/>
  <c r="C806" i="3" s="1"/>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G151" i="21"/>
  <c r="E153" i="21" s="1"/>
  <c r="S26" i="4"/>
  <c r="E26" i="13" s="1"/>
  <c r="C26" i="4"/>
  <c r="B26" i="13" s="1"/>
  <c r="G86" i="21"/>
  <c r="G92" i="21" s="1"/>
  <c r="G123" i="21"/>
  <c r="M20" i="21"/>
  <c r="T20" i="21" s="1"/>
  <c r="M21" i="21"/>
  <c r="U21" i="21" s="1"/>
  <c r="M22" i="21"/>
  <c r="T22" i="21" s="1"/>
  <c r="M23" i="21"/>
  <c r="T23" i="21" s="1"/>
  <c r="M24" i="21"/>
  <c r="T24" i="21" s="1"/>
  <c r="M25" i="21"/>
  <c r="T25" i="21" s="1"/>
  <c r="M26" i="21"/>
  <c r="U26" i="21" s="1"/>
  <c r="M27" i="21"/>
  <c r="U27" i="21" s="1"/>
  <c r="M28" i="21"/>
  <c r="T28" i="21" s="1"/>
  <c r="M29" i="21"/>
  <c r="U29" i="21" s="1"/>
  <c r="M30" i="21"/>
  <c r="U30" i="21" s="1"/>
  <c r="M31" i="21"/>
  <c r="M32" i="21"/>
  <c r="O32" i="21" s="1"/>
  <c r="M33" i="21"/>
  <c r="O33" i="21" s="1"/>
  <c r="M34" i="21"/>
  <c r="O34" i="21" s="1"/>
  <c r="M35" i="21"/>
  <c r="S35" i="21" s="1"/>
  <c r="M36" i="21"/>
  <c r="O36" i="21" s="1"/>
  <c r="M37" i="21"/>
  <c r="T37" i="21" s="1"/>
  <c r="M38" i="21"/>
  <c r="U38" i="21" s="1"/>
  <c r="M39" i="21"/>
  <c r="R39" i="21" s="1" a="1"/>
  <c r="R39" i="21" s="1"/>
  <c r="M40" i="21"/>
  <c r="T40" i="21" s="1"/>
  <c r="M41" i="21"/>
  <c r="O41" i="21" s="1"/>
  <c r="M42" i="21"/>
  <c r="O42" i="21" s="1"/>
  <c r="M43" i="21"/>
  <c r="U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B24" i="4"/>
  <c r="R36" i="4"/>
  <c r="B36" i="4"/>
  <c r="B66" i="4"/>
  <c r="B67" i="4"/>
  <c r="B68" i="4"/>
  <c r="B69" i="4"/>
  <c r="R67" i="4"/>
  <c r="R68" i="4"/>
  <c r="A104" i="11"/>
  <c r="C101" i="11"/>
  <c r="C102" i="11"/>
  <c r="C103" i="11"/>
  <c r="C104" i="11"/>
  <c r="B101" i="11"/>
  <c r="B102" i="11"/>
  <c r="B103" i="11"/>
  <c r="B104" i="11"/>
  <c r="C85" i="11"/>
  <c r="C86" i="11"/>
  <c r="C88" i="11"/>
  <c r="C89" i="11"/>
  <c r="C90" i="11"/>
  <c r="C91" i="11"/>
  <c r="C92" i="11"/>
  <c r="C93" i="11"/>
  <c r="C94" i="11"/>
  <c r="C95" i="11"/>
  <c r="C96" i="11"/>
  <c r="B85" i="11"/>
  <c r="B86" i="11"/>
  <c r="B88" i="11"/>
  <c r="B89" i="11"/>
  <c r="B90" i="11"/>
  <c r="B91" i="11"/>
  <c r="B92" i="11"/>
  <c r="B93" i="11"/>
  <c r="B94" i="11"/>
  <c r="B95" i="11"/>
  <c r="B96" i="11"/>
  <c r="A70" i="11"/>
  <c r="C67" i="11"/>
  <c r="C68" i="11"/>
  <c r="C69" i="11"/>
  <c r="C70" i="11"/>
  <c r="B67" i="11"/>
  <c r="B68" i="11"/>
  <c r="B69" i="11"/>
  <c r="B70" i="11"/>
  <c r="A62" i="11"/>
  <c r="A54" i="11"/>
  <c r="A38" i="11"/>
  <c r="A26" i="11"/>
  <c r="C31" i="11"/>
  <c r="C32" i="11"/>
  <c r="C35" i="11"/>
  <c r="C36" i="11"/>
  <c r="C37" i="11"/>
  <c r="C38" i="11"/>
  <c r="B31" i="11"/>
  <c r="B32"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7" i="13"/>
  <c r="E68" i="13"/>
  <c r="E69" i="13"/>
  <c r="B66" i="13"/>
  <c r="B67" i="13"/>
  <c r="B68" i="13"/>
  <c r="B69" i="13"/>
  <c r="A53" i="13"/>
  <c r="H36" i="13"/>
  <c r="E36" i="13"/>
  <c r="B36" i="13"/>
  <c r="H24" i="13"/>
  <c r="E24" i="13"/>
  <c r="B24" i="13"/>
  <c r="C104" i="4"/>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87" i="3"/>
  <c r="BA478" i="3"/>
  <c r="G24" i="7"/>
  <c r="I24" i="7" s="1"/>
  <c r="K24" i="7" s="1"/>
  <c r="M24" i="7" s="1"/>
  <c r="O24" i="7" s="1"/>
  <c r="Q24" i="7" s="1"/>
  <c r="S24" i="7" s="1"/>
  <c r="U24" i="7" s="1"/>
  <c r="W24" i="7" s="1"/>
  <c r="Y24" i="7" s="1"/>
  <c r="AA24" i="7" s="1"/>
  <c r="AC24" i="7" s="1"/>
  <c r="AE24" i="7" s="1"/>
  <c r="AG24" i="7" s="1"/>
  <c r="B100" i="4"/>
  <c r="R100" i="4"/>
  <c r="AQ124" i="20"/>
  <c r="AQ125" i="20"/>
  <c r="AQ126" i="20"/>
  <c r="AQ127" i="20"/>
  <c r="AQ128" i="20"/>
  <c r="AQ129" i="20"/>
  <c r="AQ130" i="20"/>
  <c r="AQ131" i="20"/>
  <c r="AQ132" i="20"/>
  <c r="AQ133" i="20"/>
  <c r="AQ134" i="20"/>
  <c r="AQ135"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84" i="4"/>
  <c r="B59" i="4"/>
  <c r="C80" i="11"/>
  <c r="C81" i="11"/>
  <c r="B80" i="11"/>
  <c r="B81" i="11"/>
  <c r="I96" i="13"/>
  <c r="J96" i="13"/>
  <c r="J81" i="13"/>
  <c r="I81" i="13"/>
  <c r="G81" i="13"/>
  <c r="F81" i="13"/>
  <c r="D81" i="13"/>
  <c r="C81" i="13"/>
  <c r="H80" i="13"/>
  <c r="B80" i="13"/>
  <c r="D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87" i="13"/>
  <c r="E85" i="13"/>
  <c r="E84" i="13"/>
  <c r="E53" i="13"/>
  <c r="E52" i="13"/>
  <c r="E51" i="13"/>
  <c r="E50" i="13"/>
  <c r="E49" i="13"/>
  <c r="E48" i="13"/>
  <c r="E47" i="13"/>
  <c r="E46" i="13"/>
  <c r="E45" i="13"/>
  <c r="E41" i="13"/>
  <c r="E37" i="13"/>
  <c r="E34" i="13"/>
  <c r="E29" i="13"/>
  <c r="E27" i="13"/>
  <c r="E25" i="13"/>
  <c r="E23" i="13"/>
  <c r="E22" i="13"/>
  <c r="E21" i="13"/>
  <c r="E20" i="13"/>
  <c r="E19" i="13"/>
  <c r="E18" i="13"/>
  <c r="E17" i="13"/>
  <c r="E15" i="13"/>
  <c r="E14" i="13"/>
  <c r="E13" i="13"/>
  <c r="E10" i="13"/>
  <c r="B99" i="13"/>
  <c r="B95" i="13"/>
  <c r="B94" i="13"/>
  <c r="B93" i="13"/>
  <c r="B92" i="13"/>
  <c r="B91" i="13"/>
  <c r="B90" i="13"/>
  <c r="B89" i="13"/>
  <c r="B88" i="13"/>
  <c r="B87" i="13"/>
  <c r="B85" i="13"/>
  <c r="B84" i="13"/>
  <c r="B79" i="13"/>
  <c r="B76" i="13"/>
  <c r="B75" i="13"/>
  <c r="B74" i="13"/>
  <c r="B73" i="13"/>
  <c r="B72" i="13"/>
  <c r="B65" i="13"/>
  <c r="B61" i="13"/>
  <c r="B60" i="13"/>
  <c r="B59" i="13"/>
  <c r="B58" i="13"/>
  <c r="B57" i="13"/>
  <c r="B56" i="13"/>
  <c r="B53" i="13"/>
  <c r="B52" i="13"/>
  <c r="B51" i="13"/>
  <c r="B50" i="13"/>
  <c r="B49" i="13"/>
  <c r="B48" i="13"/>
  <c r="B47" i="13"/>
  <c r="B46" i="13"/>
  <c r="B45" i="13"/>
  <c r="B41" i="13"/>
  <c r="B37" i="13"/>
  <c r="B35" i="13"/>
  <c r="B34"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87" i="4"/>
  <c r="R85" i="4"/>
  <c r="R76" i="4"/>
  <c r="R72" i="4"/>
  <c r="R73" i="4"/>
  <c r="R74" i="4"/>
  <c r="R69" i="4"/>
  <c r="R61" i="4"/>
  <c r="R60" i="4"/>
  <c r="R59" i="4"/>
  <c r="R58" i="4"/>
  <c r="R57" i="4"/>
  <c r="R53" i="4"/>
  <c r="R52" i="4"/>
  <c r="R51" i="4"/>
  <c r="R50" i="4"/>
  <c r="R48" i="4"/>
  <c r="R47" i="4"/>
  <c r="R41" i="4"/>
  <c r="R37" i="4"/>
  <c r="R34"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C42" i="11"/>
  <c r="B42"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100" i="11"/>
  <c r="C100" i="11"/>
  <c r="A4" i="8"/>
  <c r="A5" i="8"/>
  <c r="A6" i="8"/>
  <c r="A7" i="8"/>
  <c r="A8" i="8"/>
  <c r="A9" i="8"/>
  <c r="A10" i="8"/>
  <c r="A11" i="8"/>
  <c r="A12" i="8"/>
  <c r="A13" i="8"/>
  <c r="A14" i="8"/>
  <c r="A15" i="8"/>
  <c r="A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C54" i="4"/>
  <c r="B54" i="13" s="1"/>
  <c r="C62" i="4"/>
  <c r="B62" i="13" s="1"/>
  <c r="C77" i="4"/>
  <c r="B77" i="13" s="1"/>
  <c r="D8" i="4"/>
  <c r="D11" i="4"/>
  <c r="D26" i="4"/>
  <c r="D38" i="4"/>
  <c r="D42" i="4"/>
  <c r="D54" i="4"/>
  <c r="D62" i="4"/>
  <c r="D77" i="4"/>
  <c r="D96" i="4"/>
  <c r="D104" i="4"/>
  <c r="F2" i="4"/>
  <c r="G2" i="4"/>
  <c r="H2" i="4"/>
  <c r="I2" i="4"/>
  <c r="J2" i="4"/>
  <c r="K2" i="4"/>
  <c r="L2" i="4"/>
  <c r="M2" i="4"/>
  <c r="N2" i="4"/>
  <c r="O2" i="4"/>
  <c r="P2" i="4"/>
  <c r="Q2" i="4"/>
  <c r="B4" i="4"/>
  <c r="BE23" i="3" s="1"/>
  <c r="B5" i="4"/>
  <c r="B6" i="4"/>
  <c r="B7"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E12" i="4" s="1"/>
  <c r="F11" i="4"/>
  <c r="F26"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4" i="4"/>
  <c r="B35" i="4"/>
  <c r="B37" i="4"/>
  <c r="G38" i="4"/>
  <c r="H38" i="4"/>
  <c r="K38" i="4"/>
  <c r="L38" i="4"/>
  <c r="O38" i="4"/>
  <c r="P38" i="4"/>
  <c r="P42" i="4"/>
  <c r="P54" i="4"/>
  <c r="P62" i="4"/>
  <c r="P70" i="4"/>
  <c r="P77" i="4"/>
  <c r="P96" i="4"/>
  <c r="P104" i="4"/>
  <c r="Q38" i="4"/>
  <c r="B41" i="4"/>
  <c r="G42" i="4"/>
  <c r="H42" i="4"/>
  <c r="K42" i="4"/>
  <c r="L42" i="4"/>
  <c r="O42" i="4"/>
  <c r="Q42" i="4"/>
  <c r="B45" i="4"/>
  <c r="B46" i="4"/>
  <c r="B47" i="4"/>
  <c r="B48" i="4"/>
  <c r="B49" i="4"/>
  <c r="B50" i="4"/>
  <c r="B51" i="4"/>
  <c r="B52" i="4"/>
  <c r="B53" i="4"/>
  <c r="G54" i="4"/>
  <c r="H54" i="4"/>
  <c r="K54" i="4"/>
  <c r="L54" i="4"/>
  <c r="O54" i="4"/>
  <c r="Q54" i="4"/>
  <c r="B56" i="4"/>
  <c r="B57" i="4"/>
  <c r="B58" i="4"/>
  <c r="B60" i="4"/>
  <c r="B61" i="4"/>
  <c r="G62" i="4"/>
  <c r="H62" i="4"/>
  <c r="K62" i="4"/>
  <c r="L62" i="4"/>
  <c r="O62" i="4"/>
  <c r="O70" i="4"/>
  <c r="O77" i="4"/>
  <c r="O96" i="4"/>
  <c r="O104" i="4"/>
  <c r="Q62" i="4"/>
  <c r="B65" i="4"/>
  <c r="F70" i="4"/>
  <c r="G70" i="4"/>
  <c r="H70" i="4"/>
  <c r="I70" i="4"/>
  <c r="K70" i="4"/>
  <c r="L70" i="4"/>
  <c r="Q70" i="4"/>
  <c r="B72" i="4"/>
  <c r="B73" i="4"/>
  <c r="B74" i="4"/>
  <c r="B75" i="4"/>
  <c r="B76" i="4"/>
  <c r="F77" i="4"/>
  <c r="G77" i="4"/>
  <c r="H77" i="4"/>
  <c r="I77" i="4"/>
  <c r="K77" i="4"/>
  <c r="L77" i="4"/>
  <c r="Q77" i="4"/>
  <c r="B79" i="4"/>
  <c r="B84" i="4"/>
  <c r="B85" i="4"/>
  <c r="B87" i="4"/>
  <c r="B88" i="4"/>
  <c r="B89" i="4"/>
  <c r="B90" i="4"/>
  <c r="B91" i="4"/>
  <c r="B92" i="4"/>
  <c r="B93" i="4"/>
  <c r="B94" i="4"/>
  <c r="B95" i="4"/>
  <c r="F96" i="4"/>
  <c r="G96" i="4"/>
  <c r="H96" i="4"/>
  <c r="I96" i="4"/>
  <c r="K96" i="4"/>
  <c r="L96" i="4"/>
  <c r="Q96" i="4"/>
  <c r="B101" i="4"/>
  <c r="B102" i="4"/>
  <c r="B103" i="4"/>
  <c r="H104" i="4"/>
  <c r="I104" i="4"/>
  <c r="K104" i="4"/>
  <c r="L104" i="4"/>
  <c r="Q104" i="4"/>
  <c r="E108" i="4"/>
  <c r="F108" i="4"/>
  <c r="H108" i="4"/>
  <c r="I108" i="4"/>
  <c r="J108" i="4"/>
  <c r="K108" i="4"/>
  <c r="L108" i="4"/>
  <c r="M108" i="4"/>
  <c r="N108" i="4"/>
  <c r="O108" i="4"/>
  <c r="P108" i="4"/>
  <c r="Q108" i="4"/>
  <c r="B131" i="4"/>
  <c r="I184" i="3"/>
  <c r="W427" i="3"/>
  <c r="AF427" i="3"/>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39" i="3"/>
  <c r="X740" i="3"/>
  <c r="X741" i="3"/>
  <c r="X742" i="3"/>
  <c r="X743" i="3"/>
  <c r="X744" i="3"/>
  <c r="X745" i="3"/>
  <c r="X746" i="3"/>
  <c r="X747" i="3"/>
  <c r="X748" i="3"/>
  <c r="X749" i="3"/>
  <c r="M840" i="3"/>
  <c r="T726" i="3" s="1"/>
  <c r="O726" i="3" s="1"/>
  <c r="X726" i="3" s="1"/>
  <c r="Q840" i="3"/>
  <c r="U840" i="3"/>
  <c r="Y840" i="3"/>
  <c r="AC840" i="3"/>
  <c r="AG840" i="3"/>
  <c r="Z911" i="3"/>
  <c r="J7" i="8"/>
  <c r="C9" i="7"/>
  <c r="C7" i="7"/>
  <c r="AJ1025" i="3"/>
  <c r="I7" i="8"/>
  <c r="X738" i="3"/>
  <c r="AH738" i="3"/>
  <c r="AQ123" i="20"/>
  <c r="D16" i="8"/>
  <c r="BE77" i="3"/>
  <c r="Y64" i="15"/>
  <c r="S37" i="21" l="1"/>
  <c r="P44" i="21" a="1"/>
  <c r="P44" i="21" s="1"/>
  <c r="S70" i="4"/>
  <c r="E70" i="13" s="1"/>
  <c r="P54" i="21" a="1"/>
  <c r="P54" i="21" s="1"/>
  <c r="C87" i="11"/>
  <c r="B26" i="4"/>
  <c r="R54" i="21" a="1"/>
  <c r="R54" i="21" s="1"/>
  <c r="P33" i="21" a="1"/>
  <c r="P33" i="21" s="1"/>
  <c r="U44" i="21"/>
  <c r="T46" i="21"/>
  <c r="D73" i="11"/>
  <c r="E99" i="13"/>
  <c r="S54" i="21"/>
  <c r="AH726" i="3"/>
  <c r="D61" i="11"/>
  <c r="O44" i="21"/>
  <c r="B86" i="13"/>
  <c r="R36" i="21" a="1"/>
  <c r="R36" i="21" s="1"/>
  <c r="B86" i="4"/>
  <c r="N183" i="24" s="1"/>
  <c r="R51" i="21" a="1"/>
  <c r="R51" i="21" s="1"/>
  <c r="S44" i="21"/>
  <c r="S54" i="4"/>
  <c r="E54" i="13" s="1"/>
  <c r="D20" i="11"/>
  <c r="D10" i="11"/>
  <c r="AA928" i="3"/>
  <c r="AC785" i="3"/>
  <c r="D90" i="11"/>
  <c r="D16" i="11"/>
  <c r="D5" i="11"/>
  <c r="P52" i="21" a="1"/>
  <c r="P52" i="21" s="1"/>
  <c r="D25" i="11"/>
  <c r="S52" i="21"/>
  <c r="R81" i="4"/>
  <c r="U52" i="21"/>
  <c r="R52" i="21" a="1"/>
  <c r="R52" i="21" s="1"/>
  <c r="Q40" i="7"/>
  <c r="Q43" i="7" s="1"/>
  <c r="M40" i="7"/>
  <c r="M43" i="7" s="1"/>
  <c r="G40" i="7"/>
  <c r="G43" i="7" s="1"/>
  <c r="S40" i="7"/>
  <c r="S43" i="7" s="1"/>
  <c r="I40" i="7"/>
  <c r="I43" i="7" s="1"/>
  <c r="K40" i="7"/>
  <c r="K43" i="7" s="1"/>
  <c r="W40" i="7"/>
  <c r="W43" i="7" s="1"/>
  <c r="AC40" i="7"/>
  <c r="AC43" i="7" s="1"/>
  <c r="U40" i="7"/>
  <c r="U43" i="7" s="1"/>
  <c r="AE40" i="7"/>
  <c r="AE43" i="7" s="1"/>
  <c r="B40" i="4"/>
  <c r="C44" i="11"/>
  <c r="F40" i="4"/>
  <c r="E40" i="4" s="1"/>
  <c r="B40" i="13"/>
  <c r="D85" i="11"/>
  <c r="AG454" i="3"/>
  <c r="AD27" i="15" s="1"/>
  <c r="O54" i="21"/>
  <c r="D50" i="11"/>
  <c r="C41" i="11"/>
  <c r="C43" i="11" s="1"/>
  <c r="D70" i="11"/>
  <c r="D104" i="11"/>
  <c r="D49" i="11"/>
  <c r="B41" i="11"/>
  <c r="B43" i="11" s="1"/>
  <c r="C42" i="4"/>
  <c r="B42" i="4" s="1"/>
  <c r="P38" i="21" a="1"/>
  <c r="P38" i="21" s="1"/>
  <c r="T26" i="21"/>
  <c r="S33" i="21"/>
  <c r="C96" i="4"/>
  <c r="B96" i="4" s="1"/>
  <c r="D15" i="11"/>
  <c r="T54" i="21"/>
  <c r="D26" i="11"/>
  <c r="T47" i="21"/>
  <c r="D12" i="13"/>
  <c r="E43" i="7"/>
  <c r="B83" i="4"/>
  <c r="U22" i="21"/>
  <c r="T7" i="15"/>
  <c r="D75" i="11"/>
  <c r="D58" i="11"/>
  <c r="D47" i="11"/>
  <c r="D22" i="11"/>
  <c r="D91" i="11"/>
  <c r="AO57" i="20"/>
  <c r="P39" i="21" a="1"/>
  <c r="P39" i="21" s="1"/>
  <c r="T830" i="20"/>
  <c r="AF830" i="20" s="1"/>
  <c r="BE75" i="3" s="1"/>
  <c r="AG40" i="7"/>
  <c r="AG43" i="7" s="1"/>
  <c r="S46" i="21"/>
  <c r="T36" i="21"/>
  <c r="AI7" i="15"/>
  <c r="D66" i="11"/>
  <c r="D19" i="11"/>
  <c r="D7" i="11"/>
  <c r="S38" i="21"/>
  <c r="O40" i="7"/>
  <c r="O43" i="7" s="1"/>
  <c r="Y7" i="15"/>
  <c r="B87" i="11"/>
  <c r="EZ726" i="3"/>
  <c r="P51" i="21" a="1"/>
  <c r="P51" i="21" s="1"/>
  <c r="S51" i="21"/>
  <c r="E83" i="4"/>
  <c r="R83" i="4" s="1"/>
  <c r="R96" i="4" s="1"/>
  <c r="T727" i="3"/>
  <c r="O727" i="3" s="1"/>
  <c r="D5" i="8" s="1"/>
  <c r="B84" i="11"/>
  <c r="C84" i="11"/>
  <c r="T39" i="21"/>
  <c r="F12" i="4"/>
  <c r="CP785" i="3"/>
  <c r="CT786" i="3" s="1"/>
  <c r="T33" i="21"/>
  <c r="D74" i="11"/>
  <c r="D57" i="11"/>
  <c r="D46" i="11"/>
  <c r="AZ1061" i="3"/>
  <c r="R31" i="21" a="1"/>
  <c r="R31" i="21" s="1"/>
  <c r="AC893" i="3"/>
  <c r="EE761" i="3"/>
  <c r="B32" i="4"/>
  <c r="H12" i="4"/>
  <c r="B71" i="11"/>
  <c r="CU785" i="3"/>
  <c r="CY786" i="3" s="1"/>
  <c r="U48" i="21"/>
  <c r="N12" i="4"/>
  <c r="D38" i="11"/>
  <c r="D95" i="11"/>
  <c r="D103" i="11"/>
  <c r="T51" i="21"/>
  <c r="U33" i="21"/>
  <c r="L12" i="4"/>
  <c r="R26" i="21" a="1"/>
  <c r="R26" i="21" s="1"/>
  <c r="E62" i="4"/>
  <c r="D54" i="11"/>
  <c r="U46" i="21"/>
  <c r="D36" i="11"/>
  <c r="U31" i="21"/>
  <c r="T41" i="21"/>
  <c r="T31" i="21"/>
  <c r="C12" i="13"/>
  <c r="O39" i="21"/>
  <c r="D89" i="11"/>
  <c r="DE785" i="3"/>
  <c r="DI786" i="3" s="1"/>
  <c r="P34" i="21" a="1"/>
  <c r="P34" i="21" s="1"/>
  <c r="D4" i="8"/>
  <c r="U34" i="21"/>
  <c r="D81" i="11"/>
  <c r="S34" i="21"/>
  <c r="CZ785" i="3"/>
  <c r="DD786" i="3" s="1"/>
  <c r="AQ111" i="20"/>
  <c r="R995" i="3"/>
  <c r="Q63" i="4"/>
  <c r="Q97" i="4" s="1"/>
  <c r="Q105" i="4" s="1"/>
  <c r="R996" i="3"/>
  <c r="T34" i="21"/>
  <c r="D11" i="11"/>
  <c r="R33" i="21" a="1"/>
  <c r="R33" i="21" s="1"/>
  <c r="C12" i="11"/>
  <c r="D86" i="11"/>
  <c r="R50" i="21" a="1"/>
  <c r="R50" i="21" s="1"/>
  <c r="AO47" i="20"/>
  <c r="K12" i="4"/>
  <c r="D42" i="11"/>
  <c r="Q29" i="7"/>
  <c r="DO805" i="3"/>
  <c r="DS806" i="3" s="1"/>
  <c r="G29" i="7"/>
  <c r="E66" i="13"/>
  <c r="D94" i="11"/>
  <c r="EJ805" i="3"/>
  <c r="AO71" i="20"/>
  <c r="G77" i="21"/>
  <c r="G79" i="21" s="1"/>
  <c r="D12" i="4"/>
  <c r="ET805" i="3"/>
  <c r="G12" i="4"/>
  <c r="DE805" i="3"/>
  <c r="DI806" i="3" s="1"/>
  <c r="M18" i="21"/>
  <c r="C71" i="11"/>
  <c r="D102" i="11"/>
  <c r="T35" i="21"/>
  <c r="EO761" i="3"/>
  <c r="B54" i="4"/>
  <c r="B105" i="11"/>
  <c r="D93" i="11"/>
  <c r="D101" i="11"/>
  <c r="T43" i="21"/>
  <c r="B81" i="4"/>
  <c r="D92" i="11"/>
  <c r="T32" i="21"/>
  <c r="U36" i="21"/>
  <c r="D32" i="11"/>
  <c r="E25" i="21"/>
  <c r="F25" i="21" s="1"/>
  <c r="G25" i="21" s="1"/>
  <c r="DJ805" i="3"/>
  <c r="DN806" i="3" s="1"/>
  <c r="DO761" i="3"/>
  <c r="EW656" i="3" s="1"/>
  <c r="DE761" i="3"/>
  <c r="EM654" i="3" s="1"/>
  <c r="C765" i="3"/>
  <c r="P48" i="21" a="1"/>
  <c r="P48" i="21" s="1"/>
  <c r="U28" i="7"/>
  <c r="D31" i="11"/>
  <c r="E28" i="21"/>
  <c r="R32" i="21" a="1"/>
  <c r="R32" i="21" s="1"/>
  <c r="T30" i="21"/>
  <c r="Y28" i="7"/>
  <c r="Y29" i="7"/>
  <c r="AK548" i="20"/>
  <c r="T835" i="20" s="1"/>
  <c r="E24" i="21"/>
  <c r="F24" i="21" s="1"/>
  <c r="G24" i="21" s="1"/>
  <c r="AG28" i="7"/>
  <c r="Q12" i="4"/>
  <c r="I63" i="13"/>
  <c r="I97" i="13" s="1"/>
  <c r="I105" i="13" s="1"/>
  <c r="I107" i="13" s="1"/>
  <c r="AP379" i="20"/>
  <c r="AQ379" i="20" s="1"/>
  <c r="AS375" i="20" s="1"/>
  <c r="D88" i="11"/>
  <c r="P45" i="21" a="1"/>
  <c r="P45" i="21" s="1"/>
  <c r="J28" i="24"/>
  <c r="R34" i="21" a="1"/>
  <c r="R34" i="21" s="1"/>
  <c r="S29" i="7"/>
  <c r="U32" i="21"/>
  <c r="B78" i="11"/>
  <c r="D23" i="11"/>
  <c r="D14" i="11"/>
  <c r="B82" i="11"/>
  <c r="P47" i="21" a="1"/>
  <c r="P47" i="21" s="1"/>
  <c r="U51" i="21"/>
  <c r="S32" i="21"/>
  <c r="K29" i="7"/>
  <c r="R20" i="21" a="1"/>
  <c r="R20" i="21" s="1"/>
  <c r="P32" i="21" a="1"/>
  <c r="P32" i="21" s="1"/>
  <c r="U29" i="7"/>
  <c r="AC28" i="7"/>
  <c r="J12" i="4"/>
  <c r="T63" i="4"/>
  <c r="H63" i="13" s="1"/>
  <c r="R45" i="21" a="1"/>
  <c r="R45" i="21" s="1"/>
  <c r="U45" i="21"/>
  <c r="E103" i="20"/>
  <c r="AG29" i="7"/>
  <c r="U23" i="21"/>
  <c r="DZ761" i="3"/>
  <c r="T48" i="21"/>
  <c r="T27" i="15"/>
  <c r="T38" i="21"/>
  <c r="E104" i="20"/>
  <c r="T52" i="21"/>
  <c r="S50" i="21"/>
  <c r="EM669" i="3"/>
  <c r="C63" i="13"/>
  <c r="C97" i="13" s="1"/>
  <c r="C105" i="13" s="1"/>
  <c r="D21" i="11"/>
  <c r="P40" i="21" a="1"/>
  <c r="P40" i="21" s="1"/>
  <c r="W29" i="7"/>
  <c r="BA1067" i="3"/>
  <c r="R43" i="21" a="1"/>
  <c r="R43" i="21" s="1"/>
  <c r="AA28" i="7"/>
  <c r="S41" i="21"/>
  <c r="D76" i="11"/>
  <c r="D48" i="11"/>
  <c r="B27" i="11"/>
  <c r="D6" i="11"/>
  <c r="R26" i="4"/>
  <c r="AP308" i="20"/>
  <c r="AK351" i="20" s="1"/>
  <c r="T837" i="20" s="1"/>
  <c r="AF837" i="20" s="1"/>
  <c r="BE79" i="3" s="1"/>
  <c r="AG927" i="3"/>
  <c r="O28" i="7"/>
  <c r="O29" i="7"/>
  <c r="U20" i="21"/>
  <c r="R62" i="4"/>
  <c r="R47" i="21" a="1"/>
  <c r="R47" i="21" s="1"/>
  <c r="N63" i="4"/>
  <c r="N97" i="4" s="1"/>
  <c r="N105" i="4" s="1"/>
  <c r="U28" i="21"/>
  <c r="U47" i="21"/>
  <c r="AE28" i="7"/>
  <c r="Y68" i="15"/>
  <c r="R29" i="21" a="1"/>
  <c r="R29" i="21" s="1"/>
  <c r="U42" i="21"/>
  <c r="P42" i="21" a="1"/>
  <c r="P42" i="21" s="1"/>
  <c r="P41" i="21" a="1"/>
  <c r="P41" i="21" s="1"/>
  <c r="I28" i="7"/>
  <c r="AA29" i="7"/>
  <c r="R42" i="21" a="1"/>
  <c r="R42" i="21" s="1"/>
  <c r="D63" i="13"/>
  <c r="D97" i="13" s="1"/>
  <c r="D105" i="13" s="1"/>
  <c r="D52" i="11"/>
  <c r="D28" i="11"/>
  <c r="D35" i="11"/>
  <c r="AY1012" i="3"/>
  <c r="DJ785" i="3"/>
  <c r="DN786" i="3" s="1"/>
  <c r="S86" i="4"/>
  <c r="D51" i="11"/>
  <c r="R8" i="4"/>
  <c r="BS761" i="3"/>
  <c r="BT732" i="3" s="1"/>
  <c r="R48" i="21" a="1"/>
  <c r="R48" i="21" s="1"/>
  <c r="W863" i="3"/>
  <c r="U24" i="21"/>
  <c r="U41" i="21"/>
  <c r="R11" i="4"/>
  <c r="B8" i="4"/>
  <c r="N184" i="24" s="1"/>
  <c r="K63" i="4"/>
  <c r="K97" i="4" s="1"/>
  <c r="K105" i="4" s="1"/>
  <c r="G58" i="7"/>
  <c r="E26" i="21"/>
  <c r="G113" i="21"/>
  <c r="S48" i="21"/>
  <c r="B12" i="11"/>
  <c r="J63" i="13"/>
  <c r="J97" i="13" s="1"/>
  <c r="J105" i="13" s="1"/>
  <c r="J107" i="13" s="1"/>
  <c r="K28" i="7"/>
  <c r="M28" i="7"/>
  <c r="R41" i="21" a="1"/>
  <c r="R41" i="21" s="1"/>
  <c r="P43" i="21" a="1"/>
  <c r="P43" i="21" s="1"/>
  <c r="G28" i="7"/>
  <c r="B70" i="4"/>
  <c r="S47" i="21"/>
  <c r="W28" i="7"/>
  <c r="S42" i="21"/>
  <c r="D63" i="4"/>
  <c r="D97" i="4" s="1"/>
  <c r="D105" i="4" s="1"/>
  <c r="BE68" i="3" s="1"/>
  <c r="P36" i="21" a="1"/>
  <c r="P36" i="21" s="1"/>
  <c r="I29" i="7"/>
  <c r="Q28" i="7"/>
  <c r="B77" i="4"/>
  <c r="T728" i="3"/>
  <c r="O728" i="3" s="1"/>
  <c r="D6" i="8" s="1"/>
  <c r="J63" i="4"/>
  <c r="J97" i="4" s="1"/>
  <c r="J105" i="4" s="1"/>
  <c r="R38" i="21" a="1"/>
  <c r="R38" i="21" s="1"/>
  <c r="AE29" i="7"/>
  <c r="S36" i="21"/>
  <c r="T729" i="3"/>
  <c r="O729" i="3" s="1"/>
  <c r="D59" i="11"/>
  <c r="G63" i="13"/>
  <c r="G97" i="13" s="1"/>
  <c r="G105" i="13" s="1"/>
  <c r="G107" i="13" s="1"/>
  <c r="D96" i="11"/>
  <c r="C105" i="11"/>
  <c r="E81" i="4"/>
  <c r="AD68" i="15"/>
  <c r="T29" i="21"/>
  <c r="T42" i="21"/>
  <c r="U25" i="21"/>
  <c r="D8" i="11"/>
  <c r="F63" i="13"/>
  <c r="F97" i="13" s="1"/>
  <c r="F105" i="13" s="1"/>
  <c r="F107" i="13" s="1"/>
  <c r="M29" i="7"/>
  <c r="L63" i="4"/>
  <c r="L97" i="4" s="1"/>
  <c r="L105" i="4" s="1"/>
  <c r="R75" i="4"/>
  <c r="R77" i="4" s="1"/>
  <c r="E77" i="4"/>
  <c r="FO761" i="3"/>
  <c r="R66" i="4"/>
  <c r="R70" i="4" s="1"/>
  <c r="E70" i="4"/>
  <c r="G153" i="21"/>
  <c r="G155" i="21" s="1"/>
  <c r="I16" i="21" s="1"/>
  <c r="D100" i="11"/>
  <c r="E8" i="7"/>
  <c r="B9" i="11"/>
  <c r="O12" i="4"/>
  <c r="O63" i="4"/>
  <c r="O97" i="4" s="1"/>
  <c r="O105" i="4" s="1"/>
  <c r="C78" i="11"/>
  <c r="D77" i="11"/>
  <c r="C63" i="11"/>
  <c r="D60" i="11"/>
  <c r="EO805" i="3"/>
  <c r="B11" i="4"/>
  <c r="B11" i="13"/>
  <c r="C12" i="4"/>
  <c r="B12" i="13" s="1"/>
  <c r="D30" i="11"/>
  <c r="E31" i="4"/>
  <c r="R31" i="4" s="1"/>
  <c r="H63" i="4"/>
  <c r="H97" i="4" s="1"/>
  <c r="H105" i="4" s="1"/>
  <c r="AV121" i="20"/>
  <c r="AW120" i="20" s="1"/>
  <c r="CM761" i="3"/>
  <c r="X1061" i="3" s="1"/>
  <c r="C9" i="11"/>
  <c r="G40" i="8"/>
  <c r="G21" i="7"/>
  <c r="I21" i="7" s="1"/>
  <c r="K21" i="7" s="1"/>
  <c r="M21" i="7" s="1"/>
  <c r="O21" i="7" s="1"/>
  <c r="Q21" i="7" s="1"/>
  <c r="S21" i="7" s="1"/>
  <c r="U21" i="7" s="1"/>
  <c r="W21" i="7" s="1"/>
  <c r="Y21" i="7" s="1"/>
  <c r="AA21" i="7" s="1"/>
  <c r="AC21" i="7" s="1"/>
  <c r="AE21" i="7" s="1"/>
  <c r="AG21" i="7" s="1"/>
  <c r="Y620" i="20"/>
  <c r="AP600" i="20"/>
  <c r="G51" i="21"/>
  <c r="J19" i="24"/>
  <c r="P29" i="24"/>
  <c r="X735" i="3"/>
  <c r="AH735" i="3" s="1"/>
  <c r="D13" i="8"/>
  <c r="FJ735" i="3"/>
  <c r="B63" i="11"/>
  <c r="B55" i="11"/>
  <c r="I58" i="7"/>
  <c r="K53" i="7"/>
  <c r="CU805" i="3"/>
  <c r="CY806" i="3" s="1"/>
  <c r="R22" i="21" a="1"/>
  <c r="R22" i="21" s="1"/>
  <c r="R28" i="21" a="1"/>
  <c r="R28" i="21" s="1"/>
  <c r="R27" i="21" a="1"/>
  <c r="R27" i="21" s="1"/>
  <c r="R25" i="21" a="1"/>
  <c r="R25" i="21" s="1"/>
  <c r="R23" i="21" a="1"/>
  <c r="R23" i="21" s="1"/>
  <c r="R24" i="21" a="1"/>
  <c r="R24" i="21" s="1"/>
  <c r="R30" i="21" a="1"/>
  <c r="R30" i="21" s="1"/>
  <c r="AH29" i="24"/>
  <c r="M63" i="4"/>
  <c r="M97" i="4" s="1"/>
  <c r="M105" i="4" s="1"/>
  <c r="M12" i="4"/>
  <c r="CI761" i="3"/>
  <c r="DZ805" i="3"/>
  <c r="FT761" i="3"/>
  <c r="R30" i="4"/>
  <c r="U37" i="21"/>
  <c r="R37" i="21" a="1"/>
  <c r="R37" i="21" s="1"/>
  <c r="P37" i="21" a="1"/>
  <c r="P37" i="21" s="1"/>
  <c r="O37" i="21"/>
  <c r="R21" i="21" a="1"/>
  <c r="R21" i="21" s="1"/>
  <c r="T21" i="21"/>
  <c r="K15" i="7"/>
  <c r="AQ120" i="20"/>
  <c r="BF761" i="3"/>
  <c r="CZ761" i="3"/>
  <c r="EH655" i="3" s="1"/>
  <c r="FJ726" i="3"/>
  <c r="CU761" i="3"/>
  <c r="EC645" i="3" s="1"/>
  <c r="FE726" i="3"/>
  <c r="DU805" i="3"/>
  <c r="I63" i="4"/>
  <c r="I97" i="4" s="1"/>
  <c r="I105" i="4" s="1"/>
  <c r="I12" i="4"/>
  <c r="FJ736" i="3"/>
  <c r="FJ737" i="3"/>
  <c r="EJ761" i="3"/>
  <c r="ET761" i="3"/>
  <c r="O35" i="21"/>
  <c r="P35" i="21" a="1"/>
  <c r="P35" i="21" s="1"/>
  <c r="R35" i="21" a="1"/>
  <c r="R35" i="21" s="1"/>
  <c r="U35" i="21"/>
  <c r="BG252" i="3"/>
  <c r="BO254" i="3" s="1"/>
  <c r="T276" i="3" s="1"/>
  <c r="CZ805" i="3"/>
  <c r="DD806" i="3" s="1"/>
  <c r="EE795" i="3"/>
  <c r="EE805" i="3" s="1"/>
  <c r="CP805" i="3"/>
  <c r="FY761" i="3"/>
  <c r="T732" i="3"/>
  <c r="O732" i="3" s="1"/>
  <c r="T731" i="3"/>
  <c r="O731" i="3" s="1"/>
  <c r="T730" i="3"/>
  <c r="O730" i="3" s="1"/>
  <c r="T733" i="3"/>
  <c r="O733" i="3" s="1"/>
  <c r="O49" i="21"/>
  <c r="P49" i="21" a="1"/>
  <c r="P49" i="21" s="1"/>
  <c r="R49" i="21" a="1"/>
  <c r="R49" i="21" s="1"/>
  <c r="S49" i="21"/>
  <c r="U49" i="21"/>
  <c r="T49" i="21"/>
  <c r="C82" i="11"/>
  <c r="D80" i="11"/>
  <c r="S53" i="21"/>
  <c r="O53" i="21"/>
  <c r="U53" i="21"/>
  <c r="P53" i="21" a="1"/>
  <c r="P53" i="21" s="1"/>
  <c r="R53" i="21" a="1"/>
  <c r="R53" i="21" s="1"/>
  <c r="T53" i="21"/>
  <c r="DU761" i="3"/>
  <c r="AB29" i="24"/>
  <c r="D62" i="11"/>
  <c r="D18" i="11"/>
  <c r="AB233" i="20"/>
  <c r="AB249" i="20" s="1"/>
  <c r="AB251" i="20" s="1"/>
  <c r="AB253" i="20" s="1"/>
  <c r="AB259" i="20" s="1"/>
  <c r="AD208" i="20" s="1"/>
  <c r="AD210" i="20" s="1"/>
  <c r="E27" i="21"/>
  <c r="BA1051" i="3"/>
  <c r="BD1060" i="3" s="1" a="1"/>
  <c r="BD1060" i="3" s="1"/>
  <c r="AF1023" i="3"/>
  <c r="B104" i="13"/>
  <c r="B104" i="4"/>
  <c r="CP761" i="3"/>
  <c r="DX677" i="3" s="1"/>
  <c r="C27" i="11"/>
  <c r="AC805" i="3"/>
  <c r="J40" i="8"/>
  <c r="Z817" i="3" s="1"/>
  <c r="E6" i="7" s="1"/>
  <c r="G63" i="4"/>
  <c r="G97" i="4" s="1"/>
  <c r="E104" i="13"/>
  <c r="C55" i="11"/>
  <c r="DJ761" i="3"/>
  <c r="ER675" i="3" s="1"/>
  <c r="J22" i="24"/>
  <c r="B62" i="4"/>
  <c r="O40" i="21"/>
  <c r="S40" i="21"/>
  <c r="U40" i="21"/>
  <c r="R40" i="21" a="1"/>
  <c r="R40" i="21" s="1"/>
  <c r="T27" i="21"/>
  <c r="J23" i="24"/>
  <c r="D53" i="11"/>
  <c r="J24" i="24"/>
  <c r="S81" i="4"/>
  <c r="E81" i="13" s="1"/>
  <c r="E79" i="13"/>
  <c r="P63" i="4"/>
  <c r="P97" i="4" s="1"/>
  <c r="P105" i="4" s="1"/>
  <c r="S39" i="21"/>
  <c r="U39" i="21"/>
  <c r="R998" i="3"/>
  <c r="R999" i="3"/>
  <c r="V29" i="24"/>
  <c r="AP388" i="20"/>
  <c r="AQ388" i="20" s="1"/>
  <c r="D24" i="11"/>
  <c r="O38" i="21"/>
  <c r="DO785" i="3"/>
  <c r="AY1033" i="3"/>
  <c r="AF1026" i="3" s="1"/>
  <c r="J20" i="24"/>
  <c r="B33" i="11"/>
  <c r="D33" i="11" s="1"/>
  <c r="F32" i="4"/>
  <c r="E32" i="4" s="1"/>
  <c r="R32" i="4" s="1"/>
  <c r="S32" i="4"/>
  <c r="C33" i="4"/>
  <c r="C38" i="4" s="1"/>
  <c r="B32" i="13"/>
  <c r="BE7" i="3"/>
  <c r="J21" i="24"/>
  <c r="T45" i="21"/>
  <c r="S45" i="21"/>
  <c r="AN29" i="24"/>
  <c r="AK182" i="20"/>
  <c r="Y40" i="7"/>
  <c r="Y43" i="7" s="1"/>
  <c r="AA40" i="7"/>
  <c r="AA43" i="7" s="1"/>
  <c r="O43" i="21"/>
  <c r="S43" i="21"/>
  <c r="AO34" i="20"/>
  <c r="B43" i="13"/>
  <c r="F43" i="4"/>
  <c r="R43" i="4" s="1"/>
  <c r="B43" i="4"/>
  <c r="B44" i="11"/>
  <c r="R46" i="21" a="1"/>
  <c r="R46" i="21" s="1"/>
  <c r="T44" i="21"/>
  <c r="T50" i="21"/>
  <c r="O46" i="21"/>
  <c r="U50" i="21"/>
  <c r="O50" i="21"/>
  <c r="S40" i="4"/>
  <c r="C97" i="11" l="1"/>
  <c r="D87" i="11"/>
  <c r="D41" i="11"/>
  <c r="D82" i="11"/>
  <c r="F42" i="4"/>
  <c r="D43" i="11"/>
  <c r="B42" i="13"/>
  <c r="D12" i="11"/>
  <c r="B97" i="11"/>
  <c r="AI27" i="15"/>
  <c r="BT726" i="3"/>
  <c r="BU726" i="3" s="1"/>
  <c r="DX661" i="3"/>
  <c r="DX660" i="3"/>
  <c r="BT730" i="3"/>
  <c r="B96" i="13"/>
  <c r="EZ727" i="3"/>
  <c r="DX644" i="3" s="1"/>
  <c r="E96" i="4"/>
  <c r="X727" i="3"/>
  <c r="AH727" i="3" s="1"/>
  <c r="X728" i="3"/>
  <c r="AH728" i="3" s="1"/>
  <c r="AW117" i="20"/>
  <c r="AQ113" i="20"/>
  <c r="D44" i="11"/>
  <c r="EH662" i="3"/>
  <c r="BT750" i="3"/>
  <c r="BU750" i="3" s="1"/>
  <c r="BT729" i="3"/>
  <c r="Y27" i="15"/>
  <c r="EM645" i="3"/>
  <c r="BT751" i="3"/>
  <c r="BU751" i="3" s="1"/>
  <c r="BT753" i="3"/>
  <c r="BU753" i="3" s="1"/>
  <c r="EW663" i="3"/>
  <c r="BT738" i="3"/>
  <c r="BU738" i="3" s="1"/>
  <c r="D84" i="11"/>
  <c r="EW671" i="3"/>
  <c r="BT727" i="3"/>
  <c r="BT755" i="3"/>
  <c r="BU755" i="3" s="1"/>
  <c r="AO60" i="20"/>
  <c r="AK61" i="20" s="1"/>
  <c r="G37" i="21" s="1"/>
  <c r="AQ112" i="20"/>
  <c r="BT743" i="3"/>
  <c r="BU743" i="3" s="1"/>
  <c r="EZ728" i="3"/>
  <c r="DX645" i="3" s="1"/>
  <c r="BT747" i="3"/>
  <c r="BU747" i="3" s="1"/>
  <c r="T97" i="4"/>
  <c r="AZ1056" i="3" s="1"/>
  <c r="BT748" i="3"/>
  <c r="BU748" i="3" s="1"/>
  <c r="BT739" i="3"/>
  <c r="BU739" i="3" s="1"/>
  <c r="EW645" i="3"/>
  <c r="BT756" i="3"/>
  <c r="BU756" i="3" s="1"/>
  <c r="BT745" i="3"/>
  <c r="BU745" i="3" s="1"/>
  <c r="EM650" i="3"/>
  <c r="BT749" i="3"/>
  <c r="BU749" i="3" s="1"/>
  <c r="EH666" i="3"/>
  <c r="BT735" i="3"/>
  <c r="BU735" i="3" s="1"/>
  <c r="EM671" i="3"/>
  <c r="BT741" i="3"/>
  <c r="BU741" i="3" s="1"/>
  <c r="BT744" i="3"/>
  <c r="BU744" i="3" s="1"/>
  <c r="E29" i="21"/>
  <c r="G61" i="21" s="1"/>
  <c r="EW662" i="3"/>
  <c r="BT737" i="3"/>
  <c r="D71" i="11"/>
  <c r="EH654" i="3"/>
  <c r="BT742" i="3"/>
  <c r="BU742" i="3" s="1"/>
  <c r="D78" i="11"/>
  <c r="BT734" i="3"/>
  <c r="EW665" i="3"/>
  <c r="BT736" i="3"/>
  <c r="D105" i="11"/>
  <c r="EH658" i="3"/>
  <c r="EM667" i="3"/>
  <c r="EM659" i="3"/>
  <c r="EM651" i="3"/>
  <c r="EW658" i="3"/>
  <c r="EW659" i="3"/>
  <c r="EW667" i="3"/>
  <c r="EM663" i="3"/>
  <c r="EM647" i="3"/>
  <c r="EM653" i="3"/>
  <c r="EW646" i="3"/>
  <c r="EM661" i="3"/>
  <c r="EW654" i="3"/>
  <c r="DE810" i="3"/>
  <c r="AB998" i="3" s="1"/>
  <c r="AJ998" i="3" s="1"/>
  <c r="EM649" i="3"/>
  <c r="EW643" i="3"/>
  <c r="EW652" i="3"/>
  <c r="EW649" i="3"/>
  <c r="EM665" i="3"/>
  <c r="EW664" i="3"/>
  <c r="EW660" i="3"/>
  <c r="EM670" i="3"/>
  <c r="EW648" i="3"/>
  <c r="EM662" i="3"/>
  <c r="EW651" i="3"/>
  <c r="AS371" i="20"/>
  <c r="AK482" i="20" s="1"/>
  <c r="T839" i="20" s="1"/>
  <c r="AF839" i="20" s="1"/>
  <c r="BE80" i="3" s="1"/>
  <c r="T838" i="20"/>
  <c r="EC655" i="3"/>
  <c r="EC670" i="3"/>
  <c r="EW657" i="3"/>
  <c r="EM656" i="3"/>
  <c r="EW670" i="3"/>
  <c r="EM655" i="3"/>
  <c r="EW655" i="3"/>
  <c r="EM652" i="3"/>
  <c r="EW677" i="3"/>
  <c r="EW676" i="3"/>
  <c r="EM675" i="3"/>
  <c r="EM658" i="3"/>
  <c r="EW669" i="3"/>
  <c r="EW674" i="3"/>
  <c r="EW650" i="3"/>
  <c r="EM664" i="3"/>
  <c r="AX704" i="20"/>
  <c r="DS763" i="3"/>
  <c r="EM674" i="3"/>
  <c r="EW673" i="3"/>
  <c r="EW666" i="3"/>
  <c r="DI763" i="3"/>
  <c r="EM643" i="3"/>
  <c r="EM668" i="3"/>
  <c r="EM648" i="3"/>
  <c r="EM676" i="3"/>
  <c r="EM660" i="3"/>
  <c r="EW644" i="3"/>
  <c r="AX706" i="20"/>
  <c r="EM672" i="3"/>
  <c r="EM677" i="3"/>
  <c r="EW647" i="3"/>
  <c r="EW675" i="3"/>
  <c r="EM644" i="3"/>
  <c r="EW672" i="3"/>
  <c r="EM657" i="3"/>
  <c r="EW661" i="3"/>
  <c r="EW653" i="3"/>
  <c r="D63" i="11"/>
  <c r="EM673" i="3"/>
  <c r="EM666" i="3"/>
  <c r="EW668" i="3"/>
  <c r="EM646" i="3"/>
  <c r="EH660" i="3"/>
  <c r="I1061" i="3"/>
  <c r="AY1015" i="3" s="1"/>
  <c r="I1057" i="3"/>
  <c r="B12" i="4"/>
  <c r="DX651" i="3"/>
  <c r="EZ729" i="3"/>
  <c r="DX646" i="3" s="1"/>
  <c r="AQ114" i="20"/>
  <c r="D7" i="8"/>
  <c r="X729" i="3"/>
  <c r="AH729" i="3" s="1"/>
  <c r="EH648" i="3"/>
  <c r="DX652" i="3"/>
  <c r="E17" i="7"/>
  <c r="AC892" i="3"/>
  <c r="AC894" i="3" s="1"/>
  <c r="EH646" i="3"/>
  <c r="BT760" i="3"/>
  <c r="BU760" i="3" s="1"/>
  <c r="BT728" i="3"/>
  <c r="BT752" i="3"/>
  <c r="BU752" i="3" s="1"/>
  <c r="BT759" i="3"/>
  <c r="BU759" i="3" s="1"/>
  <c r="BT758" i="3"/>
  <c r="BU758" i="3" s="1"/>
  <c r="BT746" i="3"/>
  <c r="BU746" i="3" s="1"/>
  <c r="BT740" i="3"/>
  <c r="BU740" i="3" s="1"/>
  <c r="BT754" i="3"/>
  <c r="BU754" i="3" s="1"/>
  <c r="BT731" i="3"/>
  <c r="R12" i="4"/>
  <c r="ER649" i="3"/>
  <c r="Y69" i="15"/>
  <c r="G42" i="21" a="1"/>
  <c r="G42" i="21" s="1"/>
  <c r="G43" i="21" s="1"/>
  <c r="O27" i="21" s="1"/>
  <c r="P27" i="21" s="1" a="1"/>
  <c r="P27" i="21" s="1"/>
  <c r="N190" i="24"/>
  <c r="BT757" i="3"/>
  <c r="BU757" i="3" s="1"/>
  <c r="BT733" i="3"/>
  <c r="E86" i="13"/>
  <c r="S96" i="4"/>
  <c r="E96" i="13" s="1"/>
  <c r="CP810" i="3"/>
  <c r="AB995" i="3" s="1"/>
  <c r="DX668" i="3"/>
  <c r="DX672" i="3"/>
  <c r="DX671" i="3"/>
  <c r="DX675" i="3"/>
  <c r="DX658" i="3"/>
  <c r="DX667" i="3"/>
  <c r="DX655" i="3"/>
  <c r="DX647" i="3"/>
  <c r="DX656" i="3"/>
  <c r="DX643" i="3"/>
  <c r="DX665" i="3"/>
  <c r="DO762" i="3"/>
  <c r="DX659" i="3"/>
  <c r="DX670" i="3"/>
  <c r="DX654" i="3"/>
  <c r="DX653" i="3"/>
  <c r="DX657" i="3"/>
  <c r="DX648" i="3"/>
  <c r="CT763" i="3"/>
  <c r="S42" i="4"/>
  <c r="E42" i="13" s="1"/>
  <c r="E40" i="13"/>
  <c r="B38" i="13"/>
  <c r="B38" i="4"/>
  <c r="B63" i="4" s="1"/>
  <c r="D27" i="11"/>
  <c r="AQ117" i="20"/>
  <c r="D10" i="8"/>
  <c r="X732" i="3"/>
  <c r="AH732" i="3" s="1"/>
  <c r="BU732" i="3" s="1"/>
  <c r="FE732" i="3"/>
  <c r="EC649" i="3" s="1"/>
  <c r="E32" i="13"/>
  <c r="DX662" i="3"/>
  <c r="DX650" i="3"/>
  <c r="EH674" i="3"/>
  <c r="BA1048" i="3"/>
  <c r="BA1057" i="3" s="1" a="1"/>
  <c r="BA1057" i="3" s="1"/>
  <c r="X1057" i="3"/>
  <c r="G108" i="21"/>
  <c r="AJ634" i="20"/>
  <c r="AK816" i="20" s="1"/>
  <c r="T841" i="20" s="1"/>
  <c r="AF841" i="20" s="1"/>
  <c r="BE82" i="3" s="1"/>
  <c r="AW115" i="20"/>
  <c r="AW116" i="20"/>
  <c r="AW119" i="20"/>
  <c r="AW118" i="20"/>
  <c r="CT806" i="3"/>
  <c r="DU808" i="3" s="1"/>
  <c r="DU807" i="3"/>
  <c r="AG1058" i="3"/>
  <c r="DS786" i="3"/>
  <c r="DU786" i="3" s="1"/>
  <c r="DO810" i="3"/>
  <c r="EC643" i="3"/>
  <c r="M53" i="7"/>
  <c r="K58" i="7"/>
  <c r="EC653" i="3"/>
  <c r="EC663" i="3"/>
  <c r="EC673" i="3"/>
  <c r="EC677" i="3"/>
  <c r="EC654" i="3"/>
  <c r="EC667" i="3"/>
  <c r="EC656" i="3"/>
  <c r="EC675" i="3"/>
  <c r="EC666" i="3"/>
  <c r="CY763" i="3"/>
  <c r="EC664" i="3"/>
  <c r="CU810" i="3"/>
  <c r="AB996" i="3" s="1"/>
  <c r="AJ996" i="3" s="1"/>
  <c r="EC668" i="3"/>
  <c r="EC672" i="3"/>
  <c r="EC658" i="3"/>
  <c r="EC665" i="3"/>
  <c r="EC676" i="3"/>
  <c r="EC669" i="3"/>
  <c r="EC657" i="3"/>
  <c r="EC671" i="3"/>
  <c r="EC662" i="3"/>
  <c r="EC674" i="3"/>
  <c r="EC644" i="3"/>
  <c r="AS373" i="20"/>
  <c r="G6" i="7"/>
  <c r="E7" i="7"/>
  <c r="B13" i="11"/>
  <c r="DX673" i="3"/>
  <c r="G8" i="7"/>
  <c r="E9" i="7"/>
  <c r="ER673" i="3"/>
  <c r="ER648" i="3"/>
  <c r="ER662" i="3"/>
  <c r="AX705" i="20"/>
  <c r="ER674" i="3"/>
  <c r="ER652" i="3"/>
  <c r="ER663" i="3"/>
  <c r="ER676" i="3"/>
  <c r="ER669" i="3"/>
  <c r="ER666" i="3"/>
  <c r="ER677" i="3"/>
  <c r="ER665" i="3"/>
  <c r="ER653" i="3"/>
  <c r="ER672" i="3"/>
  <c r="ER660" i="3"/>
  <c r="ER650" i="3"/>
  <c r="ER655" i="3"/>
  <c r="ER659" i="3"/>
  <c r="ER668" i="3"/>
  <c r="ER654" i="3"/>
  <c r="ER670" i="3"/>
  <c r="ER651" i="3"/>
  <c r="ER667" i="3"/>
  <c r="ER661" i="3"/>
  <c r="ER657" i="3"/>
  <c r="DJ810" i="3"/>
  <c r="ER644" i="3"/>
  <c r="ER664" i="3"/>
  <c r="ER671" i="3"/>
  <c r="ER647" i="3"/>
  <c r="ER656" i="3"/>
  <c r="DN763" i="3"/>
  <c r="ER643" i="3"/>
  <c r="ER646" i="3"/>
  <c r="ER645" i="3"/>
  <c r="ER658" i="3"/>
  <c r="EH668" i="3"/>
  <c r="EH673" i="3"/>
  <c r="EH649" i="3"/>
  <c r="EH663" i="3"/>
  <c r="EH651" i="3"/>
  <c r="EH676" i="3"/>
  <c r="EH671" i="3"/>
  <c r="DD763" i="3"/>
  <c r="EH667" i="3"/>
  <c r="EH657" i="3"/>
  <c r="EH672" i="3"/>
  <c r="EH677" i="3"/>
  <c r="EH645" i="3"/>
  <c r="EH675" i="3"/>
  <c r="EH650" i="3"/>
  <c r="EH670" i="3"/>
  <c r="EH661" i="3"/>
  <c r="EH644" i="3"/>
  <c r="EH665" i="3"/>
  <c r="EH664" i="3"/>
  <c r="CZ810" i="3"/>
  <c r="AB997" i="3" s="1"/>
  <c r="AJ997" i="3" s="1"/>
  <c r="EH656" i="3"/>
  <c r="EH669" i="3"/>
  <c r="DX666" i="3"/>
  <c r="M15" i="7"/>
  <c r="ET807" i="3"/>
  <c r="DX664" i="3"/>
  <c r="R40" i="4"/>
  <c r="R42" i="4" s="1"/>
  <c r="E42" i="4"/>
  <c r="DX674" i="3"/>
  <c r="BG731" i="3"/>
  <c r="BH731" i="3" s="1"/>
  <c r="BG739" i="3"/>
  <c r="BH739" i="3" s="1"/>
  <c r="BG756" i="3"/>
  <c r="BH756" i="3" s="1"/>
  <c r="BG733" i="3"/>
  <c r="BH733" i="3" s="1"/>
  <c r="BG746" i="3"/>
  <c r="BH746" i="3" s="1"/>
  <c r="BG728" i="3"/>
  <c r="BH728" i="3" s="1"/>
  <c r="BG743" i="3"/>
  <c r="BH743" i="3" s="1"/>
  <c r="BG755" i="3"/>
  <c r="BH755" i="3" s="1"/>
  <c r="BG757" i="3"/>
  <c r="BH757" i="3" s="1"/>
  <c r="BG751" i="3"/>
  <c r="BH751" i="3" s="1"/>
  <c r="BG726" i="3"/>
  <c r="BG740" i="3"/>
  <c r="BH740" i="3" s="1"/>
  <c r="BG727" i="3"/>
  <c r="BH727" i="3" s="1"/>
  <c r="BG738" i="3"/>
  <c r="BH738" i="3" s="1"/>
  <c r="BG735" i="3"/>
  <c r="BH735" i="3" s="1"/>
  <c r="BG760" i="3"/>
  <c r="BH760" i="3" s="1"/>
  <c r="BG729" i="3"/>
  <c r="BH729" i="3" s="1"/>
  <c r="BG758" i="3"/>
  <c r="BH758" i="3" s="1"/>
  <c r="BG730" i="3"/>
  <c r="BH730" i="3" s="1"/>
  <c r="BG753" i="3"/>
  <c r="BH753" i="3" s="1"/>
  <c r="BG745" i="3"/>
  <c r="BH745" i="3" s="1"/>
  <c r="BG737" i="3"/>
  <c r="BH737" i="3" s="1"/>
  <c r="BG754" i="3"/>
  <c r="BH754" i="3" s="1"/>
  <c r="BG744" i="3"/>
  <c r="BH744" i="3" s="1"/>
  <c r="BG742" i="3"/>
  <c r="BH742" i="3" s="1"/>
  <c r="BG748" i="3"/>
  <c r="BH748" i="3" s="1"/>
  <c r="BG736" i="3"/>
  <c r="BH736" i="3" s="1"/>
  <c r="BG752" i="3"/>
  <c r="BH752" i="3" s="1"/>
  <c r="BG732" i="3"/>
  <c r="BH732" i="3" s="1"/>
  <c r="BG747" i="3"/>
  <c r="BH747" i="3" s="1"/>
  <c r="BG759" i="3"/>
  <c r="BH759" i="3" s="1"/>
  <c r="BG741" i="3"/>
  <c r="BH741" i="3" s="1"/>
  <c r="BG749" i="3"/>
  <c r="BH749" i="3" s="1"/>
  <c r="BG734" i="3"/>
  <c r="BH734" i="3" s="1"/>
  <c r="BG750" i="3"/>
  <c r="BH750" i="3" s="1"/>
  <c r="EH652" i="3"/>
  <c r="DX669" i="3"/>
  <c r="EH659" i="3"/>
  <c r="DX663" i="3"/>
  <c r="EC660" i="3"/>
  <c r="FE733" i="3"/>
  <c r="EC650" i="3" s="1"/>
  <c r="D11" i="8"/>
  <c r="AQ118" i="20"/>
  <c r="X733" i="3"/>
  <c r="AH733" i="3" s="1"/>
  <c r="EC646" i="3"/>
  <c r="EC652" i="3"/>
  <c r="FJ761" i="3"/>
  <c r="EH643" i="3"/>
  <c r="DX649" i="3"/>
  <c r="D55" i="11"/>
  <c r="BE8" i="3"/>
  <c r="BE9" i="3" s="1"/>
  <c r="DX676" i="3"/>
  <c r="X734" i="3"/>
  <c r="AH734" i="3" s="1"/>
  <c r="AQ119" i="20"/>
  <c r="FE734" i="3"/>
  <c r="EC651" i="3" s="1"/>
  <c r="D12" i="8"/>
  <c r="C63" i="4"/>
  <c r="EC659" i="3"/>
  <c r="D9" i="11"/>
  <c r="C13" i="11"/>
  <c r="FE730" i="3"/>
  <c r="EC647" i="3" s="1"/>
  <c r="D8" i="8"/>
  <c r="X730" i="3"/>
  <c r="AH730" i="3" s="1"/>
  <c r="AQ115" i="20"/>
  <c r="O761" i="3"/>
  <c r="D15" i="8"/>
  <c r="AQ122" i="20"/>
  <c r="X737" i="3"/>
  <c r="AH737" i="3" s="1"/>
  <c r="H97" i="13"/>
  <c r="EH647" i="3"/>
  <c r="T18" i="21"/>
  <c r="G60" i="21" s="1"/>
  <c r="B34" i="11"/>
  <c r="B39" i="11" s="1"/>
  <c r="B64" i="11" s="1"/>
  <c r="B98" i="11" s="1"/>
  <c r="B106" i="11" s="1"/>
  <c r="B33" i="4"/>
  <c r="B33" i="13"/>
  <c r="C34" i="11"/>
  <c r="F33" i="4"/>
  <c r="F38" i="4" s="1"/>
  <c r="S33" i="4"/>
  <c r="E33" i="13" s="1"/>
  <c r="EH653" i="3"/>
  <c r="AQ116" i="20"/>
  <c r="FE731" i="3"/>
  <c r="EC648" i="3" s="1"/>
  <c r="X731" i="3"/>
  <c r="AH731" i="3" s="1"/>
  <c r="D9" i="8"/>
  <c r="X736" i="3"/>
  <c r="AH736" i="3" s="1"/>
  <c r="D14" i="8"/>
  <c r="AQ121" i="20"/>
  <c r="J29" i="24"/>
  <c r="AT22" i="24" s="1"/>
  <c r="DU785" i="3"/>
  <c r="EC661" i="3"/>
  <c r="D97" i="11" l="1"/>
  <c r="BU736" i="3"/>
  <c r="BU730" i="3"/>
  <c r="BU727" i="3"/>
  <c r="BU737" i="3"/>
  <c r="BU728" i="3"/>
  <c r="BU734" i="3"/>
  <c r="BU729" i="3"/>
  <c r="T105" i="4"/>
  <c r="H105" i="13" s="1"/>
  <c r="T826" i="20"/>
  <c r="AF826" i="20" s="1"/>
  <c r="BE71" i="3" s="1"/>
  <c r="F27" i="21"/>
  <c r="G27" i="21" s="1"/>
  <c r="BU733" i="3"/>
  <c r="AK83" i="20"/>
  <c r="T827" i="20" s="1"/>
  <c r="AF827" i="20" s="1"/>
  <c r="BE72" i="3" s="1"/>
  <c r="G52" i="21"/>
  <c r="G54" i="21" s="1"/>
  <c r="G56" i="21" s="1"/>
  <c r="E12" i="21" s="1"/>
  <c r="F28" i="21"/>
  <c r="G28" i="21" s="1"/>
  <c r="O29" i="21"/>
  <c r="P29" i="21" s="1" a="1"/>
  <c r="P29" i="21" s="1"/>
  <c r="S29" i="21" s="1"/>
  <c r="O30" i="21"/>
  <c r="P30" i="21" s="1" a="1"/>
  <c r="P30" i="21" s="1"/>
  <c r="S30" i="21" s="1"/>
  <c r="BU731" i="3"/>
  <c r="EW678" i="3"/>
  <c r="AD129" i="20" s="1"/>
  <c r="AD132" i="20" s="1"/>
  <c r="AD135" i="20" s="1"/>
  <c r="O22" i="21"/>
  <c r="P22" i="21" s="1" a="1"/>
  <c r="P22" i="21" s="1"/>
  <c r="S22" i="21" s="1"/>
  <c r="AX707" i="20"/>
  <c r="AY708" i="20" s="1"/>
  <c r="BB6" i="24" a="1"/>
  <c r="BB6" i="24" s="1"/>
  <c r="O31" i="21"/>
  <c r="P31" i="21" s="1" a="1"/>
  <c r="P31" i="21" s="1"/>
  <c r="S31" i="21" s="1"/>
  <c r="BB5" i="24" a="1"/>
  <c r="BB5" i="24" s="1"/>
  <c r="BT761" i="3"/>
  <c r="AT24" i="24"/>
  <c r="EZ761" i="3"/>
  <c r="AT21" i="24"/>
  <c r="EM678" i="3"/>
  <c r="T129" i="20" s="1"/>
  <c r="T132" i="20" s="1"/>
  <c r="T135" i="20" s="1"/>
  <c r="BB4" i="24" a="1"/>
  <c r="BB4" i="24" s="1"/>
  <c r="AT19" i="24"/>
  <c r="O28" i="21"/>
  <c r="P28" i="21" s="1" a="1"/>
  <c r="P28" i="21" s="1"/>
  <c r="S28" i="21" s="1"/>
  <c r="O21" i="21"/>
  <c r="P21" i="21" s="1" a="1"/>
  <c r="P21" i="21" s="1"/>
  <c r="S21" i="21" s="1"/>
  <c r="G17" i="7"/>
  <c r="E22" i="7"/>
  <c r="E35" i="7" s="1"/>
  <c r="O26" i="21"/>
  <c r="P26" i="21" s="1" a="1"/>
  <c r="P26" i="21" s="1"/>
  <c r="S26" i="21" s="1"/>
  <c r="O20" i="21"/>
  <c r="P20" i="21" s="1" a="1"/>
  <c r="P20" i="21" s="1"/>
  <c r="S20" i="21" s="1"/>
  <c r="O23" i="21"/>
  <c r="P23" i="21" s="1" a="1"/>
  <c r="P23" i="21" s="1"/>
  <c r="S23" i="21" s="1"/>
  <c r="S38" i="4"/>
  <c r="S63" i="4" s="1"/>
  <c r="O24" i="21"/>
  <c r="P24" i="21" s="1" a="1"/>
  <c r="P24" i="21" s="1"/>
  <c r="S24" i="21" s="1"/>
  <c r="D13" i="11"/>
  <c r="AT20" i="24"/>
  <c r="O25" i="21"/>
  <c r="P25" i="21" s="1" a="1"/>
  <c r="P25" i="21" s="1"/>
  <c r="S25" i="21" s="1"/>
  <c r="BE10" i="3"/>
  <c r="DX678" i="3"/>
  <c r="E129" i="20" s="1"/>
  <c r="E132" i="20" s="1"/>
  <c r="E135" i="20" s="1"/>
  <c r="B63" i="13"/>
  <c r="C97" i="4"/>
  <c r="O53" i="7"/>
  <c r="M58" i="7"/>
  <c r="ER678" i="3"/>
  <c r="Y129" i="20" s="1"/>
  <c r="Y132" i="20" s="1"/>
  <c r="Y135" i="20" s="1"/>
  <c r="G9" i="7"/>
  <c r="I8" i="7"/>
  <c r="D34" i="11"/>
  <c r="C39" i="11"/>
  <c r="O15" i="7"/>
  <c r="E33" i="4"/>
  <c r="AG1054" i="3"/>
  <c r="AY1014" i="3"/>
  <c r="AJ995" i="3"/>
  <c r="G63" i="21"/>
  <c r="G65" i="21" s="1"/>
  <c r="E13" i="21" s="1"/>
  <c r="AW121" i="20"/>
  <c r="C39" i="21"/>
  <c r="G159" i="21"/>
  <c r="I17" i="21" s="1"/>
  <c r="AY37" i="24"/>
  <c r="AT27" i="24"/>
  <c r="AY36" i="24"/>
  <c r="AY46" i="24"/>
  <c r="AT26" i="24"/>
  <c r="AT29" i="24"/>
  <c r="AT25" i="24"/>
  <c r="AY45" i="24"/>
  <c r="AY38" i="24"/>
  <c r="AY39" i="24"/>
  <c r="AY44" i="24"/>
  <c r="AY42" i="24"/>
  <c r="AT28" i="24"/>
  <c r="AY47" i="24"/>
  <c r="AY40" i="24"/>
  <c r="AY41" i="24"/>
  <c r="AY43" i="24"/>
  <c r="FE761" i="3"/>
  <c r="EH678" i="3"/>
  <c r="O129" i="20" s="1"/>
  <c r="O132" i="20" s="1"/>
  <c r="O135" i="20" s="1"/>
  <c r="EC678" i="3"/>
  <c r="J129" i="20" s="1"/>
  <c r="J132" i="20" s="1"/>
  <c r="J135" i="20" s="1"/>
  <c r="S27" i="21"/>
  <c r="BG761" i="3"/>
  <c r="BH726" i="3"/>
  <c r="BH761" i="3" s="1"/>
  <c r="AC761" i="3" s="1"/>
  <c r="DU763" i="3"/>
  <c r="D40" i="8"/>
  <c r="Y809" i="3"/>
  <c r="Y808" i="3"/>
  <c r="AT23" i="24"/>
  <c r="I6" i="7"/>
  <c r="G7" i="7"/>
  <c r="AB999" i="3"/>
  <c r="AJ999" i="3" s="1"/>
  <c r="AK190" i="20" l="1"/>
  <c r="T833" i="20" s="1"/>
  <c r="AF833" i="20" s="1"/>
  <c r="BE76" i="3" s="1"/>
  <c r="BU761" i="3"/>
  <c r="AH761" i="3" s="1"/>
  <c r="BE43" i="3" s="1"/>
  <c r="E11" i="21"/>
  <c r="T107" i="4"/>
  <c r="H107" i="13" s="1"/>
  <c r="F26" i="21"/>
  <c r="AX708" i="20"/>
  <c r="AO708" i="20" s="1"/>
  <c r="AP719" i="20" s="1"/>
  <c r="E38" i="13"/>
  <c r="E137" i="20"/>
  <c r="E138" i="20" s="1"/>
  <c r="AK142" i="20" s="1"/>
  <c r="T829" i="20" s="1"/>
  <c r="AF829" i="20" s="1"/>
  <c r="BE74" i="3" s="1"/>
  <c r="G45" i="21"/>
  <c r="G47" i="21" s="1"/>
  <c r="E10" i="21" s="1"/>
  <c r="I17" i="7"/>
  <c r="G22" i="7"/>
  <c r="G35" i="7" s="1"/>
  <c r="G26" i="21"/>
  <c r="F29" i="21"/>
  <c r="G29" i="21"/>
  <c r="R33" i="4"/>
  <c r="R38" i="4" s="1"/>
  <c r="E38" i="4"/>
  <c r="O764" i="3"/>
  <c r="P430" i="3"/>
  <c r="DU810" i="3"/>
  <c r="U386" i="20" s="1"/>
  <c r="O58" i="7"/>
  <c r="Q53" i="7"/>
  <c r="BE11" i="3"/>
  <c r="BE12" i="3" s="1"/>
  <c r="E102" i="20"/>
  <c r="E105" i="20" s="1"/>
  <c r="AP105" i="20" s="1"/>
  <c r="AK108" i="20" s="1"/>
  <c r="T828" i="20" s="1"/>
  <c r="AF828" i="20" s="1"/>
  <c r="BE42" i="3"/>
  <c r="E92" i="20"/>
  <c r="E93" i="20" s="1"/>
  <c r="E94" i="20" s="1"/>
  <c r="C105" i="4"/>
  <c r="B97" i="4"/>
  <c r="B97" i="13"/>
  <c r="AD11" i="15"/>
  <c r="AD23" i="15" s="1"/>
  <c r="AD26" i="15" s="1"/>
  <c r="AD28" i="15" s="1"/>
  <c r="AI11" i="15"/>
  <c r="AI23" i="15" s="1"/>
  <c r="AI26" i="15" s="1"/>
  <c r="AI28" i="15" s="1"/>
  <c r="I9" i="7"/>
  <c r="K8" i="7"/>
  <c r="E4" i="7"/>
  <c r="Z826" i="3"/>
  <c r="Q15" i="7"/>
  <c r="D39" i="11"/>
  <c r="C64" i="11"/>
  <c r="AJ1001" i="3"/>
  <c r="AB1000" i="3"/>
  <c r="K6" i="7"/>
  <c r="I7" i="7"/>
  <c r="E63" i="13"/>
  <c r="S97" i="4"/>
  <c r="AP718" i="20" l="1"/>
  <c r="K17" i="7"/>
  <c r="I22" i="7"/>
  <c r="I35" i="7" s="1"/>
  <c r="S15" i="7"/>
  <c r="K7" i="7"/>
  <c r="M6" i="7"/>
  <c r="M8" i="7"/>
  <c r="K9" i="7"/>
  <c r="S105" i="4"/>
  <c r="E97" i="13"/>
  <c r="AZ1055" i="3"/>
  <c r="G31" i="21"/>
  <c r="G33" i="21" s="1"/>
  <c r="E9" i="21" s="1"/>
  <c r="G102" i="21"/>
  <c r="G104" i="21" s="1"/>
  <c r="E16" i="21" s="1"/>
  <c r="G93" i="21"/>
  <c r="G94" i="21" s="1"/>
  <c r="E15" i="21" s="1"/>
  <c r="G125" i="21"/>
  <c r="G110" i="21"/>
  <c r="S53" i="7"/>
  <c r="Q58" i="7"/>
  <c r="AG268" i="20"/>
  <c r="AC464" i="3"/>
  <c r="B105" i="4"/>
  <c r="AM566" i="3" s="1"/>
  <c r="BE101" i="3"/>
  <c r="B105" i="13"/>
  <c r="G4" i="7"/>
  <c r="E5" i="7"/>
  <c r="E11" i="7" s="1"/>
  <c r="E37" i="7" s="1"/>
  <c r="AJ1041" i="3"/>
  <c r="AP563" i="20"/>
  <c r="AJ1058" i="3"/>
  <c r="AP566" i="20" s="1"/>
  <c r="BE73" i="3"/>
  <c r="C98" i="11"/>
  <c r="D64" i="11"/>
  <c r="BE13" i="3"/>
  <c r="AJ1054" i="3"/>
  <c r="AP565" i="20" s="1"/>
  <c r="AO636" i="3" l="1"/>
  <c r="AM574" i="3"/>
  <c r="M17" i="7"/>
  <c r="K22" i="7"/>
  <c r="K35" i="7" s="1"/>
  <c r="E45" i="7"/>
  <c r="E49" i="7"/>
  <c r="G5" i="7"/>
  <c r="G11" i="7" s="1"/>
  <c r="G37" i="7" s="1"/>
  <c r="I4" i="7"/>
  <c r="S107" i="4"/>
  <c r="I9" i="21"/>
  <c r="E105" i="13"/>
  <c r="AP567" i="20"/>
  <c r="M7" i="7"/>
  <c r="O6" i="7"/>
  <c r="C106" i="11"/>
  <c r="D106" i="11" s="1"/>
  <c r="D98" i="11"/>
  <c r="U15" i="7"/>
  <c r="G115" i="21"/>
  <c r="G127" i="21"/>
  <c r="G111" i="21"/>
  <c r="I15" i="21"/>
  <c r="AJ1045" i="3"/>
  <c r="AJ1062" i="3" s="1"/>
  <c r="BA1065" i="3"/>
  <c r="AZ1060" i="3"/>
  <c r="BA1064" i="3" s="1"/>
  <c r="BA1068" i="3" s="1"/>
  <c r="O8" i="7"/>
  <c r="M9" i="7"/>
  <c r="BE14" i="3"/>
  <c r="BE15" i="3" s="1"/>
  <c r="AB47" i="15"/>
  <c r="N180" i="24"/>
  <c r="BE22" i="3"/>
  <c r="AC463" i="3"/>
  <c r="BE44" i="3" s="1"/>
  <c r="AB265" i="20"/>
  <c r="AG267" i="20" s="1"/>
  <c r="AG269" i="20" s="1"/>
  <c r="AK272" i="20" s="1"/>
  <c r="T834" i="20" s="1"/>
  <c r="S58" i="7"/>
  <c r="U53" i="7"/>
  <c r="AO647" i="3" l="1"/>
  <c r="G108" i="4"/>
  <c r="G99" i="4" s="1"/>
  <c r="F99" i="4" s="1"/>
  <c r="O17" i="7"/>
  <c r="M22" i="7"/>
  <c r="M35" i="7" s="1"/>
  <c r="G45" i="7"/>
  <c r="G49" i="7"/>
  <c r="W15" i="7"/>
  <c r="O9" i="7"/>
  <c r="Q8" i="7"/>
  <c r="Q6" i="7"/>
  <c r="O7" i="7"/>
  <c r="AF564" i="20"/>
  <c r="E107" i="13"/>
  <c r="AC465" i="3"/>
  <c r="AE707" i="3"/>
  <c r="AA1065" i="3"/>
  <c r="AA1066" i="3" s="1"/>
  <c r="G1067" i="3" s="1"/>
  <c r="T24" i="15"/>
  <c r="AP570" i="20"/>
  <c r="AP569" i="20" s="1"/>
  <c r="AP572" i="20" s="1"/>
  <c r="AF565" i="20" s="1"/>
  <c r="G129" i="21"/>
  <c r="E17" i="21" s="1"/>
  <c r="E14" i="21" s="1"/>
  <c r="E18" i="21" s="1"/>
  <c r="H3" i="21" s="1"/>
  <c r="N191" i="24"/>
  <c r="N181" i="24"/>
  <c r="G165" i="21"/>
  <c r="G166" i="21"/>
  <c r="K4" i="7"/>
  <c r="I5" i="7"/>
  <c r="I11" i="7" s="1"/>
  <c r="I37" i="7" s="1"/>
  <c r="U58" i="7"/>
  <c r="W53" i="7"/>
  <c r="E47" i="7"/>
  <c r="E60" i="7"/>
  <c r="E48" i="7"/>
  <c r="AB48" i="15" l="1"/>
  <c r="AB49" i="15" s="1"/>
  <c r="AO649" i="3"/>
  <c r="G104" i="4"/>
  <c r="G105" i="4" s="1"/>
  <c r="AF566" i="20"/>
  <c r="AK572" i="20" s="1"/>
  <c r="T840" i="20" s="1"/>
  <c r="AF840" i="20" s="1"/>
  <c r="BE81" i="3" s="1"/>
  <c r="Q17" i="7"/>
  <c r="O22" i="7"/>
  <c r="O35" i="7" s="1"/>
  <c r="K5" i="7"/>
  <c r="K11" i="7" s="1"/>
  <c r="K37" i="7" s="1"/>
  <c r="M4" i="7"/>
  <c r="S8" i="7"/>
  <c r="Q9" i="7"/>
  <c r="E62" i="7"/>
  <c r="E66" i="7"/>
  <c r="E67" i="7"/>
  <c r="T11" i="15"/>
  <c r="T23" i="15" s="1"/>
  <c r="T26" i="15" s="1"/>
  <c r="T28" i="15" s="1"/>
  <c r="Y11" i="15"/>
  <c r="Y23" i="15" s="1"/>
  <c r="Y26" i="15" s="1"/>
  <c r="Y28" i="15" s="1"/>
  <c r="Y15" i="7"/>
  <c r="W58" i="7"/>
  <c r="Y53" i="7"/>
  <c r="I49" i="7"/>
  <c r="I45" i="7"/>
  <c r="Q7" i="7"/>
  <c r="S6" i="7"/>
  <c r="G47" i="7"/>
  <c r="G60" i="7"/>
  <c r="G62" i="7" s="1"/>
  <c r="G48" i="7"/>
  <c r="E99" i="4" l="1"/>
  <c r="F104" i="4"/>
  <c r="AF843" i="20"/>
  <c r="BE70" i="3" s="1"/>
  <c r="T29" i="15"/>
  <c r="S17" i="7"/>
  <c r="Q22" i="7"/>
  <c r="Q35" i="7" s="1"/>
  <c r="K45" i="7"/>
  <c r="K49" i="7"/>
  <c r="AA15" i="7"/>
  <c r="G66" i="7"/>
  <c r="G67" i="7"/>
  <c r="Y38" i="15"/>
  <c r="Y40" i="15" s="1"/>
  <c r="E70" i="7"/>
  <c r="E72" i="7" s="1"/>
  <c r="U6" i="7"/>
  <c r="S7" i="7"/>
  <c r="I47" i="7"/>
  <c r="I48" i="7"/>
  <c r="I60" i="7"/>
  <c r="AA53" i="7"/>
  <c r="Y58" i="7"/>
  <c r="U8" i="7"/>
  <c r="S9" i="7"/>
  <c r="O4" i="7"/>
  <c r="M5" i="7"/>
  <c r="M11" i="7"/>
  <c r="M37" i="7" s="1"/>
  <c r="AD38" i="15"/>
  <c r="AD40" i="15" s="1"/>
  <c r="E104" i="4" l="1"/>
  <c r="R99" i="4"/>
  <c r="R104" i="4" s="1"/>
  <c r="F54" i="4"/>
  <c r="F63" i="4" s="1"/>
  <c r="F97" i="4" s="1"/>
  <c r="F105" i="4" s="1"/>
  <c r="U17" i="7"/>
  <c r="S22" i="7"/>
  <c r="S35" i="7" s="1"/>
  <c r="Y41" i="15"/>
  <c r="AB50" i="15" s="1"/>
  <c r="AA58" i="7"/>
  <c r="AC53" i="7"/>
  <c r="I66" i="7"/>
  <c r="I67" i="7"/>
  <c r="I62" i="7"/>
  <c r="U7" i="7"/>
  <c r="W6" i="7"/>
  <c r="M45" i="7"/>
  <c r="M49" i="7"/>
  <c r="O5" i="7"/>
  <c r="O11" i="7" s="1"/>
  <c r="O37" i="7" s="1"/>
  <c r="Q4" i="7"/>
  <c r="AC15" i="7"/>
  <c r="W8" i="7"/>
  <c r="U9" i="7"/>
  <c r="G70" i="7"/>
  <c r="G72" i="7" s="1"/>
  <c r="K47" i="7"/>
  <c r="K60" i="7"/>
  <c r="K48" i="7"/>
  <c r="E54" i="4" l="1"/>
  <c r="E63" i="4" s="1"/>
  <c r="E97" i="4" s="1"/>
  <c r="E105" i="4" s="1"/>
  <c r="R45" i="4"/>
  <c r="R54" i="4" s="1"/>
  <c r="R63" i="4" s="1"/>
  <c r="R97" i="4" s="1"/>
  <c r="R105" i="4" s="1"/>
  <c r="W17" i="7"/>
  <c r="U22" i="7"/>
  <c r="U35" i="7" s="1"/>
  <c r="O45" i="7"/>
  <c r="O49" i="7"/>
  <c r="S4" i="7"/>
  <c r="Q5" i="7"/>
  <c r="Q11" i="7" s="1"/>
  <c r="Q37" i="7" s="1"/>
  <c r="W7" i="7"/>
  <c r="Y6" i="7"/>
  <c r="Y8" i="7"/>
  <c r="W9" i="7"/>
  <c r="BE62" i="3"/>
  <c r="AB54" i="15"/>
  <c r="AB55" i="15" s="1"/>
  <c r="AB56" i="15" s="1"/>
  <c r="AE15" i="7"/>
  <c r="M48" i="7"/>
  <c r="M60" i="7"/>
  <c r="M47" i="7"/>
  <c r="K67" i="7"/>
  <c r="K62" i="7"/>
  <c r="K66" i="7"/>
  <c r="I70" i="7"/>
  <c r="I72" i="7" s="1"/>
  <c r="AE53" i="7"/>
  <c r="AC58" i="7"/>
  <c r="K70" i="7" l="1"/>
  <c r="K72" i="7" s="1"/>
  <c r="Y17" i="7"/>
  <c r="W22" i="7"/>
  <c r="W35" i="7" s="1"/>
  <c r="Q45" i="7"/>
  <c r="Q49" i="7"/>
  <c r="M62" i="7"/>
  <c r="M67" i="7"/>
  <c r="M66" i="7"/>
  <c r="AG15" i="7"/>
  <c r="S5" i="7"/>
  <c r="S11" i="7" s="1"/>
  <c r="S37" i="7" s="1"/>
  <c r="U4" i="7"/>
  <c r="AB57" i="15"/>
  <c r="M26" i="3"/>
  <c r="Y9" i="7"/>
  <c r="AA8" i="7"/>
  <c r="AA6" i="7"/>
  <c r="Y7" i="7"/>
  <c r="AG53" i="7"/>
  <c r="AG58" i="7" s="1"/>
  <c r="AE58" i="7"/>
  <c r="O48" i="7"/>
  <c r="O60" i="7"/>
  <c r="O47" i="7"/>
  <c r="M70" i="7" l="1"/>
  <c r="M72" i="7" s="1"/>
  <c r="AA17" i="7"/>
  <c r="Y22" i="7"/>
  <c r="Y35" i="7" s="1"/>
  <c r="AB59" i="15"/>
  <c r="AB77" i="15" s="1"/>
  <c r="AB78" i="15" s="1"/>
  <c r="S49" i="7"/>
  <c r="S45" i="7"/>
  <c r="P204" i="3"/>
  <c r="BE19" i="3"/>
  <c r="AA7" i="7"/>
  <c r="AC6" i="7"/>
  <c r="AA9" i="7"/>
  <c r="AC8" i="7"/>
  <c r="U5" i="7"/>
  <c r="U11" i="7" s="1"/>
  <c r="U37" i="7" s="1"/>
  <c r="W4" i="7"/>
  <c r="O67" i="7"/>
  <c r="O66" i="7"/>
  <c r="O62" i="7"/>
  <c r="Q47" i="7"/>
  <c r="Q60" i="7"/>
  <c r="Q48" i="7"/>
  <c r="O70" i="7" l="1"/>
  <c r="O72" i="7" s="1"/>
  <c r="AC17" i="7"/>
  <c r="AA22" i="7"/>
  <c r="AA35" i="7" s="1"/>
  <c r="I10" i="21"/>
  <c r="I11" i="21" s="1"/>
  <c r="I18" i="21" s="1"/>
  <c r="H4" i="21" s="1"/>
  <c r="H5" i="21" s="1"/>
  <c r="BE83" i="3" s="1"/>
  <c r="M27" i="3"/>
  <c r="AB79" i="15"/>
  <c r="AB81" i="15" s="1"/>
  <c r="J82" i="15" s="1"/>
  <c r="W5" i="7"/>
  <c r="W11" i="7" s="1"/>
  <c r="W37" i="7" s="1"/>
  <c r="Y4" i="7"/>
  <c r="U45" i="7"/>
  <c r="U49" i="7"/>
  <c r="AC9" i="7"/>
  <c r="AE8" i="7"/>
  <c r="AE6" i="7"/>
  <c r="AC7" i="7"/>
  <c r="S47" i="7"/>
  <c r="S60" i="7"/>
  <c r="S48" i="7"/>
  <c r="Q62" i="7"/>
  <c r="Q67" i="7"/>
  <c r="Q66" i="7"/>
  <c r="Q70" i="7" l="1"/>
  <c r="Q72" i="7" s="1"/>
  <c r="AE17" i="7"/>
  <c r="AC22" i="7"/>
  <c r="AC35" i="7" s="1"/>
  <c r="S67" i="7"/>
  <c r="S66" i="7"/>
  <c r="S62" i="7"/>
  <c r="AG6" i="7"/>
  <c r="AG7" i="7" s="1"/>
  <c r="AE7" i="7"/>
  <c r="AG8" i="7"/>
  <c r="AG9" i="7" s="1"/>
  <c r="AE9" i="7"/>
  <c r="U60" i="7"/>
  <c r="U48" i="7"/>
  <c r="U47" i="7"/>
  <c r="AA4" i="7"/>
  <c r="Y5" i="7"/>
  <c r="Y11" i="7"/>
  <c r="Y37" i="7" s="1"/>
  <c r="W49" i="7"/>
  <c r="W45" i="7"/>
  <c r="BE20" i="3"/>
  <c r="P205" i="3"/>
  <c r="S70" i="7" l="1"/>
  <c r="S72" i="7"/>
  <c r="AG17" i="7"/>
  <c r="AG22" i="7" s="1"/>
  <c r="AG35" i="7" s="1"/>
  <c r="AE22" i="7"/>
  <c r="AE35" i="7" s="1"/>
  <c r="W47" i="7"/>
  <c r="W48" i="7"/>
  <c r="W60" i="7"/>
  <c r="U66" i="7"/>
  <c r="U62" i="7"/>
  <c r="U67" i="7"/>
  <c r="Y49" i="7"/>
  <c r="Y45" i="7"/>
  <c r="AA5" i="7"/>
  <c r="AA11" i="7" s="1"/>
  <c r="AA37" i="7" s="1"/>
  <c r="AC4" i="7"/>
  <c r="U70" i="7" l="1"/>
  <c r="U72" i="7" s="1"/>
  <c r="W66" i="7"/>
  <c r="W67" i="7"/>
  <c r="AC5" i="7"/>
  <c r="AC11" i="7" s="1"/>
  <c r="AC37" i="7" s="1"/>
  <c r="AE4" i="7"/>
  <c r="Y60" i="7"/>
  <c r="Y47" i="7"/>
  <c r="Y48" i="7"/>
  <c r="AA45" i="7"/>
  <c r="AA49" i="7"/>
  <c r="W70" i="7" l="1"/>
  <c r="W72" i="7" s="1"/>
  <c r="AC49" i="7"/>
  <c r="AC45" i="7"/>
  <c r="Y66" i="7"/>
  <c r="Y67" i="7"/>
  <c r="AA47" i="7"/>
  <c r="AA48" i="7"/>
  <c r="AA60" i="7"/>
  <c r="AE5" i="7"/>
  <c r="AE11" i="7" s="1"/>
  <c r="AE37" i="7" s="1"/>
  <c r="AG4" i="7"/>
  <c r="AE49" i="7" l="1"/>
  <c r="AE45" i="7"/>
  <c r="AA67" i="7"/>
  <c r="AA66" i="7"/>
  <c r="AC47" i="7"/>
  <c r="AC48" i="7"/>
  <c r="AC60" i="7"/>
  <c r="AG5" i="7"/>
  <c r="AG11" i="7" s="1"/>
  <c r="AG37" i="7" s="1"/>
  <c r="Y70" i="7"/>
  <c r="Y72" i="7" s="1"/>
  <c r="AA70" i="7" l="1"/>
  <c r="AA72" i="7" s="1"/>
  <c r="AG49" i="7"/>
  <c r="AG45" i="7"/>
  <c r="AC66" i="7"/>
  <c r="AC67" i="7"/>
  <c r="AE47" i="7"/>
  <c r="AE60" i="7"/>
  <c r="AE48" i="7"/>
  <c r="AE67" i="7" l="1"/>
  <c r="AE66" i="7"/>
  <c r="AG48" i="7"/>
  <c r="AG60" i="7"/>
  <c r="AG47" i="7"/>
  <c r="AC70" i="7"/>
  <c r="AC72" i="7" s="1"/>
  <c r="AE70" i="7" l="1"/>
  <c r="AE72" i="7" s="1"/>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<sst xmlns="http://schemas.openxmlformats.org/spreadsheetml/2006/main" count="5074" uniqueCount="2769">
  <si>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</si>
  <si>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</si>
  <si>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</si>
  <si>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</si>
  <si>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</si>
  <si>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</si>
  <si>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</si>
  <si>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</si>
  <si>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</si>
  <si>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</si>
  <si>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</si>
  <si>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</si>
  <si>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</si>
  <si>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</si>
  <si>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</si>
  <si>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</si>
  <si>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</si>
  <si>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</si>
  <si>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</si>
  <si>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</si>
  <si>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</si>
  <si>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</si>
  <si>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</si>
  <si>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</si>
  <si>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</si>
  <si>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</si>
  <si>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</si>
  <si>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</si>
  <si>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</si>
  <si>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</si>
  <si>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</si>
  <si>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</si>
  <si>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</si>
  <si>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</si>
  <si>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</si>
  <si>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</si>
  <si>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</si>
  <si>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</si>
  <si>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</si>
  <si>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</si>
  <si>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</si>
  <si>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</si>
  <si>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</si>
  <si>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</si>
  <si>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</si>
  <si>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</si>
  <si>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</si>
  <si>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</si>
  <si>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</si>
  <si>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</si>
  <si>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</si>
  <si>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</si>
  <si>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</si>
  <si>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</si>
  <si>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</si>
  <si>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</si>
  <si>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</si>
  <si>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</si>
  <si>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</si>
  <si>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</si>
  <si>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</si>
  <si>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</si>
  <si>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</si>
  <si>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</si>
  <si>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</si>
  <si>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</si>
  <si>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</si>
  <si>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</si>
  <si>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</si>
  <si>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</si>
  <si>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</si>
  <si>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</si>
  <si>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</si>
  <si>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</si>
  <si>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</si>
  <si>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</si>
  <si>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</si>
  <si>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</si>
  <si>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</si>
  <si>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</si>
  <si>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</si>
  <si>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</si>
  <si>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</si>
  <si>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</si>
  <si>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</si>
  <si>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</si>
  <si>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</si>
  <si>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</si>
  <si>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</si>
  <si>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</si>
  <si>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</si>
  <si>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</si>
  <si>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</si>
  <si>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</si>
  <si>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</si>
  <si>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</si>
  <si>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</si>
  <si>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</si>
  <si>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</si>
  <si>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</si>
  <si>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</si>
  <si>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</si>
  <si>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</si>
  <si>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</si>
  <si>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</si>
  <si>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</si>
  <si>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</si>
  <si>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</si>
  <si>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</si>
  <si>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</si>
  <si>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</si>
  <si>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</si>
  <si>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</si>
  <si>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</si>
  <si>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</si>
  <si>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</si>
  <si>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</si>
  <si>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</si>
  <si>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</si>
  <si>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</si>
  <si>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</si>
  <si>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</si>
  <si>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</si>
  <si>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</si>
  <si>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</si>
  <si>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</si>
  <si>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</si>
  <si>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</si>
  <si>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</si>
  <si>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</si>
  <si>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</si>
  <si>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</si>
  <si>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</si>
  <si>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</si>
  <si>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</si>
  <si>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</si>
  <si>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</si>
  <si>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</si>
  <si>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</si>
  <si>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</si>
  <si>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</si>
  <si>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</si>
  <si>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</si>
  <si>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</si>
  <si>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</si>
  <si>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</si>
  <si>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</si>
  <si>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</si>
  <si>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</si>
  <si>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</si>
  <si>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</si>
  <si>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</si>
  <si>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</si>
  <si>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</si>
  <si>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</si>
  <si>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</si>
  <si>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</si>
  <si>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</si>
  <si>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</si>
  <si>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</si>
  <si>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</si>
  <si>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</si>
  <si>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</si>
  <si>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</si>
  <si>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</si>
  <si>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</si>
  <si>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</si>
  <si>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</si>
  <si>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</si>
  <si>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</si>
  <si>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</si>
  <si>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</si>
  <si>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</si>
  <si>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</si>
  <si>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</si>
  <si>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</si>
  <si>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</si>
  <si>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</si>
  <si>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</si>
  <si>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</si>
  <si>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</si>
  <si>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</si>
  <si>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</si>
  <si>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</si>
  <si>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</si>
  <si>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</si>
  <si>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</si>
  <si>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</si>
  <si>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</si>
  <si>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</si>
  <si>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</si>
  <si>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</si>
  <si>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</si>
  <si>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</si>
  <si>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</si>
  <si>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</si>
  <si>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</si>
  <si>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</si>
  <si>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</si>
  <si>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</si>
  <si>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</si>
  <si>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</si>
  <si>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</si>
  <si>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</si>
  <si>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</si>
  <si>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</si>
  <si>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</si>
  <si>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</si>
  <si>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</si>
  <si>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</si>
  <si>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</si>
  <si>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</si>
  <si>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</si>
  <si>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</si>
  <si>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</si>
  <si>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</si>
  <si>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</si>
  <si>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</si>
  <si>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</si>
  <si>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</si>
  <si>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</si>
  <si>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</si>
  <si>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</si>
  <si>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</si>
  <si>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</si>
  <si>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</si>
  <si>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</si>
  <si>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</si>
  <si>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</si>
  <si>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</si>
  <si>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</si>
  <si>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</si>
  <si>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</si>
  <si>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</si>
  <si>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</si>
  <si>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</si>
  <si>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</si>
  <si>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</si>
  <si>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</si>
  <si>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</si>
  <si>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</si>
  <si>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</si>
  <si>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</si>
  <si>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</si>
  <si>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</si>
  <si>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</si>
  <si>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</si>
  <si>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</si>
  <si>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</si>
  <si>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</si>
  <si>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</si>
  <si>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</si>
  <si>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</si>
  <si>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</si>
  <si>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</si>
  <si>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</si>
  <si>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</si>
  <si>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</si>
  <si>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</si>
  <si>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</si>
  <si>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</si>
  <si>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</si>
  <si>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</si>
  <si>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</si>
  <si>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</si>
  <si>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</si>
  <si>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</si>
  <si>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</si>
  <si>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</si>
  <si>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</si>
  <si>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</si>
  <si>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</si>
  <si>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</si>
  <si>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</si>
  <si>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</si>
  <si>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</si>
  <si>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</si>
  <si>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</si>
  <si>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</si>
  <si>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</si>
  <si>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</si>
  <si>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</si>
  <si>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</si>
  <si>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</si>
  <si>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</si>
  <si>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</si>
  <si>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</si>
  <si>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</si>
  <si>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</si>
  <si>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</si>
  <si>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</si>
  <si>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</si>
  <si>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</si>
  <si>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</si>
  <si>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</si>
  <si>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</si>
  <si>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</si>
  <si>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</si>
  <si>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</si>
  <si>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</si>
  <si>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</si>
  <si>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</si>
  <si>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</si>
  <si>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</si>
  <si>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</si>
  <si>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</si>
  <si>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</si>
  <si>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</si>
  <si>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</si>
  <si>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</si>
  <si>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</si>
  <si>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</si>
  <si>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</si>
  <si>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</si>
  <si>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</si>
  <si>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</si>
  <si>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</si>
  <si>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</si>
  <si>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</si>
  <si>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</si>
  <si>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</si>
  <si>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</si>
  <si>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</si>
  <si>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</si>
  <si>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</si>
  <si>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</si>
  <si>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</si>
  <si>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</si>
  <si>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</si>
  <si>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</si>
  <si>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</si>
  <si>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</si>
  <si>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</si>
  <si>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</si>
  <si>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</si>
  <si>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</si>
  <si>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</si>
  <si>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</si>
  <si>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</si>
  <si>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</si>
  <si>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</si>
  <si>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</si>
  <si>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</si>
  <si>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</si>
  <si>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</si>
  <si>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</si>
  <si>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</si>
  <si>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</si>
  <si>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</si>
  <si>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</si>
  <si>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</si>
  <si>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</si>
  <si>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</si>
  <si>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</si>
  <si>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</si>
  <si>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</si>
  <si>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</si>
  <si>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</si>
  <si>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</si>
  <si>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</si>
  <si>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</si>
  <si>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</si>
  <si>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</si>
  <si>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</si>
  <si>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</si>
  <si>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</si>
  <si>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</si>
  <si>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</si>
  <si>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</si>
  <si>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</si>
  <si>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</si>
  <si>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</si>
  <si>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</si>
  <si>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</si>
  <si>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</si>
  <si>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</si>
  <si>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</si>
  <si>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</si>
  <si>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</si>
  <si>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</si>
  <si>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</si>
  <si>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</si>
  <si>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</si>
  <si>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</si>
  <si>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</si>
  <si>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</si>
  <si>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</si>
  <si>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</si>
  <si>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</si>
  <si>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</si>
  <si>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</si>
  <si>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</si>
  <si>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</si>
  <si>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</si>
  <si>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</si>
  <si>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</si>
  <si>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</si>
  <si>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</si>
  <si>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</si>
  <si>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</si>
  <si>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</si>
  <si>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</si>
  <si>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</si>
  <si>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</si>
  <si>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</si>
  <si>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</si>
  <si>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</si>
  <si>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</si>
  <si>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</si>
  <si>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</si>
  <si>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</si>
  <si>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</si>
  <si>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</si>
  <si>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</si>
  <si>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</si>
  <si>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</si>
  <si>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</si>
  <si>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</si>
  <si>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</si>
  <si>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</si>
  <si>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</si>
  <si>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</si>
  <si>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</si>
  <si>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</si>
  <si>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</si>
  <si>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</si>
  <si>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</si>
  <si>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</si>
  <si>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</si>
  <si>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</si>
  <si>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</si>
  <si>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</si>
  <si>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</si>
  <si>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</si>
  <si>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</si>
  <si>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</si>
  <si>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</si>
  <si>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</si>
  <si>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</si>
  <si>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</si>
  <si>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</si>
  <si>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</si>
  <si>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</si>
  <si>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</si>
  <si>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</si>
  <si>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</si>
  <si>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</si>
  <si>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</si>
  <si>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</si>
  <si>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</si>
  <si>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</si>
  <si>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</si>
  <si>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</si>
  <si>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</si>
  <si>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</si>
  <si>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</si>
  <si>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</si>
  <si>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</si>
  <si>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</si>
  <si>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</si>
  <si>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</si>
  <si>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</si>
  <si>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</si>
  <si>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</si>
  <si>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</si>
  <si>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</si>
  <si>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</si>
  <si>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</si>
  <si>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</si>
  <si>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</si>
  <si>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</si>
  <si>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</si>
  <si>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</si>
  <si>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</si>
  <si>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</si>
  <si>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</si>
  <si>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</si>
  <si>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</si>
  <si>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</si>
  <si>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</si>
  <si>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</si>
  <si>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</si>
  <si>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</si>
  <si>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</si>
  <si>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</si>
  <si>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</si>
  <si>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</si>
  <si>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</si>
  <si>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</si>
  <si>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</si>
  <si>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</si>
  <si>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</si>
  <si>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</si>
  <si>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</si>
  <si>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</si>
  <si>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</si>
  <si>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</si>
  <si>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</si>
  <si>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</si>
  <si>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</si>
  <si>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</si>
  <si>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</si>
  <si>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</si>
  <si>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</si>
  <si>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</si>
  <si>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</si>
  <si>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</si>
  <si>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</si>
  <si>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</si>
  <si>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</si>
  <si>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</si>
  <si>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</si>
  <si>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</si>
  <si>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</si>
  <si>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</si>
  <si>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</si>
  <si>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</si>
  <si>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</si>
  <si>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</si>
  <si>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</si>
  <si>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</si>
  <si>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</si>
  <si>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</si>
  <si>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</si>
  <si>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</si>
  <si>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</si>
  <si>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</si>
  <si>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</si>
  <si>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</si>
  <si>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</si>
  <si>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</si>
  <si>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</si>
  <si>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</si>
  <si>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</si>
  <si>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</si>
  <si>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</si>
  <si>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</si>
  <si>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</si>
  <si>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</si>
  <si>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</si>
  <si>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</si>
  <si>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</si>
  <si>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</si>
  <si>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</si>
  <si>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</si>
  <si>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</si>
  <si>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</si>
  <si>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</si>
  <si>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</si>
  <si>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</si>
  <si>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</si>
  <si>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</si>
  <si>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</si>
  <si>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</si>
  <si>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</si>
  <si>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</si>
  <si>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</si>
  <si>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</si>
  <si>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</si>
  <si>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</si>
  <si>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</si>
  <si>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</si>
  <si>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</si>
  <si>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</si>
  <si>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</si>
  <si>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</si>
  <si>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</si>
  <si>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</si>
  <si>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</si>
  <si>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</si>
  <si>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</si>
  <si>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</si>
  <si>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</si>
  <si>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</si>
  <si>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</si>
  <si>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</si>
  <si>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</si>
  <si>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</si>
  <si>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</si>
  <si>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</si>
  <si>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</si>
  <si>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</si>
  <si>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</si>
  <si>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</si>
  <si>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</si>
  <si>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</si>
  <si>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</si>
  <si>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</si>
  <si>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</si>
  <si>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</si>
  <si>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</si>
  <si>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</si>
  <si>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</si>
  <si>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</si>
  <si>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</si>
  <si>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</si>
  <si>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</si>
  <si>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</si>
  <si>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</si>
  <si>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</si>
  <si>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</si>
  <si>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</si>
  <si>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</si>
  <si>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</si>
  <si>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</si>
  <si>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</si>
  <si>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</si>
  <si>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</si>
  <si>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</si>
  <si>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</si>
  <si>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</si>
  <si>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</si>
  <si>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</si>
  <si>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</si>
  <si>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</si>
  <si>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</si>
  <si>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</si>
  <si>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</si>
  <si>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</si>
  <si>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</si>
  <si>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</si>
  <si>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</si>
  <si>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</si>
  <si>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</si>
  <si>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</si>
  <si>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</si>
  <si>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</si>
  <si>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</si>
  <si>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</si>
  <si>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</si>
  <si>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</si>
  <si>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</si>
  <si>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</si>
  <si>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</si>
  <si>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</si>
  <si>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</si>
  <si>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</si>
  <si>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</si>
  <si>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</si>
  <si>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</si>
  <si>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</si>
  <si>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</si>
  <si>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</si>
  <si>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</si>
  <si>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</si>
  <si>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</si>
  <si>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</si>
  <si>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</si>
  <si>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</si>
  <si>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</si>
  <si>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</si>
  <si>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</si>
  <si>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</si>
  <si>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</si>
  <si>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</si>
  <si>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</si>
  <si>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</si>
  <si>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</si>
  <si>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</si>
  <si>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</si>
  <si>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</si>
  <si>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</si>
  <si>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</si>
  <si>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</si>
  <si>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</si>
  <si>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</si>
  <si>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</si>
  <si>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</si>
  <si>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</si>
  <si>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</si>
  <si>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</si>
  <si>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</si>
  <si>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</si>
  <si>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</si>
  <si>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</si>
  <si>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</si>
  <si>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</si>
  <si>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</si>
  <si>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</si>
  <si>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</si>
  <si>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</si>
  <si>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</si>
  <si>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</si>
  <si>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</si>
  <si>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</si>
  <si>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</si>
  <si>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</si>
  <si>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</si>
  <si>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</si>
  <si>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</si>
  <si>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</si>
  <si>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</si>
  <si>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</si>
  <si>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</si>
  <si>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</si>
  <si>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</si>
  <si>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</si>
  <si>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</si>
  <si>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</si>
  <si>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</si>
  <si>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</si>
  <si>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</si>
  <si>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</si>
  <si>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</si>
  <si>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</si>
  <si>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</si>
  <si>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</si>
  <si>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</si>
  <si>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</si>
  <si>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</si>
  <si>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</si>
  <si>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</si>
  <si>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</si>
  <si>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</si>
  <si>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</si>
  <si>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</si>
  <si>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</si>
  <si>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</si>
  <si>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</si>
  <si>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</si>
  <si>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</si>
  <si>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</si>
  <si>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</si>
  <si>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</si>
  <si>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</si>
  <si>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</si>
  <si>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</si>
  <si>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</si>
  <si>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</si>
  <si>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</si>
  <si>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</si>
  <si>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</si>
  <si>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</si>
  <si>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</si>
  <si>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</si>
  <si>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</si>
  <si>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</si>
  <si>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</si>
  <si>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</si>
  <si>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</si>
  <si>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</si>
  <si>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</si>
  <si>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</si>
  <si>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</si>
  <si>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</si>
  <si>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</si>
  <si>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</si>
  <si>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</si>
  <si>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</si>
  <si>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</si>
  <si>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</si>
  <si>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</si>
  <si>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</si>
  <si>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</si>
  <si>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</si>
  <si>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</si>
  <si>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</si>
  <si>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</si>
  <si>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</si>
  <si>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</si>
  <si>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</si>
  <si>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</si>
  <si>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</si>
  <si>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</si>
  <si>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</si>
  <si>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</si>
  <si>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</si>
  <si>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</si>
  <si>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</si>
  <si>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</si>
  <si>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</si>
  <si>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</si>
  <si>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</si>
  <si>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</si>
  <si>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</si>
  <si>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</si>
  <si>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</si>
  <si>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</si>
  <si>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</si>
  <si>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</si>
  <si>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</si>
  <si>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</si>
  <si>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</si>
  <si>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</si>
  <si>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</si>
  <si>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</si>
  <si>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</si>
  <si>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</si>
  <si>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</si>
  <si>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</si>
  <si>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</si>
  <si>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</si>
  <si>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</si>
  <si>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</si>
  <si>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</si>
  <si>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</si>
  <si>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</si>
  <si>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</si>
  <si>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</si>
  <si>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</si>
  <si>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</si>
  <si>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</si>
  <si>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</si>
  <si>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</si>
  <si>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</si>
  <si>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</si>
  <si>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</si>
  <si>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</si>
  <si>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</si>
  <si>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</si>
  <si>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</si>
  <si>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</si>
  <si>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</si>
  <si>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</si>
  <si>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</si>
  <si>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</si>
  <si>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</si>
  <si>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</si>
  <si>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</si>
  <si>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</si>
  <si>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</si>
  <si>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</si>
  <si>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</si>
  <si>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</si>
  <si>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</si>
  <si>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</si>
  <si>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</si>
  <si>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</si>
  <si>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</si>
  <si>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</si>
  <si>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</si>
  <si>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</si>
  <si>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</si>
  <si>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</si>
  <si>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</si>
  <si>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</si>
  <si>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</si>
  <si>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</si>
  <si>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</si>
  <si>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</si>
  <si>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</si>
  <si>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</si>
  <si>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</si>
  <si>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</si>
  <si>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</si>
  <si>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</si>
  <si>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</si>
  <si>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</si>
  <si>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</si>
  <si>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</si>
  <si>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</si>
  <si>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</si>
  <si>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</si>
  <si>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</si>
  <si>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</si>
  <si>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</si>
  <si>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</si>
  <si>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</si>
  <si>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</si>
  <si>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</si>
  <si>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</si>
  <si>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</si>
  <si>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</si>
  <si>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</si>
  <si>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</si>
  <si>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</si>
  <si>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</si>
  <si>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</si>
  <si>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</si>
  <si>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</si>
  <si>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</si>
  <si>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</si>
  <si>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</si>
  <si>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</si>
  <si>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</si>
  <si>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</si>
  <si>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</si>
  <si>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</si>
  <si>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</si>
  <si>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</si>
  <si>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</si>
  <si>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</si>
  <si>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</si>
  <si>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</si>
  <si>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</si>
  <si>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</si>
  <si>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</si>
  <si>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</si>
  <si>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</si>
  <si>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</si>
  <si>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</si>
  <si>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</si>
  <si>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</si>
  <si>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</si>
  <si>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</si>
  <si>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</si>
  <si>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</si>
  <si>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</si>
  <si>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</si>
  <si>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</si>
  <si>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</si>
  <si>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</si>
  <si>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</si>
  <si>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</si>
  <si>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</si>
  <si>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</si>
  <si>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</si>
  <si>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</si>
  <si>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</si>
  <si>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</si>
  <si>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</si>
  <si>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</si>
  <si>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</si>
  <si>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</si>
  <si>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</si>
  <si>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</si>
  <si>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</si>
  <si>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</si>
  <si>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</si>
  <si>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</si>
  <si>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</si>
  <si>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</si>
  <si>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</si>
  <si>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</si>
  <si>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</si>
  <si>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</si>
  <si>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</si>
  <si>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</si>
  <si>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</si>
  <si>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</si>
  <si>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</si>
  <si>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</si>
  <si>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</si>
  <si>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</si>
  <si>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</si>
  <si>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</si>
  <si>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</si>
  <si>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</si>
  <si>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</si>
  <si>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</si>
  <si>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</si>
  <si>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</si>
  <si>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</si>
  <si>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</si>
  <si>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</si>
  <si>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</si>
  <si>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</si>
  <si>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</si>
  <si>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</si>
  <si>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</si>
  <si>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</si>
  <si>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</si>
  <si>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</si>
  <si>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</si>
  <si>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</si>
  <si>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</si>
  <si>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</si>
  <si>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</si>
  <si>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</si>
  <si>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</si>
  <si>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</si>
  <si>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</si>
  <si>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</si>
  <si>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</si>
  <si>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</si>
  <si>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</si>
  <si>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</si>
  <si>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</si>
  <si>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</si>
  <si>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</si>
  <si>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</si>
  <si>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</si>
  <si>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</si>
  <si>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</si>
  <si>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</si>
  <si>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</si>
  <si>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</si>
  <si>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</si>
  <si>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</si>
  <si>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</si>
  <si>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</si>
  <si>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</si>
  <si>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</si>
  <si>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</si>
  <si>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</si>
  <si>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</si>
  <si>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</si>
  <si>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</si>
  <si>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</si>
  <si>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</si>
  <si>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</si>
  <si>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</si>
  <si>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</si>
  <si>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</si>
  <si>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</si>
  <si>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</si>
  <si>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</si>
  <si>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</si>
  <si>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</si>
  <si>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</si>
  <si>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</si>
  <si>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</si>
  <si>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</si>
  <si>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</si>
  <si>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</si>
  <si>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</si>
  <si>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</si>
  <si>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</si>
  <si>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</si>
  <si>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</si>
  <si>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</si>
  <si>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</si>
  <si>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</si>
  <si>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</si>
  <si>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</si>
  <si>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</si>
  <si>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</si>
  <si>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</si>
  <si>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</si>
  <si>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</si>
  <si>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</si>
  <si>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</si>
  <si>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</si>
  <si>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</si>
  <si>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</si>
  <si>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</si>
  <si>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</si>
  <si>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</si>
  <si>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</si>
  <si>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</si>
  <si>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</si>
  <si>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</si>
  <si>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</si>
  <si>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</si>
  <si>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</si>
  <si>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</si>
  <si>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</si>
  <si>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</si>
  <si>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</si>
  <si>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</si>
  <si>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</si>
  <si>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</si>
  <si>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</si>
  <si>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</si>
  <si>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</si>
  <si>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</si>
  <si>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</si>
  <si>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</si>
  <si>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</si>
  <si>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</si>
  <si>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</si>
  <si>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</si>
  <si>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</si>
  <si>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</si>
  <si>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</si>
  <si>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</si>
  <si>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</si>
  <si>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</si>
  <si>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</si>
  <si>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</si>
  <si>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</si>
  <si>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</si>
  <si>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</si>
  <si>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</si>
  <si>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</si>
  <si>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</si>
  <si>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</si>
  <si>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</si>
  <si>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</si>
  <si>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</si>
  <si>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</si>
  <si>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</si>
  <si>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</si>
  <si>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</si>
  <si>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</si>
  <si>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</si>
  <si>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</si>
  <si>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</si>
  <si>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</si>
  <si>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</si>
  <si>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</si>
  <si>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</si>
  <si>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</si>
  <si>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</si>
  <si>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</si>
  <si>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</si>
  <si>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</si>
  <si>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</si>
  <si>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</si>
  <si>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</si>
  <si>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</si>
  <si>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</si>
  <si>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</si>
  <si>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</si>
  <si>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</si>
  <si>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</si>
  <si>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</si>
  <si>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</si>
  <si>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</si>
  <si>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</si>
  <si>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</si>
  <si>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</si>
  <si>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</si>
  <si>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</si>
  <si>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</si>
  <si>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</si>
  <si>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</si>
  <si>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</si>
  <si>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</si>
  <si>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</si>
  <si>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</si>
  <si>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</si>
  <si>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</si>
  <si>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</si>
  <si>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</si>
  <si>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</si>
  <si>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</si>
  <si>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</si>
  <si>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</si>
  <si>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</si>
  <si>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</si>
  <si>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</si>
  <si>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</si>
  <si>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</si>
  <si>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</si>
  <si>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</si>
  <si>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</si>
  <si>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</si>
  <si>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</si>
  <si>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</si>
  <si>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</si>
  <si>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</si>
  <si>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</si>
  <si>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</si>
  <si>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</si>
  <si>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</si>
  <si>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</si>
  <si>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</si>
  <si>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</si>
  <si>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</si>
  <si>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</si>
  <si>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</si>
  <si>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</si>
  <si>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</si>
  <si>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</si>
  <si>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</si>
  <si>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</si>
  <si>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</si>
  <si>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</si>
  <si>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</si>
  <si>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</si>
  <si>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</si>
  <si>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</si>
  <si>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</si>
  <si>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</si>
  <si>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</si>
  <si>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</si>
  <si>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</si>
  <si>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</si>
  <si>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</si>
  <si>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</si>
  <si>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</si>
  <si>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</si>
  <si>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</si>
  <si>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</si>
  <si>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</si>
  <si>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</si>
  <si>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</si>
  <si>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</si>
  <si>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</si>
  <si>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</si>
  <si>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</si>
  <si>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</si>
  <si>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</si>
  <si>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</si>
  <si>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</si>
  <si>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</si>
  <si>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</si>
  <si>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</si>
  <si>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</si>
  <si>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</si>
  <si>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</si>
  <si>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</si>
  <si>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</si>
  <si>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</si>
  <si>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</si>
  <si>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</si>
  <si>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</si>
  <si>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</si>
  <si>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</si>
  <si>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</si>
  <si>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</si>
  <si>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</si>
  <si>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</si>
  <si>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</si>
  <si>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</si>
  <si>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</si>
  <si>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</si>
  <si>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</si>
  <si>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</si>
  <si>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</si>
  <si>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</si>
  <si>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</si>
  <si>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</si>
  <si>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</si>
  <si>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</si>
  <si>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</si>
  <si>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</si>
  <si>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</si>
  <si>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</si>
  <si>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</si>
  <si>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</si>
  <si>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</si>
  <si>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</si>
  <si>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</si>
  <si>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</si>
  <si>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</si>
  <si>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</si>
  <si>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</si>
  <si>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</si>
  <si>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</si>
  <si>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</si>
  <si>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</si>
  <si>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</si>
  <si>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</si>
  <si>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</si>
  <si>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</si>
  <si>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</si>
  <si>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</si>
  <si>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</si>
  <si>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</si>
  <si>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</si>
  <si>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</si>
  <si>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</si>
  <si>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</si>
  <si>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</si>
  <si>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</si>
  <si>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</si>
  <si>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</si>
  <si>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</si>
  <si>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</si>
  <si>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</si>
  <si>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</si>
  <si>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</si>
  <si>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</si>
  <si>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</si>
  <si>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</si>
  <si>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</si>
  <si>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</si>
  <si>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</si>
  <si>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</si>
  <si>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</si>
  <si>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</si>
  <si>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</si>
  <si>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</si>
  <si>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</si>
  <si>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</si>
  <si>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</si>
  <si>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</si>
  <si>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</si>
  <si>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</si>
  <si>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</si>
  <si>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</si>
  <si>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</si>
  <si>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</si>
  <si>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</si>
  <si>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</si>
  <si>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</si>
  <si>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</si>
  <si>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</si>
  <si>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</si>
  <si>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</si>
  <si>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</si>
  <si>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</si>
  <si>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</si>
  <si>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</si>
  <si>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</si>
  <si>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</si>
  <si>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</si>
  <si>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</si>
  <si>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</si>
  <si>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</si>
  <si>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</si>
  <si>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</si>
  <si>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</si>
  <si>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</si>
  <si>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</si>
  <si>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</si>
  <si>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</si>
  <si>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</si>
  <si>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</si>
  <si>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</si>
  <si>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</si>
  <si>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</si>
  <si>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</si>
  <si>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</si>
  <si>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</si>
  <si>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</si>
  <si>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</si>
  <si>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</si>
  <si>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</si>
  <si>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</si>
  <si>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</si>
  <si>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</si>
  <si>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</si>
  <si>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</si>
  <si>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</si>
  <si>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</si>
  <si>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</si>
  <si>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</si>
  <si>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</si>
  <si>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</si>
  <si>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</si>
  <si>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</si>
  <si>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</si>
  <si>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</si>
  <si>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</si>
  <si>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</si>
  <si>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</si>
  <si>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</si>
  <si>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</si>
  <si>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</si>
  <si>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</si>
  <si>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</si>
  <si>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</si>
  <si>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</si>
  <si>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</si>
  <si>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</si>
  <si>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</si>
  <si>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</si>
  <si>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</si>
  <si>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</si>
  <si>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</si>
  <si>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</si>
  <si>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</si>
  <si>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</si>
  <si>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</si>
  <si>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</si>
  <si>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</si>
  <si>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</si>
  <si>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</si>
  <si>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</si>
  <si>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</si>
  <si>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</si>
  <si>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</si>
  <si>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</si>
  <si>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</si>
  <si>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</si>
  <si>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</si>
  <si>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</si>
  <si>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</si>
  <si>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</si>
  <si>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</si>
  <si>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</si>
  <si>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</si>
  <si>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</si>
  <si>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</si>
  <si>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</si>
  <si>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</si>
  <si>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</si>
  <si>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</si>
  <si>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</si>
  <si>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</si>
  <si>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</si>
  <si>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</si>
  <si>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</si>
  <si>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</si>
  <si>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</si>
  <si>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</si>
  <si>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</si>
  <si>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</si>
  <si>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</si>
  <si>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</si>
  <si>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</si>
  <si>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</si>
  <si>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</si>
  <si>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</si>
  <si>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</si>
  <si>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</si>
  <si>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</si>
  <si>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</si>
  <si>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</si>
  <si>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</si>
  <si>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</si>
  <si>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</si>
  <si>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</si>
  <si>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</si>
  <si>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</si>
  <si>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</si>
  <si>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</si>
  <si>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</si>
  <si>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</si>
  <si>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</si>
  <si>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</si>
  <si>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</si>
  <si>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</si>
  <si>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</si>
  <si>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</si>
  <si>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</si>
  <si>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</si>
  <si>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</si>
  <si>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</si>
  <si>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</si>
  <si>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</si>
  <si>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</si>
  <si>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</si>
  <si>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</si>
  <si>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</si>
  <si>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</si>
  <si>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</si>
  <si>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</si>
  <si>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</si>
  <si>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</si>
  <si>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</si>
  <si>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</si>
  <si>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</si>
  <si>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</si>
  <si>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</si>
  <si>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</si>
  <si>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</si>
  <si>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</si>
  <si>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</si>
  <si>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</si>
  <si>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</si>
  <si>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</si>
  <si>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</si>
  <si>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</si>
  <si>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</si>
  <si>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</si>
  <si>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</si>
  <si>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</si>
  <si>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</si>
  <si>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</si>
  <si>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</si>
  <si>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</si>
  <si>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</si>
  <si>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</si>
  <si>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</si>
  <si>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</si>
  <si>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</si>
  <si>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</si>
  <si>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</si>
  <si>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</si>
  <si>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</si>
  <si>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</si>
  <si>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</si>
  <si>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</si>
  <si>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</si>
  <si>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</si>
  <si>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</si>
  <si>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</si>
  <si>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</si>
  <si>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</si>
  <si>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</si>
  <si>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</si>
  <si>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</si>
  <si>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</si>
  <si>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</si>
  <si>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</si>
  <si>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</si>
  <si>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</si>
  <si>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</si>
  <si>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</si>
  <si>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</si>
  <si>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</si>
  <si>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</si>
  <si>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</si>
  <si>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</si>
  <si>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</si>
  <si>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</si>
  <si>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</si>
  <si>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</si>
  <si>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</si>
  <si>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</si>
  <si>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</si>
  <si>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</si>
  <si>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</si>
  <si>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</si>
  <si>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</si>
  <si>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</si>
  <si>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</si>
  <si>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</si>
  <si>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</si>
  <si>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</si>
  <si>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</si>
  <si>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</si>
  <si>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</si>
  <si>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</si>
  <si>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</si>
  <si>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</si>
  <si>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</si>
  <si>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</si>
  <si>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</si>
  <si>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</si>
  <si>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</si>
  <si>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</si>
  <si>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</si>
  <si>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</si>
  <si>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</si>
  <si>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</si>
  <si>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</si>
  <si>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</si>
  <si>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</si>
  <si>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</si>
  <si>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</si>
  <si>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</si>
  <si>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</si>
  <si>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</si>
  <si>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</si>
  <si>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</si>
  <si>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</si>
  <si>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</si>
  <si>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</si>
  <si>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</si>
  <si>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</si>
  <si>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</si>
  <si>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</si>
  <si>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</si>
  <si>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</si>
  <si>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</si>
  <si>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</si>
  <si>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</si>
  <si>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</si>
  <si>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</si>
  <si>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</si>
  <si>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</si>
  <si>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</si>
  <si>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</si>
  <si>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</si>
  <si>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</si>
  <si>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</si>
  <si>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</si>
  <si>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</si>
  <si>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</si>
  <si>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</si>
  <si>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</si>
  <si>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</si>
  <si>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</si>
  <si>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</si>
  <si>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</si>
  <si>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</si>
  <si>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</si>
  <si>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</si>
  <si>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</si>
  <si>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</si>
  <si>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</si>
  <si>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</si>
  <si>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</si>
  <si>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</si>
  <si>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</si>
  <si>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</si>
  <si>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</si>
  <si>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</si>
  <si>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</si>
  <si>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</si>
  <si>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</si>
  <si>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</si>
  <si>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</si>
  <si>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</si>
  <si>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</si>
  <si>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</si>
  <si>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</si>
  <si>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</si>
  <si>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</si>
  <si>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</si>
  <si>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</si>
  <si>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</si>
  <si>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</si>
  <si>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</si>
  <si>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</si>
  <si>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</si>
  <si>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</si>
  <si>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</si>
  <si>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</si>
  <si>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</si>
  <si>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</si>
  <si>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</si>
  <si>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</si>
  <si>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</si>
  <si>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</si>
  <si>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</si>
  <si>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</si>
  <si>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</si>
  <si>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</si>
  <si>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</si>
  <si>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</si>
  <si>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</si>
  <si>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</si>
  <si>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</si>
  <si>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</si>
  <si>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</si>
  <si>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</si>
  <si>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</si>
  <si>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</si>
  <si>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</si>
  <si>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</si>
  <si>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</si>
  <si>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</si>
  <si>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</si>
  <si>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</si>
  <si>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</si>
  <si>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</si>
  <si>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</si>
  <si>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</si>
  <si>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</si>
  <si>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</si>
  <si>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</si>
  <si>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</si>
  <si>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</si>
  <si>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</si>
  <si>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</si>
  <si>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</si>
  <si>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</si>
  <si>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</si>
  <si>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</si>
  <si>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</si>
  <si>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</si>
  <si>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</si>
  <si>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</si>
  <si>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</si>
  <si>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</si>
  <si>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</si>
  <si>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</si>
  <si>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</si>
  <si>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</si>
  <si>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</si>
  <si>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</si>
  <si>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</si>
  <si>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</si>
  <si>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</si>
  <si>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</si>
  <si>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</si>
  <si>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</si>
  <si>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</si>
  <si>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</si>
  <si>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</si>
  <si>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</si>
  <si>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</si>
  <si>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</si>
  <si>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</si>
  <si>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</si>
  <si>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</si>
  <si>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</si>
  <si>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</si>
  <si>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</si>
  <si>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</si>
  <si>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</si>
  <si>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</si>
  <si>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</si>
  <si>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</si>
  <si>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</si>
  <si>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</si>
  <si>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</si>
  <si>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</si>
  <si>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</si>
  <si>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</si>
  <si>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</si>
  <si>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</si>
  <si>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</si>
  <si>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</si>
  <si>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</si>
  <si>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</si>
  <si>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</si>
  <si>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</si>
  <si>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</si>
  <si>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</si>
  <si>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</si>
  <si>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</si>
  <si>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</si>
  <si>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</si>
  <si>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</si>
  <si>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</si>
  <si>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</si>
  <si>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</si>
  <si>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</si>
  <si>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</si>
  <si>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</si>
  <si>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</si>
  <si>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</si>
  <si>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</si>
  <si>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</si>
  <si>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</si>
  <si>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</si>
  <si>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</si>
  <si>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</si>
  <si>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</si>
  <si>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</si>
  <si>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</si>
  <si>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</si>
  <si>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</si>
  <si>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</si>
  <si>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</si>
  <si>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</si>
  <si>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</si>
  <si>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</si>
  <si>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</si>
  <si>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</si>
  <si>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</si>
  <si>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</si>
  <si>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</si>
  <si>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</si>
  <si>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</si>
  <si>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</si>
  <si>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</si>
  <si>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</si>
  <si>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</si>
  <si>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</si>
  <si>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</si>
  <si>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</si>
  <si>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</si>
  <si>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</si>
  <si>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</si>
  <si>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</si>
  <si>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</si>
  <si>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</si>
  <si>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</si>
  <si>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</si>
  <si>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</si>
  <si>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</si>
  <si>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</si>
  <si>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</si>
  <si>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</si>
  <si>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</si>
  <si>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</si>
  <si>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</si>
  <si>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</si>
  <si>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</si>
  <si>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</si>
  <si>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</si>
  <si>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</si>
  <si>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</si>
  <si>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</si>
  <si>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</si>
  <si>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</si>
  <si>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</si>
  <si>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</si>
  <si>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</si>
  <si>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</si>
  <si>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</si>
  <si>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</si>
  <si>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</si>
  <si>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</si>
  <si>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</si>
  <si>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</si>
  <si>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</si>
  <si>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</si>
  <si>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</si>
  <si>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</si>
  <si>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</si>
  <si>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</si>
  <si>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</si>
  <si>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</si>
  <si>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</si>
  <si>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</si>
  <si>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</si>
  <si>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</si>
  <si>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</si>
  <si>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</si>
  <si>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</si>
  <si>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</si>
  <si>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</si>
  <si>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</si>
  <si>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</si>
  <si>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</si>
  <si>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</si>
  <si>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</si>
  <si>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</si>
  <si>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</si>
  <si>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</si>
  <si>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</si>
  <si>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</si>
  <si>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</si>
  <si>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</si>
  <si>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</si>
  <si>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</si>
  <si>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</si>
  <si>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</si>
  <si>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</si>
  <si>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</si>
  <si>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</si>
  <si>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</si>
  <si>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</si>
  <si>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</si>
  <si>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</si>
  <si>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</si>
  <si>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</si>
  <si>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</si>
  <si>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</si>
  <si>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</si>
  <si>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</si>
  <si>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</si>
  <si>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</si>
  <si>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</si>
  <si>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</si>
  <si>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</si>
  <si>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</si>
  <si>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</si>
  <si>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</si>
  <si>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</si>
  <si>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</si>
  <si>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</si>
  <si>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</si>
  <si>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</si>
  <si>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</si>
  <si>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</si>
  <si>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</si>
  <si>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</si>
  <si>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</si>
  <si>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</si>
  <si>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</si>
  <si>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</si>
  <si>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</si>
  <si>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</si>
  <si>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</si>
  <si>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</si>
  <si>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</si>
  <si>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</si>
  <si>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</si>
  <si>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</si>
  <si>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</si>
  <si>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</si>
  <si>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</si>
  <si>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</si>
  <si>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</si>
  <si>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</si>
  <si>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</si>
  <si>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</si>
  <si>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</si>
  <si>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</si>
  <si>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</si>
  <si>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</si>
  <si>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</si>
  <si>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</si>
  <si>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</si>
  <si>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</si>
  <si>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</si>
  <si>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</si>
  <si>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</si>
  <si>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</si>
  <si>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</si>
  <si>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</si>
  <si>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</si>
  <si>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</si>
  <si>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</si>
  <si>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</si>
  <si>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</si>
  <si>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</si>
  <si>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</si>
  <si>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</si>
  <si>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</si>
  <si>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</si>
  <si>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</si>
  <si>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</si>
  <si>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</si>
  <si>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</si>
  <si>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</si>
  <si>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</si>
  <si>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</si>
  <si>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</si>
  <si>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</si>
  <si>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</si>
  <si>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</si>
  <si>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</si>
  <si>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</si>
  <si>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</si>
  <si>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</si>
  <si>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</si>
  <si>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</si>
  <si>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</si>
  <si>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</si>
  <si>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</si>
  <si>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</si>
  <si>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</si>
  <si>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</si>
  <si>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</si>
  <si>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</si>
  <si>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</si>
  <si>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</si>
  <si>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</si>
  <si>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</si>
  <si>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</si>
  <si>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</si>
  <si>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</si>
  <si>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</si>
  <si>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</si>
  <si>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</si>
  <si>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</si>
  <si>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</si>
  <si>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</si>
  <si>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</si>
  <si>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</si>
  <si>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</si>
  <si>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</si>
  <si>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</si>
  <si>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</si>
  <si>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</si>
  <si>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</si>
  <si>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</si>
  <si>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</si>
  <si>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</si>
  <si>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</si>
  <si>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</si>
  <si>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</si>
  <si>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</si>
  <si>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</si>
  <si>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</si>
  <si>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</si>
  <si>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</si>
  <si>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</si>
  <si>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</si>
  <si>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</si>
  <si>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</si>
  <si>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</si>
  <si>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</si>
  <si>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</si>
  <si>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</si>
  <si>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</si>
  <si>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</si>
  <si>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</si>
  <si>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</si>
  <si>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</si>
  <si>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</si>
  <si>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</si>
  <si>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</si>
  <si>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</si>
  <si>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</si>
  <si>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</si>
  <si>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</si>
  <si>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</si>
  <si>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</si>
  <si>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</si>
  <si>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</si>
  <si>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</si>
  <si>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</si>
  <si>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</si>
  <si>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</si>
  <si>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</si>
  <si>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</si>
  <si>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</si>
  <si>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</si>
  <si>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</si>
  <si>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</si>
  <si>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</si>
  <si>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</si>
  <si>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</si>
  <si>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</si>
  <si>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</si>
  <si>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</si>
  <si>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</si>
  <si>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</si>
  <si>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</si>
  <si>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</si>
  <si>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</si>
  <si>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</si>
  <si>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</si>
  <si>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</si>
  <si>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</si>
  <si>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</si>
  <si>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</si>
  <si>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</si>
  <si>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</si>
  <si>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</si>
  <si>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</si>
  <si>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</si>
  <si>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</si>
  <si>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</si>
  <si>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</si>
  <si>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</si>
  <si>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</si>
  <si>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</si>
  <si>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</si>
  <si>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</si>
  <si>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</si>
  <si>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</si>
  <si>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</si>
  <si>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</si>
  <si>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</si>
  <si>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</si>
  <si>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</si>
  <si>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</si>
  <si>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</si>
  <si>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</si>
  <si>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</si>
  <si>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</si>
  <si>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</si>
  <si>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</si>
  <si>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</si>
  <si>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</si>
  <si>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</si>
  <si>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</si>
  <si>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</si>
  <si>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</si>
  <si>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</si>
  <si>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</si>
  <si>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</si>
  <si>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</si>
  <si>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</si>
  <si>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</si>
  <si>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</si>
  <si>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</si>
  <si>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</si>
  <si>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</si>
  <si>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</si>
  <si>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</si>
  <si>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</si>
  <si>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</si>
  <si>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</si>
  <si>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</si>
  <si>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</si>
  <si>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</si>
  <si>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</si>
  <si>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</si>
  <si>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</si>
  <si>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</si>
  <si>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</si>
  <si>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</si>
  <si>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</si>
  <si>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</si>
  <si>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</si>
  <si>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</si>
  <si>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</si>
  <si>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</si>
  <si>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</si>
  <si>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</si>
  <si>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</si>
  <si>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</si>
  <si>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</si>
  <si>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</si>
  <si>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</si>
  <si>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</si>
  <si>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</si>
  <si>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</si>
  <si>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</si>
  <si>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</si>
  <si>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</si>
  <si>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</si>
  <si>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</si>
  <si>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</si>
  <si>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</si>
  <si>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</si>
  <si>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</si>
  <si>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</si>
  <si>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</si>
  <si>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</si>
  <si>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</si>
  <si>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</si>
  <si>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</si>
  <si>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</si>
  <si>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</si>
  <si>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</si>
  <si>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</si>
  <si>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</si>
  <si>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</si>
  <si>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</si>
  <si>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</si>
  <si>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</si>
  <si>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</si>
  <si>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</si>
  <si>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</si>
  <si>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</si>
  <si>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</si>
  <si>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</si>
  <si>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</si>
  <si>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</si>
  <si>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</si>
  <si>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</si>
  <si>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</si>
  <si>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</si>
  <si>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</si>
  <si>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</si>
  <si>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</si>
  <si>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</si>
  <si>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</si>
  <si>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</si>
  <si>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</si>
  <si>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</si>
  <si>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</si>
  <si>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</si>
  <si>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</si>
  <si>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</si>
  <si>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</si>
  <si>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</si>
  <si>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</si>
  <si>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</si>
  <si>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</si>
  <si>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</si>
  <si>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</si>
  <si>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</si>
  <si>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</si>
  <si>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</si>
  <si>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</si>
  <si>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</si>
  <si>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</si>
  <si>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</si>
  <si>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</si>
  <si>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</si>
  <si>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</si>
  <si>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</si>
  <si>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</si>
  <si>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</si>
  <si>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</si>
  <si>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</si>
  <si>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</si>
  <si>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</si>
  <si>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</si>
  <si>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</si>
  <si>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</si>
  <si>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</si>
  <si>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</si>
  <si>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</si>
  <si>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</si>
  <si>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</si>
  <si>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</si>
  <si>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</si>
  <si>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</si>
  <si>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</si>
  <si>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</si>
  <si>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</si>
  <si>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</si>
  <si>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</si>
  <si>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</si>
  <si>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</si>
  <si>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</si>
  <si>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</si>
  <si>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</si>
  <si>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</si>
  <si>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</si>
  <si>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</si>
  <si>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</si>
  <si>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</si>
  <si>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</si>
  <si>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</si>
  <si>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</si>
  <si>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</si>
  <si>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</si>
  <si>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</si>
  <si>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</si>
  <si>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</si>
  <si>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</si>
  <si>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</si>
  <si>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</si>
  <si>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</si>
  <si>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</si>
  <si>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</si>
  <si>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</si>
  <si>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</si>
  <si>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</si>
  <si>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</si>
  <si>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</si>
  <si>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</si>
  <si>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</si>
  <si>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</si>
  <si>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</si>
  <si>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</si>
  <si>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</si>
  <si>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</si>
  <si>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</si>
  <si>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</si>
  <si>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</si>
  <si>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</si>
  <si>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</si>
  <si>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</si>
  <si>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</si>
  <si>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</si>
  <si>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</si>
  <si>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</si>
  <si>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</si>
  <si>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</si>
  <si>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</si>
  <si>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</si>
  <si>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</si>
  <si>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</si>
  <si>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</si>
  <si>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</si>
  <si>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</si>
  <si>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</si>
  <si>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</si>
  <si>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</si>
  <si>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</si>
  <si>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</si>
  <si>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</si>
  <si>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</si>
  <si>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</si>
  <si>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</si>
  <si>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</si>
  <si>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</si>
  <si>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</si>
  <si>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</si>
  <si>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</si>
  <si>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</si>
  <si>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</si>
  <si>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</si>
  <si>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</si>
  <si>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</si>
  <si>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</si>
  <si>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</si>
  <si>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</si>
  <si>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</si>
  <si>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</si>
  <si>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</si>
  <si>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</si>
  <si>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</si>
  <si>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</si>
  <si>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</si>
  <si>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</si>
  <si>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</si>
  <si>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</si>
  <si>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</si>
  <si>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</si>
  <si>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</si>
  <si>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</si>
  <si>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</si>
  <si>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</si>
  <si>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</si>
  <si>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</si>
  <si>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</si>
  <si>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</si>
  <si>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</si>
  <si>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</si>
  <si>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</si>
  <si>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</si>
  <si>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</si>
  <si>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</si>
  <si>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</si>
  <si>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</si>
  <si>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</si>
  <si>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</si>
  <si>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</si>
  <si>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</si>
  <si>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</si>
  <si>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</si>
  <si>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</si>
  <si>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</si>
  <si>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</si>
  <si>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</si>
  <si>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</si>
  <si>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</si>
  <si>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</si>
  <si>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</si>
  <si>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</si>
  <si>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</si>
  <si>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</si>
  <si>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</si>
  <si>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</si>
  <si>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</si>
  <si>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</si>
  <si>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</si>
  <si>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</si>
  <si>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</si>
  <si>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</si>
  <si>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</si>
  <si>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</si>
  <si>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</si>
  <si>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</si>
  <si>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</si>
  <si>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</si>
  <si>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</si>
  <si>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</si>
  <si>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</si>
  <si>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</si>
  <si>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</si>
  <si>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</si>
  <si>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</si>
  <si>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</si>
  <si>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</si>
  <si>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</si>
  <si>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</si>
  <si>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</si>
  <si>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</si>
  <si>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</si>
  <si>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</si>
  <si>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</si>
  <si>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</si>
  <si>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</si>
  <si>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</si>
  <si>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</si>
  <si>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</si>
  <si>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</si>
  <si>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</si>
  <si>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</si>
  <si>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</si>
  <si>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</si>
  <si>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</si>
  <si>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</si>
  <si>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</si>
  <si>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</si>
  <si>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</si>
  <si>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</si>
  <si>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</si>
  <si>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</si>
  <si>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</si>
  <si>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</si>
  <si>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</si>
  <si>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</si>
  <si>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</si>
  <si>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</si>
  <si>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</si>
  <si>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</si>
  <si>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</si>
  <si>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</si>
  <si>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</si>
  <si>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</si>
  <si>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</si>
  <si>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</si>
  <si>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</si>
  <si>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</si>
  <si>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</si>
  <si>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</si>
  <si>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</si>
  <si>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</si>
  <si>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</si>
  <si>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</si>
  <si>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</si>
  <si>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</si>
  <si>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</si>
  <si>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</si>
  <si>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</si>
  <si>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</si>
  <si>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</si>
  <si>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</si>
  <si>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</si>
  <si>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</si>
  <si>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</si>
  <si>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</si>
  <si>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</si>
  <si>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</si>
  <si>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</si>
  <si>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</si>
  <si>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</si>
  <si>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</si>
  <si>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</si>
  <si>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</si>
  <si>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</si>
  <si>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</si>
  <si>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</si>
  <si>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</si>
  <si>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</si>
  <si>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</si>
  <si>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</si>
  <si>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</si>
  <si>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</si>
  <si>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</si>
  <si>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</si>
  <si>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</si>
  <si>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</si>
  <si>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</si>
  <si>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</si>
  <si>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</si>
  <si>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</si>
  <si>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</si>
  <si>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</si>
  <si>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</si>
  <si>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</si>
  <si>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</si>
  <si>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</si>
  <si>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</si>
  <si>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</si>
  <si>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</si>
  <si>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</si>
  <si>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</si>
  <si>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</si>
  <si>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</si>
  <si>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</si>
  <si>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</si>
  <si>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</si>
  <si>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</si>
  <si>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</si>
  <si>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</si>
  <si>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</si>
  <si>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</si>
  <si>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</si>
  <si>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</si>
  <si>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</si>
  <si>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</si>
  <si>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</si>
  <si>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</si>
  <si>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</si>
  <si>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</si>
  <si>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</si>
  <si>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</si>
  <si>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</si>
  <si>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</si>
  <si>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</si>
  <si>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</si>
  <si>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</si>
  <si>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</si>
  <si>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</si>
  <si>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</si>
  <si>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</si>
  <si>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</si>
  <si>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</si>
  <si>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</si>
  <si>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</si>
  <si>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</si>
  <si>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</si>
  <si>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</si>
  <si>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</si>
  <si>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</si>
  <si>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</si>
  <si>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</si>
  <si>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</si>
  <si>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</si>
  <si>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</si>
  <si>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</si>
  <si>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</si>
  <si>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</si>
  <si>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</si>
  <si>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</si>
  <si>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</si>
  <si>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</si>
  <si>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</si>
  <si>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</si>
  <si>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</si>
  <si>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</si>
  <si>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</si>
  <si>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</si>
  <si>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</si>
  <si>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</si>
  <si>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</si>
  <si>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</si>
  <si>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</si>
  <si>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</si>
  <si>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</si>
  <si>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</si>
  <si>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</si>
  <si>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</si>
  <si>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</si>
  <si>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</si>
  <si>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</si>
  <si>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</si>
  <si>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</si>
  <si>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</si>
  <si>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</si>
  <si>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</si>
  <si>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</si>
  <si>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</si>
  <si>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</si>
  <si>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</si>
  <si>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</si>
  <si>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</si>
  <si>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</si>
  <si>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</si>
  <si>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</si>
  <si>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</si>
  <si>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</si>
  <si>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</si>
  <si>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</si>
  <si>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</si>
  <si>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</si>
  <si>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</si>
  <si>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</si>
  <si>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</si>
  <si>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</si>
  <si>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</si>
  <si>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</si>
  <si>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</si>
  <si>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</si>
  <si>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</si>
  <si>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</si>
  <si>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</si>
  <si>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</si>
  <si>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</si>
  <si>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</si>
  <si>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</si>
  <si>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</si>
  <si>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</si>
  <si>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</si>
  <si>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</si>
  <si>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</si>
  <si>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</si>
  <si>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</si>
  <si>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</si>
  <si>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</si>
  <si>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</si>
  <si>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</si>
  <si>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</si>
  <si>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</si>
  <si>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</si>
  <si>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</si>
  <si>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</si>
  <si>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</si>
  <si>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</si>
  <si>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</si>
  <si>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</si>
  <si>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</si>
  <si>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</si>
  <si>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</si>
  <si>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</si>
  <si>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</si>
  <si>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</si>
  <si>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</si>
  <si>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</si>
  <si>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</si>
  <si>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</si>
  <si>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</si>
  <si>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</si>
  <si>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</si>
  <si>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</si>
  <si>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</si>
  <si>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</si>
  <si>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</si>
  <si>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</si>
  <si>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</si>
  <si>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</si>
  <si>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</si>
  <si>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</si>
  <si>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</si>
  <si>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</si>
  <si>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</si>
  <si>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</si>
  <si>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</si>
  <si>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</si>
  <si>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</si>
  <si>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</si>
  <si>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</si>
  <si>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</si>
  <si>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</si>
  <si>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</si>
  <si>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</si>
  <si>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</si>
  <si>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</si>
  <si>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</si>
  <si>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</si>
  <si>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</si>
  <si>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</si>
  <si>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</si>
  <si>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</si>
  <si>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</si>
  <si>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</si>
  <si>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</si>
  <si>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</si>
  <si>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</si>
  <si>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</si>
  <si>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</si>
  <si>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</si>
  <si>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</si>
  <si>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</si>
  <si>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</si>
  <si>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</si>
  <si>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</si>
  <si>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</si>
  <si>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</si>
  <si>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</si>
  <si>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</si>
  <si>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</si>
  <si>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</si>
  <si>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</si>
  <si>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</si>
  <si>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</si>
  <si>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</si>
  <si>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</si>
  <si>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</si>
  <si>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</si>
  <si>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</si>
  <si>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</si>
  <si>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</si>
  <si>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</si>
  <si>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</si>
  <si>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</si>
  <si>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</si>
  <si>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</si>
  <si>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</si>
  <si>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</si>
  <si>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</si>
  <si>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</si>
  <si>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</si>
  <si>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</si>
  <si>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</si>
  <si>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</si>
  <si>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</si>
  <si>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</si>
  <si>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</si>
  <si>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</si>
  <si>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</si>
  <si>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</si>
  <si>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</si>
  <si>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</si>
  <si>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</si>
  <si>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</si>
  <si>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</si>
  <si>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</si>
  <si>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</si>
  <si>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</si>
  <si>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</si>
  <si>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</si>
  <si>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</si>
  <si>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</si>
  <si>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</si>
  <si>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</si>
  <si>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</si>
  <si>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</si>
  <si>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</si>
  <si>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</si>
  <si>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</si>
  <si>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</si>
  <si>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</si>
  <si>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</si>
  <si>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</si>
  <si>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</si>
  <si>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</si>
  <si>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</si>
  <si>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</si>
  <si>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</si>
  <si>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</si>
  <si>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</si>
  <si>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</si>
  <si>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</si>
  <si>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</si>
  <si>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</si>
  <si>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</si>
  <si>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</si>
  <si>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</si>
  <si>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</si>
  <si>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</si>
  <si>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</si>
  <si>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</si>
  <si>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</si>
  <si>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</si>
  <si>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</si>
  <si>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</si>
  <si>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</si>
  <si>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</si>
  <si>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</si>
  <si>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</si>
  <si>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</si>
  <si>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</si>
  <si>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</si>
  <si>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</si>
  <si>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</si>
  <si>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</si>
  <si>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</si>
  <si>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</si>
  <si>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</si>
  <si>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</si>
  <si>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</si>
  <si>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</si>
  <si>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</si>
  <si>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</si>
  <si>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</si>
  <si>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</si>
  <si>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</si>
  <si>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</si>
  <si>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</si>
  <si>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15, 2026 Version</t>
  </si>
  <si>
    <t>1200 Main GP, LLC</t>
  </si>
  <si>
    <t>1200 Main</t>
  </si>
  <si>
    <t>January</t>
  </si>
  <si>
    <t>Miki Nam</t>
  </si>
  <si>
    <t>President of sole member of AGP</t>
  </si>
  <si>
    <t>City of Santa Ana</t>
  </si>
  <si>
    <t>Alvaro Nunez</t>
  </si>
  <si>
    <t>20 Civic Center Plaza</t>
  </si>
  <si>
    <t>Santa Ana</t>
  </si>
  <si>
    <t>Anunez@santa-ana.org</t>
  </si>
  <si>
    <t>398-562-01, 398-562-02</t>
  </si>
  <si>
    <t>40%/60% Average Income</t>
  </si>
  <si>
    <t>Kingdom Solis LLC</t>
  </si>
  <si>
    <t>Managing GP</t>
  </si>
  <si>
    <t>Kingdom Development, Inc.</t>
  </si>
  <si>
    <t>Administrative GP</t>
  </si>
  <si>
    <t xml:space="preserve">6451 Box Springs Blvd. </t>
  </si>
  <si>
    <t>CA</t>
  </si>
  <si>
    <t>William Leach</t>
  </si>
  <si>
    <t>william@kingdomdevelopment.net</t>
  </si>
  <si>
    <t>3470 Wilshire Blvd.</t>
  </si>
  <si>
    <t>garrettlee@jamisonservices.com</t>
  </si>
  <si>
    <t>6451 Box Springs Blvd.</t>
  </si>
  <si>
    <t xml:space="preserve">William Leach </t>
  </si>
  <si>
    <t>Los Angeles, CA 90010</t>
  </si>
  <si>
    <t>Riverside, CA 92507</t>
  </si>
  <si>
    <t>Deferred Costs</t>
  </si>
  <si>
    <t>Air conditioning</t>
  </si>
  <si>
    <t>Bond Issuer Fees</t>
  </si>
  <si>
    <t>Aperto Property Management, Inc.</t>
  </si>
  <si>
    <t>Ed Quigley</t>
  </si>
  <si>
    <t>Other (Specify below)</t>
  </si>
  <si>
    <t>Tax-Exempt Loan</t>
  </si>
  <si>
    <t>Tax-Exempt Recycled Loan</t>
  </si>
  <si>
    <t>Taxable Loan</t>
  </si>
  <si>
    <t>Equity</t>
  </si>
  <si>
    <t>Permanent Loan</t>
  </si>
  <si>
    <t>Office supplies, postage, expenses, copier, software licensing, toner</t>
  </si>
  <si>
    <t>payroll taxes and benefits</t>
  </si>
  <si>
    <t>Fire Safety, Supplies, HVAC, Tools, &amp; Appliances</t>
  </si>
  <si>
    <t>Janitorial Supplies</t>
  </si>
  <si>
    <t>Melzer Deckhert &amp; Ruder Architects,Inc.</t>
  </si>
  <si>
    <t>9511 Irvine Center Dr.</t>
  </si>
  <si>
    <t>Irvine, CA  92618</t>
  </si>
  <si>
    <t>949-474-8188</t>
  </si>
  <si>
    <t>Jamison Services, Inc.</t>
  </si>
  <si>
    <t>3470 Wilshire Blvd, Ste 700</t>
  </si>
  <si>
    <t>Stephanie M. Lee, Esq.</t>
  </si>
  <si>
    <t>213-232-5053</t>
  </si>
  <si>
    <t>213-365-5001</t>
  </si>
  <si>
    <t>stephanielee@jamisonservices.com</t>
  </si>
  <si>
    <t>Wilshire Construction</t>
  </si>
  <si>
    <t>3470 Wilshire Blvd., #500</t>
  </si>
  <si>
    <t>Matt Cheesebro</t>
  </si>
  <si>
    <t>213-365-5000</t>
  </si>
  <si>
    <t>n/a</t>
  </si>
  <si>
    <t>mcheesebro@wilshireconstructionlp.com</t>
  </si>
  <si>
    <t>Bocarsly Emden Cowan Esmail &amp; Arndt LLP</t>
  </si>
  <si>
    <t>633 West Fifth St, 64th Floor</t>
  </si>
  <si>
    <t>Los Angeles, CA 90071</t>
  </si>
  <si>
    <t>Kyle Arndt</t>
  </si>
  <si>
    <t>karndt@bocarsly.com</t>
  </si>
  <si>
    <t>Novogradac</t>
  </si>
  <si>
    <t>1300 114th Ave SE, Suite 240</t>
  </si>
  <si>
    <t>Bellevue, WA 98004</t>
  </si>
  <si>
    <t>Dat Ksor</t>
  </si>
  <si>
    <t>425-519-1203</t>
  </si>
  <si>
    <t>dat.ksor@novoco.com</t>
  </si>
  <si>
    <t>Kidder Matthews</t>
  </si>
  <si>
    <t>601 S. Figueroa St, Suite 2700</t>
  </si>
  <si>
    <t>William Drewes</t>
  </si>
  <si>
    <t>bill.drewes@kidder.com</t>
  </si>
  <si>
    <t>2 Venture, Suite525</t>
  </si>
  <si>
    <t>Irvine, CA 92618</t>
  </si>
  <si>
    <t>949-873-4200</t>
  </si>
  <si>
    <t>equigley@apertopm.com</t>
  </si>
  <si>
    <t>California Municipal Finance Authority</t>
  </si>
  <si>
    <t>2111 Palomar Airport Rd, #320</t>
  </si>
  <si>
    <t>Carlsbad, CA 92011</t>
  </si>
  <si>
    <t>Anthony Stubbs</t>
  </si>
  <si>
    <t>760-930-1333</t>
  </si>
  <si>
    <t>astubbs@cmfa-ca.com</t>
  </si>
  <si>
    <t>Fixed</t>
  </si>
  <si>
    <t>Citibank</t>
  </si>
  <si>
    <t>Kinetic Valuation Group, Inc.</t>
  </si>
  <si>
    <t>11060 Oak Street Suite 6</t>
  </si>
  <si>
    <t>402-202-0771</t>
  </si>
  <si>
    <t>Omaha, NE 68144</t>
  </si>
  <si>
    <t>300 S Grand Ave, Suite 3110</t>
  </si>
  <si>
    <t xml:space="preserve">Los Angeles </t>
  </si>
  <si>
    <t>Zijian Tu</t>
  </si>
  <si>
    <t>213-486-8917</t>
  </si>
  <si>
    <t>3470 Wilshire Blvd</t>
  </si>
  <si>
    <t>Los Angeles, CA  90010</t>
  </si>
  <si>
    <t>C-2</t>
  </si>
  <si>
    <t>General Commerical</t>
  </si>
  <si>
    <t>Need to Provide</t>
  </si>
  <si>
    <t>Not Applicable</t>
  </si>
  <si>
    <t>no</t>
  </si>
  <si>
    <t>180'</t>
  </si>
  <si>
    <t>Provided</t>
  </si>
  <si>
    <t>Arden Residential, LLC</t>
  </si>
  <si>
    <t>Consultant, Gerneral Partner</t>
  </si>
  <si>
    <t>Vending machines,bulk internet,NSF,Late Fees, Keycard placement Fees,moveout</t>
  </si>
  <si>
    <t xml:space="preserve">R4 Capital </t>
  </si>
  <si>
    <t>895 Dove St. Suite 470</t>
  </si>
  <si>
    <t>Newport Beach, CA</t>
  </si>
  <si>
    <t>Cory Bannister</t>
  </si>
  <si>
    <t>949-438-1056</t>
  </si>
  <si>
    <t>cbannister@r4cap.com</t>
  </si>
  <si>
    <t>Amy Cutler</t>
  </si>
  <si>
    <t>amy@kvgteam.com</t>
  </si>
  <si>
    <t>895 Dove ST. Suite 470</t>
  </si>
  <si>
    <t>Hao Li</t>
  </si>
  <si>
    <t>mpickle@mdrarchitects.com</t>
  </si>
  <si>
    <t xml:space="preserve">Mike Pickle </t>
  </si>
  <si>
    <t>1200 N. Main St</t>
  </si>
  <si>
    <t>Top Universe, LLC &amp; Commercial Marketplace, LLC</t>
  </si>
  <si>
    <t xml:space="preserve">310 W. Woodward Ave Unit D, </t>
  </si>
  <si>
    <t>Alhambra, CA 91801</t>
  </si>
  <si>
    <t>The project consists of a 9-story building that will be serviced by an elevator.</t>
  </si>
  <si>
    <t>President</t>
  </si>
  <si>
    <t>Hing Tat Chan</t>
  </si>
  <si>
    <t>Yiuman Poon</t>
  </si>
  <si>
    <t>Vice President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</si>
</sst>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18912">
    <xf numFmtId="0" fontId="0" fillId="0" borderId="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90" fillId="36" borderId="18" applyNumberFormat="0" applyAlignment="0" applyProtection="0"/>
    <xf numFmtId="0" fontId="90" fillId="36" borderId="18" applyNumberFormat="0" applyAlignment="0" applyProtection="0"/>
    <xf numFmtId="0" fontId="91" fillId="37" borderId="19"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9"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3" fillId="0" borderId="0" applyFont="0" applyFill="0" applyBorder="0" applyAlignment="0" applyProtection="0"/>
    <xf numFmtId="43" fontId="28" fillId="0" borderId="0" applyFont="0" applyFill="0" applyBorder="0" applyAlignment="0" applyProtection="0"/>
    <xf numFmtId="43" fontId="63" fillId="0" borderId="0" applyFont="0" applyFill="0" applyBorder="0" applyAlignment="0" applyProtection="0"/>
    <xf numFmtId="44" fontId="80"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80" fillId="0" borderId="0" applyFont="0" applyFill="0" applyBorder="0" applyAlignment="0" applyProtection="0"/>
    <xf numFmtId="44" fontId="28" fillId="0" borderId="0" applyFont="0" applyFill="0" applyBorder="0" applyAlignment="0" applyProtection="0"/>
    <xf numFmtId="44" fontId="82"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28"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3" fillId="0" borderId="0" applyFont="0" applyFill="0" applyBorder="0" applyAlignment="0" applyProtection="0"/>
    <xf numFmtId="44" fontId="7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28" fillId="0" borderId="0" applyFont="0" applyFill="0" applyBorder="0" applyAlignment="0" applyProtection="0"/>
    <xf numFmtId="44" fontId="73" fillId="0" borderId="0" applyFont="0" applyFill="0" applyBorder="0" applyAlignment="0" applyProtection="0"/>
    <xf numFmtId="44" fontId="28"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28" fillId="0" borderId="0" applyFont="0" applyFill="0" applyBorder="0" applyAlignment="0" applyProtection="0"/>
    <xf numFmtId="44" fontId="74"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78" fillId="0" borderId="0" applyFont="0" applyFill="0" applyBorder="0" applyAlignment="0" applyProtection="0"/>
    <xf numFmtId="44" fontId="28" fillId="0" borderId="0" applyFont="0" applyFill="0" applyBorder="0" applyAlignment="0" applyProtection="0"/>
    <xf numFmtId="0" fontId="92" fillId="0" borderId="0" applyNumberFormat="0" applyFill="0" applyBorder="0" applyAlignment="0" applyProtection="0"/>
    <xf numFmtId="0" fontId="93" fillId="38" borderId="0" applyNumberFormat="0" applyBorder="0" applyAlignment="0" applyProtection="0"/>
    <xf numFmtId="0" fontId="94" fillId="0" borderId="20" applyNumberFormat="0" applyFill="0" applyAlignment="0" applyProtection="0"/>
    <xf numFmtId="0" fontId="94" fillId="0" borderId="20" applyNumberFormat="0" applyFill="0" applyAlignment="0" applyProtection="0"/>
    <xf numFmtId="0" fontId="95" fillId="0" borderId="21" applyNumberFormat="0" applyFill="0" applyAlignment="0" applyProtection="0"/>
    <xf numFmtId="0" fontId="95" fillId="0" borderId="21" applyNumberFormat="0" applyFill="0" applyAlignment="0" applyProtection="0"/>
    <xf numFmtId="0" fontId="96" fillId="0" borderId="22" applyNumberFormat="0" applyFill="0" applyAlignment="0" applyProtection="0"/>
    <xf numFmtId="0" fontId="96" fillId="0" borderId="22"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84" fillId="0" borderId="0" applyNumberFormat="0" applyFill="0" applyBorder="0" applyAlignment="0" applyProtection="0">
      <alignment vertical="top"/>
      <protection locked="0"/>
    </xf>
    <xf numFmtId="0" fontId="97" fillId="39" borderId="18" applyNumberFormat="0" applyAlignment="0" applyProtection="0"/>
    <xf numFmtId="0" fontId="21" fillId="0" borderId="0" applyNumberFormat="0" applyBorder="0"/>
    <xf numFmtId="0" fontId="22" fillId="0" borderId="0" applyBorder="0" applyAlignment="0"/>
    <xf numFmtId="0" fontId="23" fillId="0" borderId="0" applyFill="0" applyBorder="0" applyAlignment="0"/>
    <xf numFmtId="0" fontId="98" fillId="0" borderId="23" applyNumberFormat="0" applyFill="0" applyAlignment="0" applyProtection="0"/>
    <xf numFmtId="0" fontId="99" fillId="40" borderId="0" applyNumberFormat="0" applyBorder="0" applyAlignment="0" applyProtection="0"/>
    <xf numFmtId="0" fontId="100" fillId="0" borderId="0"/>
    <xf numFmtId="0" fontId="63" fillId="0" borderId="0"/>
    <xf numFmtId="0" fontId="100" fillId="0" borderId="0"/>
    <xf numFmtId="0" fontId="63" fillId="0" borderId="0"/>
    <xf numFmtId="0" fontId="63"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3" fillId="0" borderId="0"/>
    <xf numFmtId="169" fontId="64" fillId="0" borderId="0"/>
    <xf numFmtId="0" fontId="87" fillId="0" borderId="0"/>
    <xf numFmtId="0" fontId="28" fillId="0" borderId="0"/>
    <xf numFmtId="0" fontId="28" fillId="0" borderId="0"/>
    <xf numFmtId="0" fontId="69" fillId="0" borderId="0"/>
    <xf numFmtId="0" fontId="63" fillId="0" borderId="0"/>
    <xf numFmtId="0" fontId="69" fillId="0" borderId="0"/>
    <xf numFmtId="0" fontId="63" fillId="0" borderId="0"/>
    <xf numFmtId="0" fontId="75" fillId="0" borderId="0"/>
    <xf numFmtId="0" fontId="63"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5" fillId="0" borderId="0"/>
    <xf numFmtId="0" fontId="87" fillId="0" borderId="0"/>
    <xf numFmtId="0" fontId="87" fillId="0" borderId="0"/>
    <xf numFmtId="0" fontId="87"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87" fillId="0" borderId="0"/>
    <xf numFmtId="0" fontId="87" fillId="0" borderId="0"/>
    <xf numFmtId="0" fontId="87" fillId="0" borderId="0"/>
    <xf numFmtId="0" fontId="87" fillId="0" borderId="0"/>
    <xf numFmtId="0" fontId="75" fillId="0" borderId="0"/>
    <xf numFmtId="0" fontId="63" fillId="0" borderId="0">
      <alignment vertical="top"/>
    </xf>
    <xf numFmtId="0" fontId="87" fillId="0" borderId="0"/>
    <xf numFmtId="0" fontId="87" fillId="0" borderId="0"/>
    <xf numFmtId="0" fontId="87" fillId="0" borderId="0"/>
    <xf numFmtId="0" fontId="87" fillId="0" borderId="0"/>
    <xf numFmtId="0" fontId="75" fillId="0" borderId="0"/>
    <xf numFmtId="0" fontId="28" fillId="0" borderId="0"/>
    <xf numFmtId="0" fontId="87" fillId="0" borderId="0"/>
    <xf numFmtId="0" fontId="28" fillId="0" borderId="0"/>
    <xf numFmtId="0" fontId="87" fillId="0" borderId="0"/>
    <xf numFmtId="0" fontId="87" fillId="0" borderId="0"/>
    <xf numFmtId="0" fontId="87" fillId="0" borderId="0"/>
    <xf numFmtId="0" fontId="87" fillId="0" borderId="0"/>
    <xf numFmtId="0" fontId="69" fillId="0" borderId="0"/>
    <xf numFmtId="0" fontId="63" fillId="0" borderId="0">
      <alignment vertical="top"/>
    </xf>
    <xf numFmtId="0" fontId="69" fillId="0" borderId="0"/>
    <xf numFmtId="0" fontId="63" fillId="0" borderId="0">
      <alignment vertical="top"/>
    </xf>
    <xf numFmtId="0" fontId="63" fillId="0" borderId="0">
      <alignment vertical="top"/>
    </xf>
    <xf numFmtId="0" fontId="87" fillId="0" borderId="0"/>
    <xf numFmtId="0" fontId="69"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63" fillId="0" borderId="0">
      <alignment vertical="top"/>
    </xf>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19" fillId="0" borderId="0" applyProtection="0">
      <protection locked="0"/>
    </xf>
    <xf numFmtId="0" fontId="28" fillId="0" borderId="0" applyProtection="0">
      <protection locked="0"/>
    </xf>
    <xf numFmtId="0" fontId="28" fillId="0" borderId="0" applyProtection="0">
      <protection locked="0"/>
    </xf>
    <xf numFmtId="0" fontId="64" fillId="0" borderId="0"/>
    <xf numFmtId="0" fontId="19" fillId="0" borderId="0"/>
    <xf numFmtId="0" fontId="79"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79"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102" fillId="36" borderId="25" applyNumberFormat="0" applyAlignment="0" applyProtection="0"/>
    <xf numFmtId="0" fontId="102" fillId="36" borderId="25" applyNumberFormat="0" applyAlignment="0" applyProtection="0"/>
    <xf numFmtId="0" fontId="24" fillId="0" borderId="0" applyNumberFormat="0" applyFill="0" applyBorder="0">
      <alignment horizontal="left"/>
    </xf>
    <xf numFmtId="0" fontId="103" fillId="0" borderId="0" applyNumberFormat="0" applyFill="0" applyBorder="0" applyAlignment="0" applyProtection="0"/>
    <xf numFmtId="0" fontId="104" fillId="0" borderId="26" applyNumberFormat="0" applyFill="0" applyAlignment="0" applyProtection="0"/>
    <xf numFmtId="0" fontId="104" fillId="0" borderId="26" applyNumberFormat="0" applyFill="0" applyAlignment="0" applyProtection="0"/>
    <xf numFmtId="0" fontId="105" fillId="0" borderId="0" applyNumberFormat="0" applyFill="0" applyBorder="0" applyAlignment="0" applyProtection="0"/>
    <xf numFmtId="0" fontId="19" fillId="0" borderId="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9" fontId="19" fillId="0" borderId="0" applyFont="0" applyFill="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0"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4" fontId="112"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113" fillId="0" borderId="0" applyNumberForma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03" fillId="0" borderId="0" applyNumberForma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44" fontId="19" fillId="0" borderId="0" applyFont="0" applyFill="0" applyBorder="0" applyAlignment="0" applyProtection="0"/>
    <xf numFmtId="9" fontId="122" fillId="0" borderId="0" applyFont="0" applyFill="0" applyBorder="0" applyAlignment="0" applyProtection="0"/>
    <xf numFmtId="0" fontId="122" fillId="0" borderId="0"/>
    <xf numFmtId="0" fontId="13" fillId="0" borderId="0"/>
    <xf numFmtId="0" fontId="19" fillId="0" borderId="0"/>
    <xf numFmtId="43" fontId="13" fillId="0" borderId="0" applyFont="0" applyFill="0" applyBorder="0" applyAlignment="0" applyProtection="0"/>
    <xf numFmtId="9" fontId="13"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43" fontId="149"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4" fontId="151"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0" fontId="5" fillId="0" borderId="0"/>
    <xf numFmtId="0" fontId="19" fillId="0" borderId="0" applyBorder="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89"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63" fillId="0" borderId="0">
      <alignment vertical="top"/>
    </xf>
    <xf numFmtId="0" fontId="63" fillId="0" borderId="0">
      <alignment vertical="top"/>
    </xf>
    <xf numFmtId="0" fontId="2" fillId="0" borderId="0"/>
    <xf numFmtId="0" fontId="2" fillId="0" borderId="0"/>
    <xf numFmtId="0" fontId="63" fillId="0" borderId="0">
      <alignment vertical="top"/>
    </xf>
    <xf numFmtId="0" fontId="190" fillId="0" borderId="0">
      <alignment vertical="top"/>
    </xf>
    <xf numFmtId="0" fontId="63" fillId="0" borderId="0">
      <alignment vertical="top"/>
    </xf>
    <xf numFmtId="0" fontId="63" fillId="0" borderId="0">
      <alignment vertical="top"/>
    </xf>
    <xf numFmtId="0" fontId="19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43" fontId="79" fillId="0" borderId="0" applyFont="0" applyFill="0" applyBorder="0" applyAlignment="0" applyProtection="0"/>
    <xf numFmtId="0" fontId="2" fillId="16" borderId="0" applyNumberFormat="0" applyBorder="0" applyAlignment="0" applyProtection="0"/>
    <xf numFmtId="0" fontId="2" fillId="22" borderId="0" applyNumberFormat="0" applyBorder="0" applyAlignment="0" applyProtection="0"/>
    <xf numFmtId="43" fontId="7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7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63" fillId="0" borderId="0">
      <alignment vertical="top"/>
    </xf>
    <xf numFmtId="0" fontId="63" fillId="0" borderId="0">
      <alignment vertical="top"/>
    </xf>
    <xf numFmtId="43"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0" fontId="101" fillId="0" borderId="0"/>
    <xf numFmtId="0" fontId="79" fillId="41" borderId="24" applyNumberFormat="0" applyFont="0" applyAlignment="0" applyProtection="0"/>
    <xf numFmtId="0" fontId="79" fillId="41" borderId="24" applyNumberFormat="0" applyFont="0" applyAlignment="0" applyProtection="0"/>
    <xf numFmtId="43" fontId="19" fillId="0" borderId="0" applyFont="0" applyFill="0" applyBorder="0" applyAlignment="0" applyProtection="0"/>
    <xf numFmtId="0" fontId="19"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2" fillId="41" borderId="24" applyNumberFormat="0" applyFont="0" applyAlignment="0" applyProtection="0"/>
    <xf numFmtId="0" fontId="2" fillId="41" borderId="24" applyNumberFormat="0" applyFont="0" applyAlignment="0" applyProtection="0"/>
    <xf numFmtId="169" fontId="191"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cellStyleXfs>
  <cellXfs count="2686">
    <xf numFmtId="0" fontId="0" fillId="0" borderId="0" xfId="0"/>
    <xf numFmtId="0" fontId="0" fillId="0" borderId="0" xfId="0" applyAlignment="1">
      <alignment horizontal="center"/>
    </xf>
    <xf numFmtId="0" fontId="26" fillId="0" borderId="0" xfId="0" applyFont="1"/>
    <xf numFmtId="0" fontId="19" fillId="0" borderId="0" xfId="0" applyFont="1"/>
    <xf numFmtId="0" fontId="28" fillId="0" borderId="0" xfId="0" applyFont="1"/>
    <xf numFmtId="0" fontId="0" fillId="0" borderId="4" xfId="0" applyBorder="1"/>
    <xf numFmtId="0" fontId="28" fillId="0" borderId="0" xfId="0" applyFont="1" applyAlignment="1">
      <alignment horizontal="center"/>
    </xf>
    <xf numFmtId="0" fontId="19"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6" fillId="0" borderId="4" xfId="0" applyFont="1" applyBorder="1"/>
    <xf numFmtId="164" fontId="0" fillId="0" borderId="0" xfId="0" applyNumberFormat="1" applyAlignment="1">
      <alignment horizontal="right"/>
    </xf>
    <xf numFmtId="0" fontId="26" fillId="0" borderId="0" xfId="0" applyFont="1" applyAlignment="1">
      <alignment horizontal="center"/>
    </xf>
    <xf numFmtId="0" fontId="19" fillId="0" borderId="0" xfId="543"/>
    <xf numFmtId="0" fontId="28" fillId="0" borderId="0" xfId="0" applyFont="1" applyAlignment="1">
      <alignment horizontal="left" vertical="top" wrapText="1"/>
    </xf>
    <xf numFmtId="0" fontId="34" fillId="0" borderId="0" xfId="0" applyFont="1"/>
    <xf numFmtId="0" fontId="27" fillId="0" borderId="0" xfId="0" applyFont="1" applyAlignment="1">
      <alignment vertical="top"/>
    </xf>
    <xf numFmtId="0" fontId="27" fillId="0" borderId="0" xfId="0" applyFont="1" applyAlignment="1">
      <alignment vertical="top" wrapText="1"/>
    </xf>
    <xf numFmtId="0" fontId="28" fillId="0" borderId="0" xfId="0" applyFont="1" applyAlignment="1">
      <alignment horizontal="left" indent="4"/>
    </xf>
    <xf numFmtId="0" fontId="27" fillId="0" borderId="0" xfId="0" applyFont="1" applyAlignment="1">
      <alignment horizontal="left" vertical="top"/>
    </xf>
    <xf numFmtId="0" fontId="27" fillId="0" borderId="0" xfId="0" applyFont="1" applyAlignment="1">
      <alignment horizontal="left"/>
    </xf>
    <xf numFmtId="0" fontId="27" fillId="0" borderId="0" xfId="0" applyFont="1"/>
    <xf numFmtId="0" fontId="39" fillId="0" borderId="0" xfId="543" applyFont="1"/>
    <xf numFmtId="1" fontId="27" fillId="0" borderId="0" xfId="0" applyNumberFormat="1" applyFont="1" applyAlignment="1">
      <alignment horizontal="left"/>
    </xf>
    <xf numFmtId="0" fontId="29" fillId="0" borderId="0" xfId="0" applyFont="1"/>
    <xf numFmtId="1" fontId="27" fillId="0" borderId="0" xfId="0" applyNumberFormat="1" applyFont="1" applyAlignment="1">
      <alignment horizontal="right"/>
    </xf>
    <xf numFmtId="0" fontId="0" fillId="0" borderId="0" xfId="0" applyAlignment="1">
      <alignment horizontal="right"/>
    </xf>
    <xf numFmtId="0" fontId="38" fillId="0" borderId="0" xfId="0" applyFont="1"/>
    <xf numFmtId="0" fontId="31" fillId="0" borderId="0" xfId="0" applyFont="1"/>
    <xf numFmtId="172" fontId="19" fillId="0" borderId="0" xfId="543" applyNumberFormat="1"/>
    <xf numFmtId="9" fontId="19" fillId="0" borderId="0" xfId="543" applyNumberFormat="1" applyAlignment="1">
      <alignment horizontal="left"/>
    </xf>
    <xf numFmtId="168" fontId="19" fillId="0" borderId="0" xfId="543" applyNumberFormat="1"/>
    <xf numFmtId="0" fontId="28" fillId="0" borderId="0" xfId="0" applyFont="1" applyAlignment="1">
      <alignment horizontal="right"/>
    </xf>
    <xf numFmtId="0" fontId="42" fillId="0" borderId="0" xfId="0" applyFont="1"/>
    <xf numFmtId="0" fontId="28" fillId="0" borderId="0" xfId="0" applyFont="1" applyAlignment="1">
      <alignment horizontal="left"/>
    </xf>
    <xf numFmtId="0" fontId="30" fillId="0" borderId="0" xfId="0" applyFont="1"/>
    <xf numFmtId="0" fontId="32" fillId="0" borderId="0" xfId="0" applyFont="1"/>
    <xf numFmtId="0" fontId="26"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6" fillId="0" borderId="1" xfId="0" applyFont="1" applyBorder="1" applyAlignment="1">
      <alignment horizontal="center" wrapText="1"/>
    </xf>
    <xf numFmtId="0" fontId="26"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6" fillId="0" borderId="4" xfId="0" applyFont="1" applyBorder="1" applyAlignment="1">
      <alignment horizontal="center"/>
    </xf>
    <xf numFmtId="0" fontId="35" fillId="0" borderId="3" xfId="0" applyFont="1" applyBorder="1" applyAlignment="1">
      <alignment horizontal="left"/>
    </xf>
    <xf numFmtId="0" fontId="35" fillId="0" borderId="9" xfId="0" applyFont="1" applyBorder="1" applyAlignment="1">
      <alignment horizontal="left"/>
    </xf>
    <xf numFmtId="0" fontId="26" fillId="0" borderId="4" xfId="0" applyFont="1" applyBorder="1" applyAlignment="1">
      <alignment horizontal="right"/>
    </xf>
    <xf numFmtId="0" fontId="26" fillId="0" borderId="5" xfId="0" applyFont="1" applyBorder="1" applyAlignment="1">
      <alignment horizontal="right"/>
    </xf>
    <xf numFmtId="0" fontId="35" fillId="0" borderId="0" xfId="0" applyFont="1" applyAlignment="1">
      <alignment horizontal="left"/>
    </xf>
    <xf numFmtId="0" fontId="26" fillId="0" borderId="0" xfId="0" applyFont="1" applyAlignment="1">
      <alignment horizontal="right"/>
    </xf>
    <xf numFmtId="0" fontId="26"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8" fillId="0" borderId="11" xfId="0" applyFont="1" applyBorder="1" applyAlignment="1">
      <alignment horizontal="left"/>
    </xf>
    <xf numFmtId="0" fontId="26" fillId="0" borderId="9" xfId="0" applyFont="1" applyBorder="1"/>
    <xf numFmtId="164" fontId="0" fillId="0" borderId="0" xfId="0" applyNumberFormat="1" applyAlignment="1">
      <alignment horizontal="center"/>
    </xf>
    <xf numFmtId="0" fontId="0" fillId="0" borderId="12" xfId="0" applyBorder="1"/>
    <xf numFmtId="0" fontId="28" fillId="0" borderId="3" xfId="0" applyFont="1" applyBorder="1"/>
    <xf numFmtId="0" fontId="28" fillId="0" borderId="0" xfId="543" applyFont="1"/>
    <xf numFmtId="0" fontId="44" fillId="0" borderId="0" xfId="543" applyFont="1"/>
    <xf numFmtId="49" fontId="19" fillId="0" borderId="0" xfId="543" applyNumberFormat="1"/>
    <xf numFmtId="0" fontId="42" fillId="0" borderId="0" xfId="543" applyFont="1"/>
    <xf numFmtId="168" fontId="39" fillId="0" borderId="6" xfId="543" applyNumberFormat="1" applyFont="1" applyBorder="1" applyAlignment="1">
      <alignment horizontal="left"/>
    </xf>
    <xf numFmtId="168" fontId="39" fillId="0" borderId="6" xfId="543" applyNumberFormat="1" applyFont="1" applyBorder="1" applyAlignment="1">
      <alignment horizontal="center"/>
    </xf>
    <xf numFmtId="0" fontId="19" fillId="0" borderId="8" xfId="543" applyBorder="1"/>
    <xf numFmtId="0" fontId="39" fillId="0" borderId="0" xfId="543" applyFont="1" applyAlignment="1">
      <alignment horizontal="center"/>
    </xf>
    <xf numFmtId="0" fontId="38" fillId="0" borderId="9" xfId="543" applyFont="1" applyBorder="1" applyAlignment="1">
      <alignment horizontal="left" vertical="top" wrapText="1"/>
    </xf>
    <xf numFmtId="0" fontId="38" fillId="0" borderId="6" xfId="543" applyFont="1" applyBorder="1" applyAlignment="1">
      <alignment horizontal="center" vertical="top" wrapText="1"/>
    </xf>
    <xf numFmtId="0" fontId="19" fillId="0" borderId="9" xfId="543" applyBorder="1"/>
    <xf numFmtId="0" fontId="19" fillId="0" borderId="10" xfId="543" applyBorder="1"/>
    <xf numFmtId="0" fontId="19" fillId="0" borderId="1" xfId="543" applyBorder="1"/>
    <xf numFmtId="0" fontId="39" fillId="0" borderId="2" xfId="543" applyFont="1" applyBorder="1" applyAlignment="1">
      <alignment horizontal="center"/>
    </xf>
    <xf numFmtId="0" fontId="41" fillId="0" borderId="8" xfId="543" applyFont="1" applyBorder="1" applyAlignment="1">
      <alignment horizontal="left" vertical="top" wrapText="1"/>
    </xf>
    <xf numFmtId="0" fontId="38" fillId="0" borderId="0" xfId="543" applyFont="1" applyAlignment="1">
      <alignment horizontal="center" vertical="top" wrapText="1"/>
    </xf>
    <xf numFmtId="0" fontId="19" fillId="0" borderId="12" xfId="543" applyBorder="1"/>
    <xf numFmtId="0" fontId="41" fillId="0" borderId="0" xfId="543" applyFont="1" applyAlignment="1">
      <alignment horizontal="center" vertical="top" wrapText="1"/>
    </xf>
    <xf numFmtId="0" fontId="41" fillId="0" borderId="9" xfId="543" applyFont="1" applyBorder="1" applyAlignment="1">
      <alignment horizontal="left" vertical="top" wrapText="1"/>
    </xf>
    <xf numFmtId="0" fontId="19" fillId="0" borderId="2" xfId="543" applyBorder="1"/>
    <xf numFmtId="0" fontId="19" fillId="0" borderId="7" xfId="543" applyBorder="1"/>
    <xf numFmtId="0" fontId="38" fillId="0" borderId="0" xfId="543" applyFont="1"/>
    <xf numFmtId="0" fontId="19" fillId="0" borderId="0" xfId="543" applyAlignment="1">
      <alignment horizontal="center"/>
    </xf>
    <xf numFmtId="0" fontId="27" fillId="0" borderId="6" xfId="543" applyFont="1" applyBorder="1" applyAlignment="1">
      <alignment vertical="top" wrapText="1"/>
    </xf>
    <xf numFmtId="0" fontId="28" fillId="0" borderId="0" xfId="0" applyFont="1" applyAlignment="1">
      <alignment horizontal="left" vertical="top"/>
    </xf>
    <xf numFmtId="0" fontId="0" fillId="2" borderId="2" xfId="0" applyFill="1" applyBorder="1"/>
    <xf numFmtId="0" fontId="0" fillId="2" borderId="7" xfId="0" applyFill="1" applyBorder="1"/>
    <xf numFmtId="0" fontId="26" fillId="0" borderId="6" xfId="0" applyFont="1" applyBorder="1" applyAlignment="1">
      <alignment horizontal="right"/>
    </xf>
    <xf numFmtId="0" fontId="25" fillId="0" borderId="0" xfId="0" applyFont="1" applyAlignment="1">
      <alignment horizontal="center" vertical="center"/>
    </xf>
    <xf numFmtId="0" fontId="26" fillId="0" borderId="0" xfId="0" applyFont="1" applyAlignment="1">
      <alignment vertical="top"/>
    </xf>
    <xf numFmtId="166" fontId="0" fillId="0" borderId="0" xfId="0" applyNumberFormat="1" applyAlignment="1">
      <alignment horizontal="right"/>
    </xf>
    <xf numFmtId="0" fontId="49" fillId="0" borderId="0" xfId="0" applyFont="1"/>
    <xf numFmtId="0" fontId="36" fillId="0" borderId="0" xfId="0" applyFont="1"/>
    <xf numFmtId="0" fontId="20" fillId="0" borderId="0" xfId="244" applyBorder="1" applyProtection="1"/>
    <xf numFmtId="0" fontId="20" fillId="0" borderId="0" xfId="244" applyFill="1" applyBorder="1" applyAlignment="1">
      <alignment horizontal="center" vertical="center"/>
    </xf>
    <xf numFmtId="0" fontId="19" fillId="0" borderId="3" xfId="543" applyBorder="1"/>
    <xf numFmtId="0" fontId="41" fillId="0" borderId="4" xfId="543" applyFont="1" applyBorder="1" applyAlignment="1">
      <alignment horizontal="right" vertical="top" wrapText="1"/>
    </xf>
    <xf numFmtId="0" fontId="28" fillId="0" borderId="6" xfId="0" applyFont="1" applyBorder="1"/>
    <xf numFmtId="0" fontId="28" fillId="0" borderId="2" xfId="0" applyFont="1" applyBorder="1"/>
    <xf numFmtId="0" fontId="28" fillId="0" borderId="7" xfId="0" applyFont="1" applyBorder="1"/>
    <xf numFmtId="0" fontId="28" fillId="0" borderId="12" xfId="0" applyFont="1" applyBorder="1"/>
    <xf numFmtId="0" fontId="28" fillId="0" borderId="9" xfId="0" applyFont="1" applyBorder="1"/>
    <xf numFmtId="0" fontId="28" fillId="0" borderId="10" xfId="0" applyFont="1" applyBorder="1"/>
    <xf numFmtId="0" fontId="33" fillId="0" borderId="6" xfId="0" applyFont="1" applyBorder="1" applyAlignment="1">
      <alignment vertical="top" wrapText="1"/>
    </xf>
    <xf numFmtId="0" fontId="33" fillId="0" borderId="5" xfId="0" applyFont="1" applyBorder="1" applyAlignment="1">
      <alignment vertical="top" wrapText="1"/>
    </xf>
    <xf numFmtId="0" fontId="33" fillId="0" borderId="4" xfId="0" applyFont="1" applyBorder="1" applyAlignment="1">
      <alignment vertical="top" wrapText="1"/>
    </xf>
    <xf numFmtId="0" fontId="33" fillId="2" borderId="6" xfId="0" applyFont="1" applyFill="1" applyBorder="1" applyAlignment="1">
      <alignment vertical="top" wrapText="1"/>
    </xf>
    <xf numFmtId="0" fontId="0" fillId="0" borderId="8" xfId="0" applyBorder="1"/>
    <xf numFmtId="0" fontId="26" fillId="0" borderId="2" xfId="0" applyFont="1" applyBorder="1"/>
    <xf numFmtId="0" fontId="28" fillId="0" borderId="0" xfId="0" applyFont="1" applyAlignment="1">
      <alignment vertical="top"/>
    </xf>
    <xf numFmtId="0" fontId="28" fillId="0" borderId="0" xfId="0" applyFont="1" applyAlignment="1">
      <alignment vertical="top" wrapText="1"/>
    </xf>
    <xf numFmtId="0" fontId="19" fillId="0" borderId="0" xfId="0" applyFont="1" applyAlignment="1">
      <alignment horizontal="left"/>
    </xf>
    <xf numFmtId="0" fontId="19" fillId="0" borderId="0" xfId="0" applyFont="1" applyAlignment="1">
      <alignment vertical="top"/>
    </xf>
    <xf numFmtId="0" fontId="48" fillId="0" borderId="0" xfId="0" applyFont="1"/>
    <xf numFmtId="0" fontId="19" fillId="0" borderId="3" xfId="0" applyFont="1" applyBorder="1"/>
    <xf numFmtId="0" fontId="19"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3" fillId="3" borderId="4" xfId="0" applyFont="1" applyFill="1" applyBorder="1" applyAlignment="1">
      <alignment vertical="top" wrapText="1"/>
    </xf>
    <xf numFmtId="0" fontId="33" fillId="3" borderId="5" xfId="0" applyFont="1" applyFill="1" applyBorder="1" applyAlignment="1">
      <alignment vertical="top" wrapText="1"/>
    </xf>
    <xf numFmtId="0" fontId="51" fillId="0" borderId="0" xfId="0" applyFont="1"/>
    <xf numFmtId="0" fontId="28" fillId="0" borderId="4" xfId="0" applyFont="1" applyBorder="1"/>
    <xf numFmtId="0" fontId="26" fillId="0" borderId="2" xfId="0" applyFont="1" applyBorder="1" applyAlignment="1">
      <alignment horizontal="center"/>
    </xf>
    <xf numFmtId="0" fontId="26" fillId="0" borderId="0" xfId="0" applyFont="1" applyAlignment="1">
      <alignment horizontal="center" vertical="center" wrapText="1"/>
    </xf>
    <xf numFmtId="0" fontId="26" fillId="0" borderId="7" xfId="543" applyFont="1" applyBorder="1" applyAlignment="1">
      <alignment horizontal="right"/>
    </xf>
    <xf numFmtId="0" fontId="27" fillId="0" borderId="9" xfId="543" applyFont="1" applyBorder="1"/>
    <xf numFmtId="0" fontId="28" fillId="0" borderId="6" xfId="543" applyFont="1" applyBorder="1"/>
    <xf numFmtId="0" fontId="27" fillId="0" borderId="6" xfId="543" applyFont="1" applyBorder="1" applyAlignment="1">
      <alignment horizontal="right"/>
    </xf>
    <xf numFmtId="0" fontId="26" fillId="0" borderId="0" xfId="0" applyFont="1" applyAlignment="1">
      <alignment horizontal="center" vertical="center"/>
    </xf>
    <xf numFmtId="0" fontId="28" fillId="0" borderId="0" xfId="0" applyFont="1" applyAlignment="1">
      <alignment horizontal="left" vertical="center"/>
    </xf>
    <xf numFmtId="0" fontId="56" fillId="0" borderId="3" xfId="0" applyFont="1" applyBorder="1" applyAlignment="1">
      <alignment horizontal="left" vertical="top"/>
    </xf>
    <xf numFmtId="0" fontId="56" fillId="0" borderId="13" xfId="0" applyFont="1" applyBorder="1" applyAlignment="1">
      <alignment horizontal="center" wrapText="1"/>
    </xf>
    <xf numFmtId="0" fontId="56" fillId="0" borderId="13" xfId="0" applyFont="1" applyBorder="1" applyAlignment="1">
      <alignment horizontal="center" vertical="top" wrapText="1"/>
    </xf>
    <xf numFmtId="0" fontId="56" fillId="2" borderId="13" xfId="0" applyFont="1" applyFill="1" applyBorder="1" applyAlignment="1">
      <alignment horizontal="center" wrapText="1"/>
    </xf>
    <xf numFmtId="0" fontId="57" fillId="2" borderId="11" xfId="0" applyFont="1" applyFill="1" applyBorder="1" applyAlignment="1">
      <alignment horizontal="left" vertical="top" wrapText="1"/>
    </xf>
    <xf numFmtId="0" fontId="58" fillId="4" borderId="11" xfId="0" applyFont="1" applyFill="1" applyBorder="1" applyAlignment="1">
      <alignment vertical="top" wrapText="1"/>
    </xf>
    <xf numFmtId="0" fontId="58" fillId="2" borderId="11" xfId="0" applyFont="1" applyFill="1" applyBorder="1" applyAlignment="1">
      <alignment vertical="top" wrapText="1"/>
    </xf>
    <xf numFmtId="0" fontId="58" fillId="0" borderId="11" xfId="0" applyFont="1" applyBorder="1" applyAlignment="1">
      <alignment vertical="top" wrapText="1"/>
    </xf>
    <xf numFmtId="0" fontId="58" fillId="0" borderId="11" xfId="0" applyFont="1" applyBorder="1" applyAlignment="1">
      <alignment horizontal="right" vertical="top" wrapText="1"/>
    </xf>
    <xf numFmtId="168" fontId="58" fillId="0" borderId="11" xfId="0" applyNumberFormat="1" applyFont="1" applyBorder="1" applyAlignment="1">
      <alignment vertical="top" wrapText="1"/>
    </xf>
    <xf numFmtId="168" fontId="58" fillId="5" borderId="11" xfId="0" applyNumberFormat="1" applyFont="1" applyFill="1" applyBorder="1" applyAlignment="1" applyProtection="1">
      <alignment vertical="top" wrapText="1"/>
      <protection locked="0"/>
    </xf>
    <xf numFmtId="168" fontId="58" fillId="6" borderId="11" xfId="0" applyNumberFormat="1" applyFont="1" applyFill="1" applyBorder="1" applyAlignment="1">
      <alignment horizontal="center" vertical="top" wrapText="1"/>
    </xf>
    <xf numFmtId="0" fontId="56" fillId="0" borderId="11" xfId="0" applyFont="1" applyBorder="1" applyAlignment="1">
      <alignment horizontal="right" vertical="top" wrapText="1"/>
    </xf>
    <xf numFmtId="168" fontId="56" fillId="0" borderId="11" xfId="0" applyNumberFormat="1" applyFont="1" applyBorder="1" applyAlignment="1">
      <alignment vertical="top" wrapText="1"/>
    </xf>
    <xf numFmtId="168" fontId="58" fillId="4" borderId="11" xfId="0" applyNumberFormat="1" applyFont="1" applyFill="1" applyBorder="1" applyAlignment="1">
      <alignment vertical="top" wrapText="1"/>
    </xf>
    <xf numFmtId="0" fontId="56" fillId="2" borderId="11" xfId="0" applyFont="1" applyFill="1" applyBorder="1" applyAlignment="1">
      <alignment vertical="top" wrapText="1"/>
    </xf>
    <xf numFmtId="0" fontId="56" fillId="0" borderId="11" xfId="0" applyFont="1" applyBorder="1" applyAlignment="1">
      <alignment vertical="top" wrapText="1"/>
    </xf>
    <xf numFmtId="0" fontId="22" fillId="0" borderId="11" xfId="0" applyFont="1" applyBorder="1" applyAlignment="1">
      <alignment horizontal="right" vertical="top" wrapText="1"/>
    </xf>
    <xf numFmtId="0" fontId="58" fillId="0" borderId="11" xfId="0" applyFont="1" applyBorder="1" applyAlignment="1" applyProtection="1">
      <alignment horizontal="right" vertical="top" wrapText="1"/>
      <protection locked="0"/>
    </xf>
    <xf numFmtId="0" fontId="56" fillId="0" borderId="0" xfId="0" applyFont="1" applyAlignment="1">
      <alignment horizontal="left" vertical="top"/>
    </xf>
    <xf numFmtId="0" fontId="58" fillId="0" borderId="0" xfId="0" applyFont="1" applyAlignment="1">
      <alignment horizontal="left" vertical="top"/>
    </xf>
    <xf numFmtId="0" fontId="58" fillId="0" borderId="0" xfId="0" applyFont="1" applyAlignment="1">
      <alignment vertical="top" wrapText="1"/>
    </xf>
    <xf numFmtId="0" fontId="58" fillId="0" borderId="0" xfId="0" applyFont="1" applyAlignment="1">
      <alignment vertical="top"/>
    </xf>
    <xf numFmtId="0" fontId="56" fillId="0" borderId="0" xfId="0" applyFont="1" applyAlignment="1">
      <alignment horizontal="right" vertical="top"/>
    </xf>
    <xf numFmtId="0" fontId="58" fillId="2" borderId="0" xfId="0" applyFont="1" applyFill="1" applyAlignment="1">
      <alignment vertical="top" wrapText="1"/>
    </xf>
    <xf numFmtId="0" fontId="56" fillId="0" borderId="0" xfId="0" applyFont="1" applyAlignment="1">
      <alignment vertical="top"/>
    </xf>
    <xf numFmtId="166" fontId="28" fillId="0" borderId="0" xfId="0" applyNumberFormat="1" applyFont="1" applyAlignment="1">
      <alignment horizontal="left"/>
    </xf>
    <xf numFmtId="0" fontId="59" fillId="0" borderId="0" xfId="0" applyFont="1"/>
    <xf numFmtId="0" fontId="19" fillId="0" borderId="0" xfId="244" applyFont="1" applyFill="1" applyBorder="1" applyAlignment="1" applyProtection="1">
      <alignment horizontal="left"/>
    </xf>
    <xf numFmtId="0" fontId="50" fillId="0" borderId="0" xfId="0" applyFont="1"/>
    <xf numFmtId="0" fontId="50" fillId="0" borderId="0" xfId="244" applyFont="1" applyFill="1" applyBorder="1" applyAlignment="1" applyProtection="1">
      <alignment horizontal="left"/>
    </xf>
    <xf numFmtId="0" fontId="25" fillId="3" borderId="11" xfId="0" applyFont="1" applyFill="1" applyBorder="1" applyAlignment="1">
      <alignment vertical="top"/>
    </xf>
    <xf numFmtId="0" fontId="0" fillId="7" borderId="0" xfId="0" applyFill="1"/>
    <xf numFmtId="0" fontId="39" fillId="0" borderId="0" xfId="0" applyFont="1"/>
    <xf numFmtId="0" fontId="61" fillId="0" borderId="0" xfId="0" applyFont="1"/>
    <xf numFmtId="0" fontId="37" fillId="0" borderId="0" xfId="0" applyFont="1" applyAlignment="1">
      <alignment horizontal="center"/>
    </xf>
    <xf numFmtId="0" fontId="37" fillId="0" borderId="0" xfId="0" applyFont="1" applyAlignment="1">
      <alignment horizontal="left"/>
    </xf>
    <xf numFmtId="49" fontId="26" fillId="0" borderId="0" xfId="0" applyNumberFormat="1" applyFont="1" applyAlignment="1">
      <alignment horizontal="center"/>
    </xf>
    <xf numFmtId="0" fontId="53" fillId="0" borderId="0" xfId="0" applyFont="1" applyAlignment="1">
      <alignment horizontal="center"/>
    </xf>
    <xf numFmtId="168" fontId="28" fillId="0" borderId="0" xfId="0" applyNumberFormat="1" applyFont="1" applyAlignment="1">
      <alignment horizontal="center"/>
    </xf>
    <xf numFmtId="168" fontId="38" fillId="0" borderId="0" xfId="0" applyNumberFormat="1" applyFont="1" applyAlignment="1">
      <alignment horizontal="left" vertical="top" wrapText="1"/>
    </xf>
    <xf numFmtId="0" fontId="55" fillId="0" borderId="3" xfId="0" applyFont="1" applyBorder="1"/>
    <xf numFmtId="168" fontId="0" fillId="0" borderId="0" xfId="0" applyNumberFormat="1" applyAlignment="1">
      <alignment horizontal="center"/>
    </xf>
    <xf numFmtId="0" fontId="39" fillId="0" borderId="0" xfId="0" applyFont="1" applyAlignment="1">
      <alignment vertical="top" wrapText="1"/>
    </xf>
    <xf numFmtId="0" fontId="56" fillId="0" borderId="4" xfId="0" applyFont="1" applyBorder="1" applyAlignment="1">
      <alignment horizontal="right"/>
    </xf>
    <xf numFmtId="0" fontId="63" fillId="0" borderId="0" xfId="0" applyFont="1"/>
    <xf numFmtId="3" fontId="28" fillId="0" borderId="0" xfId="0" applyNumberFormat="1" applyFont="1" applyAlignment="1">
      <alignment horizontal="center"/>
    </xf>
    <xf numFmtId="168" fontId="19" fillId="0" borderId="0" xfId="0" applyNumberFormat="1" applyFont="1" applyAlignment="1">
      <alignment horizontal="left" vertical="top"/>
    </xf>
    <xf numFmtId="168" fontId="28" fillId="0" borderId="0" xfId="0" applyNumberFormat="1" applyFont="1" applyAlignment="1">
      <alignment horizontal="left" vertical="top"/>
    </xf>
    <xf numFmtId="0" fontId="58" fillId="0" borderId="11" xfId="0" applyFont="1" applyBorder="1" applyAlignment="1">
      <alignment horizontal="right" vertical="top"/>
    </xf>
    <xf numFmtId="0" fontId="58" fillId="0" borderId="0" xfId="0" applyFont="1" applyAlignment="1">
      <alignment horizontal="right" vertical="top" wrapText="1"/>
    </xf>
    <xf numFmtId="0" fontId="58" fillId="2" borderId="12" xfId="0" applyFont="1" applyFill="1" applyBorder="1" applyAlignment="1">
      <alignment vertical="top" wrapText="1"/>
    </xf>
    <xf numFmtId="0" fontId="58" fillId="0" borderId="14" xfId="0" applyFont="1" applyBorder="1" applyAlignment="1">
      <alignment vertical="top" wrapText="1"/>
    </xf>
    <xf numFmtId="168" fontId="58" fillId="5" borderId="11" xfId="0" applyNumberFormat="1" applyFont="1" applyFill="1" applyBorder="1" applyAlignment="1" applyProtection="1">
      <alignment vertical="top"/>
      <protection locked="0"/>
    </xf>
    <xf numFmtId="0" fontId="58" fillId="2" borderId="11" xfId="0" applyFont="1" applyFill="1" applyBorder="1" applyAlignment="1" applyProtection="1">
      <alignment vertical="top"/>
      <protection locked="0"/>
    </xf>
    <xf numFmtId="0" fontId="58" fillId="0" borderId="11" xfId="0" applyFont="1" applyBorder="1" applyAlignment="1" applyProtection="1">
      <alignment vertical="top"/>
      <protection locked="0"/>
    </xf>
    <xf numFmtId="168" fontId="58" fillId="0" borderId="11" xfId="0" applyNumberFormat="1" applyFont="1" applyBorder="1" applyAlignment="1">
      <alignment vertical="top"/>
    </xf>
    <xf numFmtId="168" fontId="58" fillId="6" borderId="11" xfId="0" applyNumberFormat="1" applyFont="1" applyFill="1" applyBorder="1" applyAlignment="1">
      <alignment horizontal="center" vertical="top"/>
    </xf>
    <xf numFmtId="0" fontId="26" fillId="0" borderId="0" xfId="542" applyFont="1" applyProtection="1">
      <protection locked="0"/>
    </xf>
    <xf numFmtId="0" fontId="19" fillId="0" borderId="0" xfId="539" applyProtection="1"/>
    <xf numFmtId="0" fontId="39" fillId="8" borderId="0" xfId="539" applyFont="1" applyFill="1" applyAlignment="1" applyProtection="1">
      <alignment horizontal="centerContinuous"/>
    </xf>
    <xf numFmtId="0" fontId="26" fillId="0" borderId="0" xfId="543" applyFont="1"/>
    <xf numFmtId="0" fontId="28" fillId="0" borderId="0" xfId="543" applyFont="1" applyAlignment="1">
      <alignment horizontal="left"/>
    </xf>
    <xf numFmtId="0" fontId="28" fillId="0" borderId="15" xfId="0" applyFont="1" applyBorder="1"/>
    <xf numFmtId="2" fontId="42" fillId="0" borderId="11" xfId="0" applyNumberFormat="1" applyFont="1" applyBorder="1"/>
    <xf numFmtId="0" fontId="19" fillId="0" borderId="0" xfId="0" applyFont="1" applyProtection="1">
      <protection locked="0"/>
    </xf>
    <xf numFmtId="0" fontId="66" fillId="0" borderId="0" xfId="0" applyFont="1" applyAlignment="1">
      <alignment horizontal="center"/>
    </xf>
    <xf numFmtId="0" fontId="28" fillId="0" borderId="0" xfId="271"/>
    <xf numFmtId="0" fontId="26" fillId="0" borderId="0" xfId="271" applyFont="1"/>
    <xf numFmtId="0" fontId="28" fillId="0" borderId="0" xfId="271" applyAlignment="1">
      <alignment horizontal="left"/>
    </xf>
    <xf numFmtId="168" fontId="26" fillId="0" borderId="2" xfId="543" applyNumberFormat="1" applyFont="1" applyBorder="1" applyAlignment="1">
      <alignment horizontal="center" vertical="center"/>
    </xf>
    <xf numFmtId="0" fontId="41" fillId="0" borderId="0" xfId="543" applyFont="1" applyAlignment="1">
      <alignment horizontal="right" vertical="top" wrapText="1"/>
    </xf>
    <xf numFmtId="0" fontId="39" fillId="0" borderId="2" xfId="543" applyFont="1" applyBorder="1" applyAlignment="1">
      <alignment horizontal="right" vertical="top" wrapText="1"/>
    </xf>
    <xf numFmtId="0" fontId="24" fillId="0" borderId="0" xfId="0" applyFont="1"/>
    <xf numFmtId="0" fontId="68" fillId="0" borderId="0" xfId="0" applyFont="1"/>
    <xf numFmtId="0" fontId="66" fillId="0" borderId="0" xfId="0" applyFont="1"/>
    <xf numFmtId="0" fontId="39"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6" fillId="0" borderId="0" xfId="0" applyNumberFormat="1" applyFont="1" applyAlignment="1">
      <alignment horizontal="center"/>
    </xf>
    <xf numFmtId="3" fontId="28" fillId="0" borderId="0" xfId="0" applyNumberFormat="1" applyFont="1"/>
    <xf numFmtId="0" fontId="67" fillId="0" borderId="0" xfId="0" applyFont="1"/>
    <xf numFmtId="168" fontId="24" fillId="0" borderId="0" xfId="0" applyNumberFormat="1" applyFont="1"/>
    <xf numFmtId="10" fontId="24" fillId="0" borderId="0" xfId="0" applyNumberFormat="1" applyFont="1" applyAlignment="1">
      <alignment horizontal="center"/>
    </xf>
    <xf numFmtId="3" fontId="70" fillId="0" borderId="0" xfId="0" applyNumberFormat="1" applyFont="1"/>
    <xf numFmtId="3" fontId="24" fillId="0" borderId="0" xfId="0" applyNumberFormat="1" applyFont="1"/>
    <xf numFmtId="168" fontId="67" fillId="0" borderId="0" xfId="0" applyNumberFormat="1" applyFont="1"/>
    <xf numFmtId="168" fontId="67" fillId="0" borderId="0" xfId="0" applyNumberFormat="1" applyFont="1" applyAlignment="1">
      <alignment horizontal="center"/>
    </xf>
    <xf numFmtId="0" fontId="24" fillId="5" borderId="0" xfId="0" applyFont="1" applyFill="1" applyAlignment="1">
      <alignment horizontal="left"/>
    </xf>
    <xf numFmtId="0" fontId="24" fillId="5" borderId="0" xfId="0" applyFont="1" applyFill="1"/>
    <xf numFmtId="10" fontId="24" fillId="0" borderId="0" xfId="0" applyNumberFormat="1" applyFont="1"/>
    <xf numFmtId="172" fontId="24" fillId="0" borderId="0" xfId="0" applyNumberFormat="1" applyFont="1"/>
    <xf numFmtId="172" fontId="24" fillId="0" borderId="0" xfId="0" applyNumberFormat="1" applyFont="1" applyAlignment="1">
      <alignment horizontal="center"/>
    </xf>
    <xf numFmtId="0" fontId="24" fillId="0" borderId="6" xfId="0" applyFont="1" applyBorder="1"/>
    <xf numFmtId="10" fontId="24" fillId="0" borderId="6" xfId="0" applyNumberFormat="1" applyFont="1" applyBorder="1" applyAlignment="1">
      <alignment horizontal="center"/>
    </xf>
    <xf numFmtId="3" fontId="24" fillId="0" borderId="6" xfId="0" applyNumberFormat="1" applyFont="1" applyBorder="1"/>
    <xf numFmtId="10" fontId="28" fillId="0" borderId="0" xfId="0" applyNumberFormat="1" applyFont="1" applyAlignment="1">
      <alignment horizontal="center"/>
    </xf>
    <xf numFmtId="3" fontId="28" fillId="0" borderId="0" xfId="0" applyNumberFormat="1" applyFont="1" applyAlignment="1">
      <alignment vertical="top"/>
    </xf>
    <xf numFmtId="10" fontId="26" fillId="0" borderId="0" xfId="0" applyNumberFormat="1" applyFont="1" applyAlignment="1">
      <alignment horizontal="center"/>
    </xf>
    <xf numFmtId="0" fontId="66" fillId="0" borderId="6" xfId="0" applyFont="1" applyBorder="1" applyAlignment="1">
      <alignment horizontal="center"/>
    </xf>
    <xf numFmtId="172" fontId="28" fillId="0" borderId="0" xfId="0" applyNumberFormat="1" applyFont="1" applyAlignment="1">
      <alignment horizontal="center"/>
    </xf>
    <xf numFmtId="10" fontId="71" fillId="0" borderId="0" xfId="0" applyNumberFormat="1" applyFont="1" applyAlignment="1">
      <alignment horizontal="center"/>
    </xf>
    <xf numFmtId="0" fontId="28" fillId="9" borderId="6" xfId="0" applyFont="1" applyFill="1" applyBorder="1"/>
    <xf numFmtId="0" fontId="28" fillId="0" borderId="4" xfId="271" applyBorder="1"/>
    <xf numFmtId="0" fontId="28" fillId="0" borderId="6" xfId="271" applyBorder="1"/>
    <xf numFmtId="0" fontId="28" fillId="0" borderId="1" xfId="0" applyFont="1" applyBorder="1"/>
    <xf numFmtId="168" fontId="28" fillId="0" borderId="3" xfId="0" applyNumberFormat="1" applyFont="1" applyBorder="1" applyAlignment="1">
      <alignment vertical="top"/>
    </xf>
    <xf numFmtId="168" fontId="28" fillId="0" borderId="4" xfId="0" applyNumberFormat="1" applyFont="1" applyBorder="1" applyAlignment="1">
      <alignment vertical="top"/>
    </xf>
    <xf numFmtId="168" fontId="28" fillId="0" borderId="5" xfId="0" applyNumberFormat="1" applyFont="1" applyBorder="1" applyAlignment="1">
      <alignment vertical="top"/>
    </xf>
    <xf numFmtId="168" fontId="28" fillId="0" borderId="8" xfId="0" applyNumberFormat="1" applyFont="1" applyBorder="1" applyAlignment="1">
      <alignment vertical="top"/>
    </xf>
    <xf numFmtId="168" fontId="28" fillId="0" borderId="0" xfId="0" applyNumberFormat="1" applyFont="1" applyAlignment="1">
      <alignment vertical="top"/>
    </xf>
    <xf numFmtId="0" fontId="28" fillId="0" borderId="0" xfId="0" applyFont="1" applyAlignment="1">
      <alignment horizontal="right" vertical="top"/>
    </xf>
    <xf numFmtId="0" fontId="28"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8" fillId="5" borderId="4" xfId="0" applyFont="1" applyFill="1" applyBorder="1" applyAlignment="1" applyProtection="1">
      <alignment horizontal="left" vertical="top"/>
      <protection locked="0"/>
    </xf>
    <xf numFmtId="0" fontId="28" fillId="5" borderId="5" xfId="0" applyFont="1" applyFill="1" applyBorder="1" applyAlignment="1" applyProtection="1">
      <alignment horizontal="left" vertical="top"/>
      <protection locked="0"/>
    </xf>
    <xf numFmtId="4" fontId="53" fillId="0" borderId="0" xfId="0" applyNumberFormat="1" applyFont="1" applyAlignment="1">
      <alignment horizontal="center"/>
    </xf>
    <xf numFmtId="0" fontId="38" fillId="0" borderId="1" xfId="543" applyFont="1" applyBorder="1" applyAlignment="1">
      <alignment horizontal="left" vertical="top" wrapText="1"/>
    </xf>
    <xf numFmtId="0" fontId="38" fillId="0" borderId="12" xfId="543" applyFont="1" applyBorder="1" applyAlignment="1">
      <alignment horizontal="center" vertical="top" wrapText="1"/>
    </xf>
    <xf numFmtId="0" fontId="38" fillId="0" borderId="8" xfId="543" applyFont="1" applyBorder="1" applyAlignment="1">
      <alignment horizontal="left" vertical="top" wrapText="1"/>
    </xf>
    <xf numFmtId="0" fontId="33" fillId="3" borderId="4" xfId="271" applyFont="1" applyFill="1" applyBorder="1" applyAlignment="1">
      <alignment vertical="top" wrapText="1"/>
    </xf>
    <xf numFmtId="0" fontId="25" fillId="3" borderId="11" xfId="271" applyFont="1" applyFill="1" applyBorder="1" applyAlignment="1">
      <alignment vertical="top"/>
    </xf>
    <xf numFmtId="0" fontId="26" fillId="0" borderId="9" xfId="271" applyFont="1" applyBorder="1" applyAlignment="1">
      <alignment horizontal="center" wrapText="1"/>
    </xf>
    <xf numFmtId="0" fontId="33" fillId="3" borderId="4" xfId="271" applyFont="1" applyFill="1" applyBorder="1" applyAlignment="1" applyProtection="1">
      <alignment vertical="top" wrapText="1"/>
      <protection locked="0"/>
    </xf>
    <xf numFmtId="0" fontId="33" fillId="3" borderId="5" xfId="271" applyFont="1" applyFill="1" applyBorder="1" applyAlignment="1" applyProtection="1">
      <alignment vertical="top" wrapText="1"/>
      <protection locked="0"/>
    </xf>
    <xf numFmtId="0" fontId="26" fillId="0" borderId="13" xfId="271" applyFont="1" applyBorder="1" applyAlignment="1">
      <alignment horizontal="center" wrapText="1"/>
    </xf>
    <xf numFmtId="0" fontId="51" fillId="2" borderId="11" xfId="271" applyFont="1" applyFill="1" applyBorder="1" applyAlignment="1">
      <alignment horizontal="left" vertical="top" wrapText="1"/>
    </xf>
    <xf numFmtId="0" fontId="28" fillId="0" borderId="11" xfId="271" applyBorder="1" applyAlignment="1" applyProtection="1">
      <alignment vertical="top" wrapText="1"/>
      <protection locked="0"/>
    </xf>
    <xf numFmtId="168" fontId="28" fillId="5" borderId="11" xfId="271" applyNumberFormat="1" applyFill="1" applyBorder="1" applyAlignment="1" applyProtection="1">
      <alignment vertical="top" wrapText="1"/>
      <protection locked="0"/>
    </xf>
    <xf numFmtId="0" fontId="28" fillId="5" borderId="3" xfId="271" applyFill="1" applyBorder="1" applyAlignment="1" applyProtection="1">
      <alignment vertical="top" wrapText="1"/>
      <protection locked="0"/>
    </xf>
    <xf numFmtId="0" fontId="28" fillId="5" borderId="11" xfId="271" applyFill="1" applyBorder="1" applyAlignment="1" applyProtection="1">
      <alignment vertical="top" wrapText="1"/>
      <protection locked="0"/>
    </xf>
    <xf numFmtId="0" fontId="28" fillId="0" borderId="11" xfId="271" applyBorder="1" applyAlignment="1">
      <alignment horizontal="right" vertical="top" wrapText="1"/>
    </xf>
    <xf numFmtId="168" fontId="28" fillId="0" borderId="11" xfId="271" applyNumberFormat="1" applyBorder="1" applyAlignment="1">
      <alignment vertical="top" wrapText="1"/>
    </xf>
    <xf numFmtId="0" fontId="26" fillId="0" borderId="11" xfId="271" applyFont="1" applyBorder="1" applyAlignment="1">
      <alignment horizontal="right" vertical="top" wrapText="1"/>
    </xf>
    <xf numFmtId="0" fontId="28" fillId="5" borderId="11" xfId="271" applyFill="1" applyBorder="1" applyAlignment="1" applyProtection="1">
      <alignment horizontal="right" vertical="top" wrapText="1"/>
      <protection locked="0"/>
    </xf>
    <xf numFmtId="168" fontId="26" fillId="0" borderId="11" xfId="271" applyNumberFormat="1" applyFont="1" applyBorder="1" applyAlignment="1">
      <alignment vertical="top" wrapText="1"/>
    </xf>
    <xf numFmtId="0" fontId="36" fillId="0" borderId="11" xfId="271" applyFont="1" applyBorder="1" applyAlignment="1">
      <alignment horizontal="right" vertical="top" wrapText="1"/>
    </xf>
    <xf numFmtId="0" fontId="33" fillId="0" borderId="0" xfId="271" applyFont="1" applyAlignment="1" applyProtection="1">
      <alignment vertical="top" wrapText="1"/>
      <protection locked="0"/>
    </xf>
    <xf numFmtId="0" fontId="28" fillId="0" borderId="5" xfId="271" applyBorder="1" applyAlignment="1" applyProtection="1">
      <alignment vertical="top" wrapText="1"/>
      <protection locked="0"/>
    </xf>
    <xf numFmtId="0" fontId="26" fillId="0" borderId="3" xfId="271" applyFont="1" applyBorder="1" applyAlignment="1">
      <alignment horizontal="left" vertical="top"/>
    </xf>
    <xf numFmtId="0" fontId="28" fillId="0" borderId="4" xfId="271" applyBorder="1" applyAlignment="1" applyProtection="1">
      <alignment horizontal="left" vertical="top"/>
      <protection locked="0"/>
    </xf>
    <xf numFmtId="0" fontId="28" fillId="0" borderId="4" xfId="271" applyBorder="1" applyAlignment="1" applyProtection="1">
      <alignment vertical="top" wrapText="1"/>
      <protection locked="0"/>
    </xf>
    <xf numFmtId="0" fontId="33" fillId="0" borderId="0" xfId="271" applyFont="1" applyAlignment="1">
      <alignment vertical="top" wrapText="1"/>
    </xf>
    <xf numFmtId="0" fontId="28" fillId="0" borderId="4" xfId="271" applyBorder="1" applyAlignment="1">
      <alignment vertical="top" wrapText="1"/>
    </xf>
    <xf numFmtId="0" fontId="51" fillId="2" borderId="11" xfId="271" applyFont="1" applyFill="1" applyBorder="1" applyAlignment="1" applyProtection="1">
      <alignment horizontal="left" vertical="top" wrapText="1"/>
      <protection locked="0"/>
    </xf>
    <xf numFmtId="0" fontId="55" fillId="0" borderId="11" xfId="0" applyFont="1" applyBorder="1" applyAlignment="1">
      <alignment horizontal="right" vertical="top" wrapText="1"/>
    </xf>
    <xf numFmtId="0" fontId="28" fillId="8" borderId="0" xfId="542" quotePrefix="1" applyFont="1" applyFill="1" applyAlignment="1">
      <alignment horizontal="left"/>
    </xf>
    <xf numFmtId="0" fontId="28" fillId="8" borderId="0" xfId="542" applyFont="1" applyFill="1"/>
    <xf numFmtId="0" fontId="36" fillId="8" borderId="0" xfId="542" applyFont="1" applyFill="1"/>
    <xf numFmtId="0" fontId="55" fillId="0" borderId="11" xfId="271" applyFont="1" applyBorder="1" applyAlignment="1">
      <alignment horizontal="right" vertical="top"/>
    </xf>
    <xf numFmtId="0" fontId="55" fillId="0" borderId="11" xfId="271" applyFont="1" applyBorder="1" applyAlignment="1">
      <alignment horizontal="right" vertical="top" wrapText="1"/>
    </xf>
    <xf numFmtId="0" fontId="28" fillId="0" borderId="0" xfId="271" applyAlignment="1">
      <alignment horizontal="left" vertical="top"/>
    </xf>
    <xf numFmtId="0" fontId="26" fillId="0" borderId="0" xfId="271" applyFont="1" applyAlignment="1">
      <alignment horizontal="right"/>
    </xf>
    <xf numFmtId="0" fontId="27" fillId="0" borderId="0" xfId="271" applyFont="1" applyAlignment="1">
      <alignment horizontal="center"/>
    </xf>
    <xf numFmtId="5" fontId="28" fillId="0" borderId="0" xfId="542" applyNumberFormat="1" applyFont="1"/>
    <xf numFmtId="1" fontId="28" fillId="0" borderId="15" xfId="271" applyNumberFormat="1" applyBorder="1"/>
    <xf numFmtId="1" fontId="28" fillId="0" borderId="14" xfId="271" applyNumberFormat="1" applyBorder="1"/>
    <xf numFmtId="0" fontId="27" fillId="0" borderId="6" xfId="271" applyFont="1" applyBorder="1" applyAlignment="1">
      <alignment horizontal="left"/>
    </xf>
    <xf numFmtId="0" fontId="27" fillId="0" borderId="6" xfId="271" applyFont="1" applyBorder="1" applyAlignment="1">
      <alignment horizontal="right"/>
    </xf>
    <xf numFmtId="165" fontId="28" fillId="0" borderId="0" xfId="271" applyNumberFormat="1"/>
    <xf numFmtId="170" fontId="28" fillId="0" borderId="14" xfId="271" applyNumberFormat="1" applyBorder="1"/>
    <xf numFmtId="1" fontId="26" fillId="0" borderId="11" xfId="271" applyNumberFormat="1" applyFont="1" applyBorder="1"/>
    <xf numFmtId="165" fontId="26" fillId="0" borderId="11" xfId="271" applyNumberFormat="1" applyFont="1" applyBorder="1"/>
    <xf numFmtId="3" fontId="58" fillId="0" borderId="11" xfId="0" applyNumberFormat="1" applyFont="1" applyBorder="1" applyAlignment="1">
      <alignment vertical="top" wrapText="1"/>
    </xf>
    <xf numFmtId="166" fontId="28" fillId="0" borderId="0" xfId="0" applyNumberFormat="1" applyFont="1"/>
    <xf numFmtId="0" fontId="0" fillId="0" borderId="0" xfId="0" applyProtection="1">
      <protection locked="0"/>
    </xf>
    <xf numFmtId="0" fontId="24" fillId="0" borderId="0" xfId="0" applyFont="1" applyProtection="1">
      <protection locked="0"/>
    </xf>
    <xf numFmtId="0" fontId="24" fillId="0" borderId="0" xfId="271" applyFont="1" applyProtection="1">
      <protection locked="0"/>
    </xf>
    <xf numFmtId="168" fontId="24" fillId="0" borderId="0" xfId="271" applyNumberFormat="1" applyFont="1" applyProtection="1">
      <protection locked="0"/>
    </xf>
    <xf numFmtId="0" fontId="32" fillId="0" borderId="1" xfId="0" applyFont="1" applyBorder="1"/>
    <xf numFmtId="0" fontId="19" fillId="0" borderId="2" xfId="0" applyFont="1" applyBorder="1" applyAlignment="1">
      <alignment horizontal="left"/>
    </xf>
    <xf numFmtId="0" fontId="19" fillId="0" borderId="2" xfId="0" applyFont="1" applyBorder="1"/>
    <xf numFmtId="0" fontId="32" fillId="0" borderId="8" xfId="0" applyFont="1" applyBorder="1"/>
    <xf numFmtId="0" fontId="32" fillId="0" borderId="9" xfId="0" applyFont="1" applyBorder="1"/>
    <xf numFmtId="0" fontId="26" fillId="0" borderId="0" xfId="0" applyFont="1" applyAlignment="1">
      <alignment horizontal="left" vertical="top"/>
    </xf>
    <xf numFmtId="0" fontId="76" fillId="0" borderId="0" xfId="0" applyFont="1" applyAlignment="1">
      <alignment vertical="center" wrapText="1"/>
    </xf>
    <xf numFmtId="0" fontId="76" fillId="0" borderId="0" xfId="0" applyFont="1" applyAlignment="1">
      <alignment vertical="center"/>
    </xf>
    <xf numFmtId="0" fontId="76" fillId="0" borderId="0" xfId="0" applyFont="1" applyAlignment="1">
      <alignment horizontal="left" vertical="center" indent="1"/>
    </xf>
    <xf numFmtId="172" fontId="28" fillId="5" borderId="0" xfId="0" applyNumberFormat="1" applyFont="1" applyFill="1" applyAlignment="1">
      <alignment horizontal="center"/>
    </xf>
    <xf numFmtId="0" fontId="77" fillId="0" borderId="0" xfId="0" applyFont="1" applyAlignment="1">
      <alignment horizontal="left" vertical="center"/>
    </xf>
    <xf numFmtId="0" fontId="38" fillId="0" borderId="2" xfId="543" applyFont="1" applyBorder="1" applyAlignment="1">
      <alignment horizontal="center" vertical="top" wrapText="1"/>
    </xf>
    <xf numFmtId="49" fontId="49" fillId="0" borderId="0" xfId="0" applyNumberFormat="1" applyFont="1" applyAlignment="1">
      <alignment horizontal="center"/>
    </xf>
    <xf numFmtId="0" fontId="55" fillId="0" borderId="0" xfId="0" applyFont="1"/>
    <xf numFmtId="5" fontId="81" fillId="0" borderId="11" xfId="541" applyNumberFormat="1" applyFont="1" applyBorder="1" applyAlignment="1" applyProtection="1">
      <alignment horizontal="center"/>
    </xf>
    <xf numFmtId="5" fontId="81" fillId="42" borderId="11" xfId="541" applyNumberFormat="1" applyFont="1" applyFill="1" applyBorder="1" applyAlignment="1" applyProtection="1">
      <alignment horizontal="center"/>
    </xf>
    <xf numFmtId="5" fontId="81" fillId="2" borderId="11" xfId="541" applyNumberFormat="1" applyFont="1" applyFill="1" applyBorder="1" applyAlignment="1" applyProtection="1">
      <alignment horizontal="center"/>
    </xf>
    <xf numFmtId="0" fontId="55" fillId="0" borderId="0" xfId="0" applyFont="1" applyAlignment="1">
      <alignment vertical="top" wrapText="1"/>
    </xf>
    <xf numFmtId="0" fontId="55" fillId="0" borderId="0" xfId="0" applyFont="1" applyAlignment="1">
      <alignment vertical="top"/>
    </xf>
    <xf numFmtId="0" fontId="55" fillId="2" borderId="0" xfId="0" applyFont="1" applyFill="1" applyAlignment="1">
      <alignment vertical="top" wrapText="1"/>
    </xf>
    <xf numFmtId="0" fontId="83" fillId="0" borderId="13" xfId="0" applyFont="1" applyBorder="1" applyAlignment="1">
      <alignment vertical="top" wrapText="1"/>
    </xf>
    <xf numFmtId="0" fontId="33" fillId="0" borderId="0" xfId="0" applyFont="1" applyAlignment="1">
      <alignment vertical="top" wrapText="1"/>
    </xf>
    <xf numFmtId="0" fontId="83" fillId="2" borderId="13" xfId="0" applyFont="1" applyFill="1" applyBorder="1" applyAlignment="1">
      <alignment vertical="top" wrapText="1"/>
    </xf>
    <xf numFmtId="0" fontId="83" fillId="0" borderId="0" xfId="0" applyFont="1" applyAlignment="1">
      <alignment vertical="top" wrapText="1"/>
    </xf>
    <xf numFmtId="0" fontId="83" fillId="2" borderId="0" xfId="0" applyFont="1" applyFill="1" applyAlignment="1">
      <alignment vertical="top" wrapText="1"/>
    </xf>
    <xf numFmtId="0" fontId="55" fillId="0" borderId="0" xfId="0" applyFont="1" applyAlignment="1">
      <alignment horizontal="right" vertical="top" wrapText="1"/>
    </xf>
    <xf numFmtId="168" fontId="55" fillId="5" borderId="6" xfId="0" applyNumberFormat="1" applyFont="1" applyFill="1" applyBorder="1" applyAlignment="1" applyProtection="1">
      <alignment horizontal="right" vertical="top" wrapText="1"/>
      <protection locked="0"/>
    </xf>
    <xf numFmtId="168" fontId="55" fillId="0" borderId="6" xfId="0" applyNumberFormat="1" applyFont="1" applyBorder="1" applyAlignment="1">
      <alignment horizontal="right" vertical="top" wrapText="1"/>
    </xf>
    <xf numFmtId="0" fontId="26" fillId="0" borderId="0" xfId="0" applyFont="1" applyAlignment="1">
      <alignment horizontal="left" vertical="top" wrapText="1"/>
    </xf>
    <xf numFmtId="0" fontId="28" fillId="0" borderId="0" xfId="0" applyFont="1" applyAlignment="1">
      <alignment horizontal="right" vertical="top" wrapText="1"/>
    </xf>
    <xf numFmtId="10" fontId="28" fillId="5" borderId="6" xfId="0" applyNumberFormat="1" applyFont="1" applyFill="1" applyBorder="1" applyAlignment="1" applyProtection="1">
      <alignment horizontal="center" vertical="top" wrapText="1"/>
      <protection locked="0"/>
    </xf>
    <xf numFmtId="0" fontId="66" fillId="0" borderId="0" xfId="0" applyFont="1" applyAlignment="1">
      <alignment horizontal="left" vertical="center"/>
    </xf>
    <xf numFmtId="0" fontId="26" fillId="0" borderId="2" xfId="543" applyFont="1" applyBorder="1" applyAlignment="1">
      <alignment horizontal="center"/>
    </xf>
    <xf numFmtId="0" fontId="0" fillId="0" borderId="0" xfId="543" applyFont="1"/>
    <xf numFmtId="0" fontId="20" fillId="0" borderId="0" xfId="244" quotePrefix="1" applyAlignment="1" applyProtection="1">
      <alignment horizontal="left"/>
    </xf>
    <xf numFmtId="168" fontId="55"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107" fillId="0" borderId="0" xfId="0" applyFont="1" applyAlignment="1">
      <alignment horizontal="left" vertical="top"/>
    </xf>
    <xf numFmtId="0" fontId="108" fillId="0" borderId="0" xfId="0" applyFont="1" applyAlignment="1">
      <alignment horizontal="left" vertical="top"/>
    </xf>
    <xf numFmtId="0" fontId="76" fillId="0" borderId="0" xfId="0" applyFont="1"/>
    <xf numFmtId="0" fontId="26" fillId="8" borderId="11" xfId="542" applyFont="1" applyFill="1" applyBorder="1" applyAlignment="1">
      <alignment horizontal="left"/>
    </xf>
    <xf numFmtId="0" fontId="26" fillId="8" borderId="11" xfId="542" applyFont="1" applyFill="1" applyBorder="1" applyAlignment="1">
      <alignment horizontal="center"/>
    </xf>
    <xf numFmtId="0" fontId="65" fillId="8" borderId="11" xfId="542" applyFont="1" applyFill="1" applyBorder="1" applyAlignment="1">
      <alignment horizontal="left"/>
    </xf>
    <xf numFmtId="0" fontId="65" fillId="0" borderId="11" xfId="542" applyFont="1" applyBorder="1" applyAlignment="1">
      <alignment horizontal="left"/>
    </xf>
    <xf numFmtId="0" fontId="26" fillId="0" borderId="0" xfId="271" applyFont="1" applyAlignment="1" applyProtection="1">
      <alignment horizontal="center" wrapText="1"/>
      <protection locked="0"/>
    </xf>
    <xf numFmtId="0" fontId="28" fillId="0" borderId="0" xfId="271" applyAlignment="1" applyProtection="1">
      <alignment vertical="top" wrapText="1"/>
      <protection locked="0"/>
    </xf>
    <xf numFmtId="0" fontId="26" fillId="0" borderId="0" xfId="271" applyFont="1" applyAlignment="1" applyProtection="1">
      <alignment vertical="top" wrapText="1"/>
      <protection locked="0"/>
    </xf>
    <xf numFmtId="0" fontId="19" fillId="0" borderId="0" xfId="0" applyFont="1" applyAlignment="1">
      <alignment horizontal="center"/>
    </xf>
    <xf numFmtId="0" fontId="33" fillId="0" borderId="8" xfId="569" applyFont="1" applyBorder="1" applyAlignment="1">
      <alignment vertical="top" wrapText="1"/>
    </xf>
    <xf numFmtId="0" fontId="33" fillId="0" borderId="0" xfId="569" applyFont="1" applyAlignment="1">
      <alignment vertical="top" wrapText="1"/>
    </xf>
    <xf numFmtId="0" fontId="57" fillId="2" borderId="11" xfId="569" applyFont="1" applyFill="1" applyBorder="1" applyAlignment="1">
      <alignment horizontal="left" vertical="top" wrapText="1"/>
    </xf>
    <xf numFmtId="6" fontId="55" fillId="4" borderId="11" xfId="569" applyNumberFormat="1" applyFont="1" applyFill="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6" fontId="55" fillId="0" borderId="11" xfId="569" applyNumberFormat="1" applyFont="1" applyBorder="1" applyAlignment="1">
      <alignment vertical="top" wrapText="1"/>
    </xf>
    <xf numFmtId="6" fontId="55" fillId="5" borderId="11" xfId="569" applyNumberFormat="1" applyFont="1" applyFill="1" applyBorder="1" applyAlignment="1" applyProtection="1">
      <alignment vertical="top" wrapText="1"/>
      <protection locked="0"/>
    </xf>
    <xf numFmtId="6" fontId="55" fillId="6" borderId="11" xfId="569" applyNumberFormat="1" applyFont="1" applyFill="1" applyBorder="1" applyAlignment="1">
      <alignment horizontal="center" vertical="top" wrapText="1"/>
    </xf>
    <xf numFmtId="0" fontId="55" fillId="0" borderId="11" xfId="569" applyFont="1" applyBorder="1" applyAlignment="1">
      <alignment horizontal="right" vertical="top" wrapText="1"/>
    </xf>
    <xf numFmtId="0" fontId="56" fillId="0" borderId="11" xfId="569" applyFont="1" applyBorder="1" applyAlignment="1">
      <alignment horizontal="right" vertical="top" wrapText="1"/>
    </xf>
    <xf numFmtId="0" fontId="55" fillId="0" borderId="11" xfId="569" applyFont="1" applyBorder="1" applyAlignment="1">
      <alignment horizontal="right" vertical="top"/>
    </xf>
    <xf numFmtId="6" fontId="56" fillId="0" borderId="11" xfId="569" applyNumberFormat="1" applyFont="1" applyBorder="1" applyAlignment="1">
      <alignment vertical="top" wrapText="1"/>
    </xf>
    <xf numFmtId="0" fontId="56" fillId="0" borderId="8" xfId="569" applyFont="1" applyBorder="1" applyAlignment="1">
      <alignment vertical="top" wrapText="1"/>
    </xf>
    <xf numFmtId="0" fontId="56" fillId="0" borderId="0" xfId="569" applyFont="1" applyAlignment="1">
      <alignment vertical="top" wrapText="1"/>
    </xf>
    <xf numFmtId="0" fontId="22" fillId="0" borderId="11" xfId="569" applyFont="1" applyBorder="1" applyAlignment="1">
      <alignment horizontal="right" vertical="top" wrapText="1"/>
    </xf>
    <xf numFmtId="0" fontId="56" fillId="0" borderId="0" xfId="569" applyFont="1" applyAlignment="1">
      <alignment horizontal="left" vertical="top"/>
    </xf>
    <xf numFmtId="6" fontId="55" fillId="0" borderId="0" xfId="569" applyNumberFormat="1" applyFont="1" applyAlignment="1">
      <alignment horizontal="left" vertical="top"/>
    </xf>
    <xf numFmtId="0" fontId="108" fillId="0" borderId="0" xfId="569" applyFont="1" applyAlignment="1">
      <alignment horizontal="left" vertical="top"/>
    </xf>
    <xf numFmtId="6" fontId="55" fillId="0" borderId="0" xfId="569" applyNumberFormat="1" applyFont="1" applyAlignment="1">
      <alignment vertical="top" wrapText="1"/>
    </xf>
    <xf numFmtId="0" fontId="55" fillId="0" borderId="0" xfId="569" applyFont="1" applyAlignment="1">
      <alignment horizontal="left" vertical="top"/>
    </xf>
    <xf numFmtId="0" fontId="55" fillId="0" borderId="12" xfId="569" applyFont="1" applyBorder="1" applyAlignment="1">
      <alignment vertical="top" wrapText="1"/>
    </xf>
    <xf numFmtId="0" fontId="26" fillId="0" borderId="0" xfId="569" applyFont="1" applyAlignment="1">
      <alignment horizontal="left" vertical="top"/>
    </xf>
    <xf numFmtId="0" fontId="111" fillId="0" borderId="0" xfId="569" applyFont="1" applyAlignment="1">
      <alignment horizontal="left" vertical="top"/>
    </xf>
    <xf numFmtId="0" fontId="66" fillId="0" borderId="0" xfId="569" applyFont="1" applyAlignment="1">
      <alignment horizontal="left" vertical="center"/>
    </xf>
    <xf numFmtId="0" fontId="34" fillId="0" borderId="0" xfId="569" applyFont="1" applyAlignment="1">
      <alignment vertical="top" wrapText="1"/>
    </xf>
    <xf numFmtId="0" fontId="34" fillId="0" borderId="12" xfId="569" applyFont="1" applyBorder="1" applyAlignment="1">
      <alignment vertical="top" wrapText="1"/>
    </xf>
    <xf numFmtId="0" fontId="34" fillId="0" borderId="8" xfId="569" applyFont="1" applyBorder="1" applyAlignment="1">
      <alignment vertical="top" wrapText="1"/>
    </xf>
    <xf numFmtId="0" fontId="55" fillId="0" borderId="0" xfId="569" applyFont="1" applyAlignment="1">
      <alignment vertical="top"/>
    </xf>
    <xf numFmtId="168" fontId="55" fillId="0" borderId="0" xfId="569" applyNumberFormat="1" applyFont="1" applyAlignment="1" applyProtection="1">
      <alignment horizontal="right" vertical="top" wrapText="1"/>
      <protection locked="0"/>
    </xf>
    <xf numFmtId="0" fontId="19" fillId="0" borderId="0" xfId="569" applyAlignment="1">
      <alignment vertical="top" wrapText="1"/>
    </xf>
    <xf numFmtId="0" fontId="19" fillId="0" borderId="0" xfId="569" applyAlignment="1">
      <alignment vertical="top"/>
    </xf>
    <xf numFmtId="0" fontId="55" fillId="0" borderId="0" xfId="569" applyFont="1" applyAlignment="1">
      <alignment horizontal="right" vertical="top" wrapText="1"/>
    </xf>
    <xf numFmtId="0" fontId="26" fillId="0" borderId="0" xfId="569" applyFont="1" applyAlignment="1">
      <alignment horizontal="left" vertical="top" wrapText="1"/>
    </xf>
    <xf numFmtId="168" fontId="55" fillId="0" borderId="0" xfId="569" applyNumberFormat="1" applyFont="1" applyAlignment="1">
      <alignment horizontal="right" vertical="top" wrapText="1"/>
    </xf>
    <xf numFmtId="0" fontId="19" fillId="0" borderId="0" xfId="569" applyAlignment="1" applyProtection="1">
      <alignment horizontal="left" vertical="top" wrapText="1"/>
      <protection locked="0"/>
    </xf>
    <xf numFmtId="0" fontId="19" fillId="0" borderId="0" xfId="569" applyAlignment="1">
      <alignment horizontal="right" vertical="top" wrapText="1"/>
    </xf>
    <xf numFmtId="0" fontId="19" fillId="0" borderId="0" xfId="569" applyAlignment="1">
      <alignment horizontal="left" vertical="top"/>
    </xf>
    <xf numFmtId="0" fontId="83" fillId="0" borderId="0" xfId="569" applyFont="1" applyAlignment="1">
      <alignment vertical="top" wrapText="1"/>
    </xf>
    <xf numFmtId="0" fontId="83" fillId="0" borderId="12" xfId="569" applyFont="1" applyBorder="1" applyAlignment="1">
      <alignment vertical="top" wrapText="1"/>
    </xf>
    <xf numFmtId="0" fontId="83" fillId="0" borderId="8" xfId="569" applyFont="1" applyBorder="1" applyAlignment="1">
      <alignment vertical="top" wrapText="1"/>
    </xf>
    <xf numFmtId="0" fontId="33" fillId="0" borderId="0" xfId="569" applyFont="1" applyAlignment="1">
      <alignment horizontal="right" vertical="top" wrapText="1"/>
    </xf>
    <xf numFmtId="0" fontId="83" fillId="0" borderId="0" xfId="569" applyFont="1" applyAlignment="1">
      <alignment horizontal="right" vertical="top" wrapText="1"/>
    </xf>
    <xf numFmtId="0" fontId="56" fillId="0" borderId="3" xfId="569" applyFont="1" applyBorder="1" applyAlignment="1">
      <alignment horizontal="left"/>
    </xf>
    <xf numFmtId="0" fontId="56" fillId="0" borderId="13" xfId="569" applyFont="1" applyBorder="1" applyAlignment="1">
      <alignment horizontal="center" wrapText="1"/>
    </xf>
    <xf numFmtId="0" fontId="56" fillId="0" borderId="8" xfId="569" applyFont="1" applyBorder="1" applyAlignment="1">
      <alignment horizontal="center" wrapText="1"/>
    </xf>
    <xf numFmtId="0" fontId="56" fillId="0" borderId="0" xfId="569" applyFont="1" applyAlignment="1">
      <alignment horizontal="center" wrapText="1"/>
    </xf>
    <xf numFmtId="0" fontId="19" fillId="0" borderId="0" xfId="569"/>
    <xf numFmtId="0" fontId="25" fillId="0" borderId="0" xfId="569" applyFont="1" applyAlignment="1">
      <alignment horizontal="center" vertical="center"/>
    </xf>
    <xf numFmtId="0" fontId="26" fillId="0" borderId="0" xfId="569" applyFont="1"/>
    <xf numFmtId="0" fontId="19" fillId="0" borderId="1" xfId="569" applyBorder="1"/>
    <xf numFmtId="0" fontId="19" fillId="0" borderId="2" xfId="569" applyBorder="1"/>
    <xf numFmtId="0" fontId="19" fillId="0" borderId="8" xfId="569" applyBorder="1"/>
    <xf numFmtId="0" fontId="19" fillId="0" borderId="9" xfId="569" applyBorder="1"/>
    <xf numFmtId="0" fontId="19" fillId="0" borderId="6" xfId="569" applyBorder="1"/>
    <xf numFmtId="0" fontId="27" fillId="0" borderId="0" xfId="569" applyFont="1"/>
    <xf numFmtId="0" fontId="19" fillId="0" borderId="7" xfId="569" applyBorder="1"/>
    <xf numFmtId="0" fontId="19" fillId="0" borderId="12" xfId="569" applyBorder="1"/>
    <xf numFmtId="0" fontId="19" fillId="0" borderId="10" xfId="569" applyBorder="1"/>
    <xf numFmtId="0" fontId="27" fillId="0" borderId="0" xfId="569" applyFont="1" applyAlignment="1">
      <alignment vertical="top" wrapText="1"/>
    </xf>
    <xf numFmtId="0" fontId="19" fillId="0" borderId="0" xfId="569" applyAlignment="1">
      <alignment horizontal="right"/>
    </xf>
    <xf numFmtId="0" fontId="19" fillId="0" borderId="0" xfId="569" applyAlignment="1">
      <alignment wrapText="1"/>
    </xf>
    <xf numFmtId="0" fontId="19" fillId="0" borderId="0" xfId="569" applyAlignment="1">
      <alignment vertical="center"/>
    </xf>
    <xf numFmtId="0" fontId="43" fillId="0" borderId="0" xfId="569" applyFont="1" applyAlignment="1">
      <alignment vertical="center" wrapText="1"/>
    </xf>
    <xf numFmtId="0" fontId="37" fillId="0" borderId="0" xfId="569" applyFont="1" applyAlignment="1">
      <alignment vertical="top" wrapText="1"/>
    </xf>
    <xf numFmtId="0" fontId="26" fillId="0" borderId="0" xfId="569" applyFont="1" applyAlignment="1">
      <alignment vertical="top" wrapText="1"/>
    </xf>
    <xf numFmtId="0" fontId="27" fillId="0" borderId="0" xfId="569" applyFont="1" applyAlignment="1">
      <alignment horizontal="left" vertical="top" wrapText="1"/>
    </xf>
    <xf numFmtId="164" fontId="19" fillId="0" borderId="0" xfId="569" applyNumberFormat="1" applyAlignment="1">
      <alignment horizontal="right"/>
    </xf>
    <xf numFmtId="168" fontId="19" fillId="0" borderId="0" xfId="569" applyNumberFormat="1" applyAlignment="1">
      <alignment horizontal="right"/>
    </xf>
    <xf numFmtId="0" fontId="109" fillId="0" borderId="0" xfId="569" applyFont="1" applyAlignment="1">
      <alignment horizontal="left" vertical="top" wrapText="1"/>
    </xf>
    <xf numFmtId="168" fontId="19" fillId="0" borderId="0" xfId="569" applyNumberFormat="1" applyAlignment="1">
      <alignment wrapText="1"/>
    </xf>
    <xf numFmtId="0" fontId="24" fillId="0" borderId="11" xfId="253" applyFont="1" applyBorder="1" applyAlignment="1">
      <alignment horizontal="center" wrapText="1"/>
    </xf>
    <xf numFmtId="0" fontId="24" fillId="0" borderId="0" xfId="253" applyFont="1" applyAlignment="1">
      <alignment horizontal="center" wrapText="1"/>
    </xf>
    <xf numFmtId="3" fontId="24" fillId="0" borderId="11" xfId="271" applyNumberFormat="1" applyFont="1" applyBorder="1"/>
    <xf numFmtId="3" fontId="24" fillId="0" borderId="0" xfId="271" applyNumberFormat="1" applyFont="1"/>
    <xf numFmtId="0" fontId="67" fillId="0" borderId="0" xfId="271" applyFont="1" applyAlignment="1">
      <alignment horizontal="left"/>
    </xf>
    <xf numFmtId="0" fontId="67" fillId="0" borderId="0" xfId="271" applyFont="1" applyAlignment="1">
      <alignment horizontal="right"/>
    </xf>
    <xf numFmtId="168" fontId="24" fillId="0" borderId="11" xfId="271" applyNumberFormat="1" applyFont="1" applyBorder="1"/>
    <xf numFmtId="168" fontId="24" fillId="0" borderId="0" xfId="271" applyNumberFormat="1" applyFont="1"/>
    <xf numFmtId="0" fontId="55" fillId="0" borderId="0" xfId="569" applyFont="1" applyAlignment="1">
      <alignment horizontal="left"/>
    </xf>
    <xf numFmtId="0" fontId="19" fillId="0" borderId="3" xfId="569" applyBorder="1"/>
    <xf numFmtId="0" fontId="110" fillId="0" borderId="0" xfId="1834"/>
    <xf numFmtId="0" fontId="0" fillId="0" borderId="0" xfId="0" applyAlignment="1">
      <alignment horizontal="left" vertical="top"/>
    </xf>
    <xf numFmtId="0" fontId="109" fillId="0" borderId="0" xfId="0" applyFont="1" applyAlignment="1">
      <alignment vertical="top" wrapText="1"/>
    </xf>
    <xf numFmtId="0" fontId="55" fillId="0" borderId="0" xfId="271" applyFont="1" applyAlignment="1">
      <alignment vertical="top" wrapText="1"/>
    </xf>
    <xf numFmtId="4" fontId="19" fillId="0" borderId="0" xfId="1192" applyNumberFormat="1" applyAlignment="1">
      <alignment horizontal="left" vertical="top" wrapText="1"/>
    </xf>
    <xf numFmtId="0" fontId="19" fillId="0" borderId="0" xfId="0" applyFont="1" applyAlignment="1">
      <alignment horizontal="left" vertical="top" wrapText="1"/>
    </xf>
    <xf numFmtId="0" fontId="26" fillId="0" borderId="12" xfId="543" applyFont="1" applyBorder="1" applyAlignment="1">
      <alignment horizontal="right"/>
    </xf>
    <xf numFmtId="0" fontId="38" fillId="0" borderId="0" xfId="543" applyFont="1" applyAlignment="1">
      <alignment horizontal="center"/>
    </xf>
    <xf numFmtId="4" fontId="19" fillId="0" borderId="0" xfId="569" applyNumberFormat="1" applyAlignment="1">
      <alignment horizontal="left"/>
    </xf>
    <xf numFmtId="0" fontId="19" fillId="0" borderId="0" xfId="569" applyAlignment="1">
      <alignment horizontal="left" vertical="top" wrapText="1"/>
    </xf>
    <xf numFmtId="0" fontId="19" fillId="0" borderId="0" xfId="569" applyAlignment="1">
      <alignment horizontal="left"/>
    </xf>
    <xf numFmtId="0" fontId="19" fillId="0" borderId="0" xfId="1192" applyAlignment="1">
      <alignment horizontal="left"/>
    </xf>
    <xf numFmtId="0" fontId="26" fillId="0" borderId="0" xfId="569" applyFont="1" applyAlignment="1">
      <alignment horizontal="left"/>
    </xf>
    <xf numFmtId="0" fontId="48" fillId="0" borderId="0" xfId="1192" applyFont="1"/>
    <xf numFmtId="0" fontId="55" fillId="0" borderId="11" xfId="0" applyFont="1" applyBorder="1" applyAlignment="1">
      <alignment horizontal="right" vertical="center"/>
    </xf>
    <xf numFmtId="0" fontId="19" fillId="0" borderId="0" xfId="1192" applyAlignment="1">
      <alignment horizontal="left" vertical="top" wrapText="1"/>
    </xf>
    <xf numFmtId="0" fontId="48" fillId="0" borderId="0" xfId="0" applyFont="1" applyAlignment="1">
      <alignment vertical="top" wrapText="1"/>
    </xf>
    <xf numFmtId="0" fontId="48" fillId="0" borderId="0" xfId="0" applyFont="1" applyAlignment="1">
      <alignment horizontal="left" vertical="top" wrapText="1"/>
    </xf>
    <xf numFmtId="6" fontId="56" fillId="0" borderId="0" xfId="569" applyNumberFormat="1" applyFont="1" applyAlignment="1">
      <alignment horizontal="right" vertical="top"/>
    </xf>
    <xf numFmtId="0" fontId="19" fillId="0" borderId="0" xfId="0" applyFont="1" applyAlignment="1">
      <alignment vertical="top" wrapText="1"/>
    </xf>
    <xf numFmtId="168" fontId="28" fillId="0" borderId="0" xfId="0" applyNumberFormat="1" applyFont="1" applyAlignment="1">
      <alignment horizontal="right"/>
    </xf>
    <xf numFmtId="168" fontId="28" fillId="0" borderId="28" xfId="540" applyNumberFormat="1" applyBorder="1" applyAlignment="1" applyProtection="1">
      <alignment horizontal="center"/>
    </xf>
    <xf numFmtId="168" fontId="28" fillId="0" borderId="29" xfId="540" applyNumberFormat="1" applyBorder="1" applyAlignment="1" applyProtection="1">
      <alignment horizontal="center"/>
    </xf>
    <xf numFmtId="168" fontId="28" fillId="0" borderId="30" xfId="540" applyNumberFormat="1" applyBorder="1" applyAlignment="1" applyProtection="1">
      <alignment horizontal="center"/>
    </xf>
    <xf numFmtId="168" fontId="28" fillId="0" borderId="31" xfId="540" applyNumberFormat="1" applyBorder="1" applyAlignment="1" applyProtection="1">
      <alignment horizontal="center"/>
    </xf>
    <xf numFmtId="168" fontId="28" fillId="0" borderId="32" xfId="540" applyNumberFormat="1" applyBorder="1" applyAlignment="1" applyProtection="1">
      <alignment horizontal="center"/>
    </xf>
    <xf numFmtId="168" fontId="28" fillId="0" borderId="33" xfId="540" applyNumberFormat="1" applyBorder="1" applyAlignment="1" applyProtection="1">
      <alignment horizontal="center"/>
    </xf>
    <xf numFmtId="168" fontId="28" fillId="0" borderId="34" xfId="540" applyNumberFormat="1" applyBorder="1" applyAlignment="1" applyProtection="1">
      <alignment horizontal="center"/>
    </xf>
    <xf numFmtId="168" fontId="28" fillId="0" borderId="35" xfId="540" applyNumberFormat="1" applyBorder="1" applyAlignment="1" applyProtection="1">
      <alignment horizontal="center"/>
    </xf>
    <xf numFmtId="168" fontId="28" fillId="0" borderId="36" xfId="540" applyNumberFormat="1" applyBorder="1" applyAlignment="1" applyProtection="1">
      <alignment horizontal="center"/>
    </xf>
    <xf numFmtId="168" fontId="28" fillId="0" borderId="37" xfId="540" applyNumberFormat="1" applyBorder="1" applyAlignment="1" applyProtection="1">
      <alignment horizontal="center"/>
    </xf>
    <xf numFmtId="168" fontId="28" fillId="0" borderId="38" xfId="540" applyNumberFormat="1" applyBorder="1" applyAlignment="1" applyProtection="1">
      <alignment horizontal="center"/>
    </xf>
    <xf numFmtId="168" fontId="28" fillId="0" borderId="39" xfId="540" applyNumberFormat="1" applyBorder="1" applyAlignment="1" applyProtection="1">
      <alignment horizontal="center"/>
    </xf>
    <xf numFmtId="168" fontId="28" fillId="0" borderId="40" xfId="540" applyNumberFormat="1" applyBorder="1" applyAlignment="1" applyProtection="1">
      <alignment horizontal="center"/>
    </xf>
    <xf numFmtId="168" fontId="28" fillId="0" borderId="0" xfId="540" applyNumberFormat="1" applyAlignment="1" applyProtection="1">
      <alignment horizontal="center"/>
    </xf>
    <xf numFmtId="168" fontId="28" fillId="0" borderId="14" xfId="540" applyNumberFormat="1" applyBorder="1" applyAlignment="1" applyProtection="1">
      <alignment horizontal="center"/>
    </xf>
    <xf numFmtId="168" fontId="28" fillId="0" borderId="41" xfId="540" applyNumberFormat="1" applyBorder="1" applyAlignment="1" applyProtection="1">
      <alignment horizontal="center"/>
    </xf>
    <xf numFmtId="168" fontId="28" fillId="0" borderId="42" xfId="540" applyNumberFormat="1" applyBorder="1" applyAlignment="1" applyProtection="1">
      <alignment horizontal="center"/>
    </xf>
    <xf numFmtId="168" fontId="28" fillId="0" borderId="43" xfId="540" applyNumberFormat="1" applyBorder="1" applyAlignment="1" applyProtection="1">
      <alignment horizontal="center"/>
    </xf>
    <xf numFmtId="168" fontId="28" fillId="0" borderId="44" xfId="540" applyNumberFormat="1" applyBorder="1" applyAlignment="1" applyProtection="1">
      <alignment horizontal="center"/>
    </xf>
    <xf numFmtId="0" fontId="19" fillId="0" borderId="0" xfId="1192"/>
    <xf numFmtId="0" fontId="19" fillId="0" borderId="0" xfId="0" applyFont="1" applyAlignment="1">
      <alignment wrapText="1"/>
    </xf>
    <xf numFmtId="0" fontId="48" fillId="0" borderId="0" xfId="0" applyFont="1" applyAlignment="1">
      <alignment horizontal="left" vertical="top"/>
    </xf>
    <xf numFmtId="0" fontId="48" fillId="0" borderId="0" xfId="0" applyFont="1" applyAlignment="1">
      <alignment vertical="top"/>
    </xf>
    <xf numFmtId="0" fontId="19" fillId="0" borderId="0" xfId="569" applyAlignment="1">
      <alignment horizontal="center"/>
    </xf>
    <xf numFmtId="0" fontId="37" fillId="0" borderId="0" xfId="569" applyFont="1" applyAlignment="1">
      <alignment horizontal="left"/>
    </xf>
    <xf numFmtId="0" fontId="37" fillId="0" borderId="0" xfId="569" applyFont="1" applyAlignment="1">
      <alignment horizontal="center"/>
    </xf>
    <xf numFmtId="49" fontId="26" fillId="0" borderId="0" xfId="569" applyNumberFormat="1" applyFont="1" applyAlignment="1">
      <alignment horizontal="center"/>
    </xf>
    <xf numFmtId="0" fontId="53" fillId="0" borderId="0" xfId="569" applyFont="1" applyAlignment="1">
      <alignment horizontal="center"/>
    </xf>
    <xf numFmtId="0" fontId="19" fillId="5" borderId="6" xfId="569" applyFill="1" applyBorder="1" applyProtection="1">
      <protection locked="0"/>
    </xf>
    <xf numFmtId="0" fontId="20" fillId="0" borderId="0" xfId="244" applyAlignment="1" applyProtection="1">
      <alignment horizontal="center"/>
    </xf>
    <xf numFmtId="49" fontId="19" fillId="0" borderId="0" xfId="569" applyNumberFormat="1" applyAlignment="1">
      <alignment horizontal="center"/>
    </xf>
    <xf numFmtId="0" fontId="19" fillId="0" borderId="0" xfId="569" applyAlignment="1">
      <alignment horizontal="center" vertical="center"/>
    </xf>
    <xf numFmtId="0" fontId="19" fillId="0" borderId="0" xfId="1192" applyAlignment="1">
      <alignment horizontal="center"/>
    </xf>
    <xf numFmtId="0" fontId="26" fillId="0" borderId="0" xfId="569" applyFont="1" applyAlignment="1">
      <alignment horizontal="center"/>
    </xf>
    <xf numFmtId="0" fontId="19" fillId="0" borderId="0" xfId="569" applyAlignment="1">
      <alignment horizontal="left" indent="4"/>
    </xf>
    <xf numFmtId="0" fontId="19" fillId="0" borderId="0" xfId="569" quotePrefix="1" applyAlignment="1">
      <alignment horizontal="left"/>
    </xf>
    <xf numFmtId="0" fontId="37" fillId="0" borderId="0" xfId="569" applyFont="1"/>
    <xf numFmtId="0" fontId="19" fillId="0" borderId="0" xfId="1192" applyAlignment="1" applyProtection="1">
      <alignment horizontal="left"/>
      <protection locked="0"/>
    </xf>
    <xf numFmtId="0" fontId="19" fillId="0" borderId="0" xfId="569" applyAlignment="1" applyProtection="1">
      <alignment horizontal="left"/>
      <protection locked="0"/>
    </xf>
    <xf numFmtId="49" fontId="19" fillId="0" borderId="0" xfId="1192" applyNumberFormat="1" applyAlignment="1">
      <alignment horizontal="center"/>
    </xf>
    <xf numFmtId="0" fontId="53" fillId="0" borderId="0" xfId="1192" applyFont="1" applyAlignment="1">
      <alignment horizontal="center"/>
    </xf>
    <xf numFmtId="0" fontId="26" fillId="0" borderId="0" xfId="1192" applyFont="1" applyAlignment="1">
      <alignment horizontal="left"/>
    </xf>
    <xf numFmtId="4" fontId="19" fillId="0" borderId="0" xfId="1192" applyNumberFormat="1" applyAlignment="1">
      <alignment horizontal="left"/>
    </xf>
    <xf numFmtId="0" fontId="26" fillId="0" borderId="0" xfId="569" quotePrefix="1" applyFont="1" applyAlignment="1">
      <alignment horizontal="center"/>
    </xf>
    <xf numFmtId="49" fontId="19" fillId="0" borderId="0" xfId="569" applyNumberFormat="1"/>
    <xf numFmtId="0" fontId="51" fillId="0" borderId="0" xfId="569" applyFont="1" applyAlignment="1">
      <alignment horizontal="left"/>
    </xf>
    <xf numFmtId="4" fontId="53" fillId="0" borderId="0" xfId="569" applyNumberFormat="1" applyFont="1" applyAlignment="1">
      <alignment horizontal="center"/>
    </xf>
    <xf numFmtId="4" fontId="19" fillId="0" borderId="0" xfId="569" applyNumberFormat="1" applyAlignment="1">
      <alignment horizontal="center"/>
    </xf>
    <xf numFmtId="4" fontId="19" fillId="0" borderId="0" xfId="569" applyNumberFormat="1"/>
    <xf numFmtId="0" fontId="49" fillId="0" borderId="0" xfId="569" applyFont="1" applyAlignment="1">
      <alignment horizontal="left"/>
    </xf>
    <xf numFmtId="0" fontId="20" fillId="0" borderId="0" xfId="244" applyNumberFormat="1" applyFill="1" applyAlignment="1" applyProtection="1">
      <alignment horizontal="left"/>
      <protection locked="0"/>
    </xf>
    <xf numFmtId="0" fontId="55" fillId="0" borderId="11" xfId="0" applyFont="1" applyBorder="1" applyAlignment="1" applyProtection="1">
      <alignment horizontal="right" vertical="top" wrapText="1"/>
      <protection locked="0"/>
    </xf>
    <xf numFmtId="168" fontId="58" fillId="44" borderId="11" xfId="0" applyNumberFormat="1" applyFont="1" applyFill="1" applyBorder="1" applyAlignment="1">
      <alignment vertical="top" wrapText="1"/>
    </xf>
    <xf numFmtId="0" fontId="19" fillId="0" borderId="11" xfId="271" applyFont="1" applyBorder="1" applyAlignment="1">
      <alignment horizontal="right" vertical="top" wrapText="1"/>
    </xf>
    <xf numFmtId="0" fontId="27" fillId="0" borderId="0" xfId="569" applyFont="1" applyAlignment="1">
      <alignment horizontal="left"/>
    </xf>
    <xf numFmtId="0" fontId="107" fillId="0" borderId="0" xfId="0" applyFont="1"/>
    <xf numFmtId="0" fontId="118" fillId="0" borderId="0" xfId="0" applyFont="1" applyAlignment="1">
      <alignment horizontal="left" vertical="top"/>
    </xf>
    <xf numFmtId="0" fontId="119" fillId="0" borderId="0" xfId="0" applyFont="1" applyAlignment="1">
      <alignment horizontal="left" vertical="top"/>
    </xf>
    <xf numFmtId="168" fontId="27" fillId="0" borderId="0" xfId="0" applyNumberFormat="1" applyFont="1" applyAlignment="1">
      <alignment horizontal="left" vertical="top" wrapText="1"/>
    </xf>
    <xf numFmtId="168" fontId="55" fillId="5" borderId="11" xfId="0" applyNumberFormat="1" applyFont="1" applyFill="1" applyBorder="1" applyAlignment="1">
      <alignment vertical="top" wrapText="1"/>
    </xf>
    <xf numFmtId="0" fontId="19" fillId="0" borderId="0" xfId="271" applyFont="1" applyAlignment="1">
      <alignment horizontal="left" vertical="top"/>
    </xf>
    <xf numFmtId="0" fontId="55" fillId="0" borderId="0" xfId="569" applyFont="1"/>
    <xf numFmtId="0" fontId="19" fillId="0" borderId="0" xfId="0" applyFont="1" applyAlignment="1">
      <alignment horizontal="left" vertical="top"/>
    </xf>
    <xf numFmtId="4" fontId="19" fillId="0" borderId="0" xfId="1192" applyNumberFormat="1" applyAlignment="1">
      <alignment vertical="top" wrapText="1"/>
    </xf>
    <xf numFmtId="0" fontId="26" fillId="0" borderId="16" xfId="271" applyFont="1" applyBorder="1"/>
    <xf numFmtId="0" fontId="62" fillId="0" borderId="0" xfId="569" applyFont="1"/>
    <xf numFmtId="0" fontId="43" fillId="0" borderId="0" xfId="569" applyFont="1"/>
    <xf numFmtId="0" fontId="19" fillId="0" borderId="0" xfId="1192" applyAlignment="1">
      <alignment vertical="top" wrapText="1"/>
    </xf>
    <xf numFmtId="49" fontId="19" fillId="0" borderId="0" xfId="1192" applyNumberFormat="1" applyAlignment="1">
      <alignment vertical="top" wrapText="1"/>
    </xf>
    <xf numFmtId="0" fontId="57" fillId="0" borderId="9" xfId="543" applyFont="1" applyBorder="1" applyAlignment="1">
      <alignment vertical="top"/>
    </xf>
    <xf numFmtId="0" fontId="19" fillId="0" borderId="0" xfId="0" applyFont="1" applyAlignment="1">
      <alignment vertical="center"/>
    </xf>
    <xf numFmtId="0" fontId="120" fillId="0" borderId="0" xfId="0" applyFont="1"/>
    <xf numFmtId="3" fontId="107" fillId="0" borderId="0" xfId="0" applyNumberFormat="1" applyFont="1"/>
    <xf numFmtId="0" fontId="107" fillId="0" borderId="0" xfId="0" applyFont="1" applyAlignment="1">
      <alignment horizontal="left"/>
    </xf>
    <xf numFmtId="168" fontId="121" fillId="0" borderId="0" xfId="0" applyNumberFormat="1" applyFont="1" applyAlignment="1">
      <alignment horizontal="left" vertical="top"/>
    </xf>
    <xf numFmtId="0" fontId="107" fillId="0" borderId="0" xfId="0" applyFont="1" applyAlignment="1">
      <alignment horizontal="left" vertical="center"/>
    </xf>
    <xf numFmtId="0" fontId="123" fillId="0" borderId="0" xfId="0" applyFont="1"/>
    <xf numFmtId="172" fontId="19" fillId="0" borderId="8" xfId="543" applyNumberFormat="1" applyBorder="1"/>
    <xf numFmtId="0" fontId="19" fillId="0" borderId="8" xfId="4495" applyFont="1" applyBorder="1"/>
    <xf numFmtId="0" fontId="19" fillId="0" borderId="0" xfId="4495" applyFont="1"/>
    <xf numFmtId="0" fontId="25" fillId="0" borderId="0" xfId="4495" applyFont="1" applyAlignment="1">
      <alignment horizontal="center" vertical="center"/>
    </xf>
    <xf numFmtId="0" fontId="26" fillId="0" borderId="0" xfId="4495" applyFont="1" applyAlignment="1">
      <alignment horizontal="left"/>
    </xf>
    <xf numFmtId="0" fontId="26" fillId="0" borderId="0" xfId="4495" applyFont="1"/>
    <xf numFmtId="0" fontId="29" fillId="0" borderId="0" xfId="4495" applyFont="1" applyAlignment="1">
      <alignment horizontal="center" vertical="center"/>
    </xf>
    <xf numFmtId="0" fontId="29" fillId="0" borderId="27" xfId="4495" applyFont="1" applyBorder="1" applyAlignment="1">
      <alignment horizontal="center" vertical="center"/>
    </xf>
    <xf numFmtId="0" fontId="29" fillId="0" borderId="46" xfId="4495" applyFont="1" applyBorder="1" applyAlignment="1">
      <alignment horizontal="center" vertical="center"/>
    </xf>
    <xf numFmtId="0" fontId="26" fillId="0" borderId="0" xfId="4495" applyFont="1" applyAlignment="1">
      <alignment horizontal="right"/>
    </xf>
    <xf numFmtId="0" fontId="19" fillId="0" borderId="0" xfId="1192" quotePrefix="1" applyAlignment="1">
      <alignment horizontal="center"/>
    </xf>
    <xf numFmtId="0" fontId="49" fillId="0" borderId="0" xfId="4495" applyFont="1" applyAlignment="1">
      <alignment horizontal="left" vertical="center"/>
    </xf>
    <xf numFmtId="49" fontId="27" fillId="0" borderId="0" xfId="4495" applyNumberFormat="1" applyFont="1" applyAlignment="1">
      <alignment horizontal="left" vertical="top"/>
    </xf>
    <xf numFmtId="0" fontId="19" fillId="0" borderId="47" xfId="4495" applyFont="1" applyBorder="1" applyAlignment="1">
      <alignment horizontal="left" vertical="center"/>
    </xf>
    <xf numFmtId="0" fontId="29" fillId="0" borderId="48" xfId="4495" applyFont="1" applyBorder="1" applyAlignment="1">
      <alignment horizontal="center" vertical="center"/>
    </xf>
    <xf numFmtId="0" fontId="27" fillId="0" borderId="0" xfId="4495" applyFont="1"/>
    <xf numFmtId="0" fontId="27" fillId="0" borderId="0" xfId="4495" applyFont="1" applyAlignment="1">
      <alignment horizontal="left" vertical="top"/>
    </xf>
    <xf numFmtId="0" fontId="124" fillId="0" borderId="0" xfId="4496" applyFont="1" applyAlignment="1">
      <alignment horizontal="left" vertical="top" wrapText="1"/>
    </xf>
    <xf numFmtId="0" fontId="124" fillId="0" borderId="54" xfId="4496" applyFont="1" applyBorder="1" applyAlignment="1">
      <alignment horizontal="left" vertical="top" wrapText="1"/>
    </xf>
    <xf numFmtId="0" fontId="19" fillId="0" borderId="0" xfId="4495" applyFont="1" applyAlignment="1">
      <alignment horizontal="left" vertical="center"/>
    </xf>
    <xf numFmtId="0" fontId="125" fillId="0" borderId="0" xfId="4496" applyFont="1" applyAlignment="1">
      <alignment vertical="center"/>
    </xf>
    <xf numFmtId="0" fontId="124" fillId="0" borderId="0" xfId="4496" applyFont="1"/>
    <xf numFmtId="0" fontId="124" fillId="0" borderId="0" xfId="4496" applyFont="1" applyAlignment="1">
      <alignment vertical="center"/>
    </xf>
    <xf numFmtId="0" fontId="126" fillId="0" borderId="0" xfId="4496" applyFont="1" applyAlignment="1">
      <alignment vertical="center"/>
    </xf>
    <xf numFmtId="0" fontId="19" fillId="0" borderId="0" xfId="4496" applyFont="1" applyAlignment="1">
      <alignment vertical="center"/>
    </xf>
    <xf numFmtId="0" fontId="27" fillId="0" borderId="3" xfId="4495" applyFont="1" applyBorder="1" applyAlignment="1">
      <alignment vertical="top" wrapText="1"/>
    </xf>
    <xf numFmtId="0" fontId="27" fillId="0" borderId="4" xfId="4495" applyFont="1" applyBorder="1" applyAlignment="1">
      <alignment vertical="top" wrapText="1"/>
    </xf>
    <xf numFmtId="164" fontId="122" fillId="0" borderId="4" xfId="4495" applyNumberFormat="1" applyBorder="1" applyAlignment="1">
      <alignment horizontal="right"/>
    </xf>
    <xf numFmtId="0" fontId="27" fillId="0" borderId="4" xfId="4495" applyFont="1" applyBorder="1"/>
    <xf numFmtId="0" fontId="26" fillId="0" borderId="5" xfId="4495" applyFont="1" applyBorder="1" applyAlignment="1">
      <alignment horizontal="right"/>
    </xf>
    <xf numFmtId="0" fontId="19" fillId="0" borderId="16" xfId="4495" applyFont="1" applyBorder="1"/>
    <xf numFmtId="0" fontId="19" fillId="0" borderId="16" xfId="4495" applyFont="1" applyBorder="1" applyAlignment="1">
      <alignment horizontal="left" vertical="top"/>
    </xf>
    <xf numFmtId="0" fontId="27" fillId="0" borderId="16" xfId="4495" applyFont="1" applyBorder="1" applyAlignment="1">
      <alignment horizontal="left" vertical="top" wrapText="1"/>
    </xf>
    <xf numFmtId="0" fontId="27" fillId="0" borderId="45" xfId="4495" applyFont="1" applyBorder="1" applyAlignment="1">
      <alignment horizontal="left" vertical="top" wrapText="1"/>
    </xf>
    <xf numFmtId="0" fontId="122" fillId="0" borderId="0" xfId="4495"/>
    <xf numFmtId="0" fontId="20" fillId="0" borderId="0" xfId="244" applyFill="1" applyBorder="1" applyAlignment="1" applyProtection="1">
      <alignment horizontal="left" vertical="top"/>
    </xf>
    <xf numFmtId="0" fontId="20" fillId="0" borderId="0" xfId="244" applyFill="1" applyBorder="1" applyAlignment="1" applyProtection="1">
      <alignment horizontal="left" vertical="top" wrapText="1"/>
    </xf>
    <xf numFmtId="0" fontId="27" fillId="0" borderId="0" xfId="4495" applyFont="1" applyAlignment="1">
      <alignment horizontal="left" vertical="top" wrapText="1"/>
    </xf>
    <xf numFmtId="0" fontId="27" fillId="0" borderId="0" xfId="4495" applyFont="1" applyAlignment="1">
      <alignment horizontal="right" vertical="top"/>
    </xf>
    <xf numFmtId="0" fontId="19" fillId="0" borderId="0" xfId="4495" applyFont="1" applyAlignment="1">
      <alignment vertical="center" wrapText="1"/>
    </xf>
    <xf numFmtId="0" fontId="124" fillId="0" borderId="53" xfId="4496" applyFont="1" applyBorder="1" applyAlignment="1">
      <alignment vertical="top" wrapText="1"/>
    </xf>
    <xf numFmtId="0" fontId="124" fillId="0" borderId="0" xfId="4496" applyFont="1" applyAlignment="1">
      <alignment vertical="top" wrapText="1"/>
    </xf>
    <xf numFmtId="10" fontId="124" fillId="0" borderId="0" xfId="4496" applyNumberFormat="1" applyFont="1" applyAlignment="1">
      <alignment vertical="top" wrapText="1"/>
    </xf>
    <xf numFmtId="0" fontId="124" fillId="0" borderId="54" xfId="4496" applyFont="1" applyBorder="1" applyAlignment="1">
      <alignment vertical="top" wrapText="1"/>
    </xf>
    <xf numFmtId="0" fontId="124" fillId="0" borderId="0" xfId="4496" applyFont="1" applyAlignment="1">
      <alignment vertical="top"/>
    </xf>
    <xf numFmtId="165" fontId="124" fillId="0" borderId="0" xfId="4496" applyNumberFormat="1" applyFont="1" applyAlignment="1">
      <alignment vertical="top" wrapText="1"/>
    </xf>
    <xf numFmtId="0" fontId="26" fillId="0" borderId="57" xfId="4495" applyFont="1" applyBorder="1"/>
    <xf numFmtId="0" fontId="26" fillId="0" borderId="58" xfId="4495" applyFont="1" applyBorder="1"/>
    <xf numFmtId="0" fontId="26" fillId="0" borderId="58" xfId="4495" applyFont="1" applyBorder="1" applyAlignment="1">
      <alignment horizontal="right"/>
    </xf>
    <xf numFmtId="0" fontId="26" fillId="0" borderId="59" xfId="4495" applyFont="1" applyBorder="1" applyAlignment="1">
      <alignment horizontal="right"/>
    </xf>
    <xf numFmtId="0" fontId="124" fillId="0" borderId="53" xfId="4496" applyFont="1" applyBorder="1" applyAlignment="1">
      <alignment horizontal="left" vertical="top" wrapText="1"/>
    </xf>
    <xf numFmtId="0" fontId="124" fillId="0" borderId="0" xfId="4496" applyFont="1" applyAlignment="1">
      <alignment horizontal="left" vertical="top"/>
    </xf>
    <xf numFmtId="0" fontId="29" fillId="0" borderId="57" xfId="4495" applyFont="1" applyBorder="1" applyAlignment="1">
      <alignment horizontal="center" vertical="center"/>
    </xf>
    <xf numFmtId="0" fontId="29" fillId="0" borderId="58" xfId="4495" applyFont="1" applyBorder="1" applyAlignment="1">
      <alignment horizontal="center" vertical="center"/>
    </xf>
    <xf numFmtId="0" fontId="29" fillId="0" borderId="59" xfId="4495" applyFont="1" applyBorder="1" applyAlignment="1">
      <alignment horizontal="center" vertical="center"/>
    </xf>
    <xf numFmtId="0" fontId="26" fillId="0" borderId="0" xfId="4495" applyFont="1" applyAlignment="1">
      <alignment horizontal="center"/>
    </xf>
    <xf numFmtId="0" fontId="26" fillId="0" borderId="8" xfId="4495" applyFont="1" applyBorder="1"/>
    <xf numFmtId="0" fontId="27" fillId="0" borderId="0" xfId="4495" applyFont="1" applyAlignment="1">
      <alignment horizontal="left"/>
    </xf>
    <xf numFmtId="0" fontId="26" fillId="0" borderId="0" xfId="4495" applyFont="1" applyAlignment="1">
      <alignment horizontal="center" vertical="top"/>
    </xf>
    <xf numFmtId="0" fontId="19" fillId="0" borderId="0" xfId="4495" applyFont="1" applyAlignment="1">
      <alignment horizontal="center"/>
    </xf>
    <xf numFmtId="0" fontId="35" fillId="0" borderId="0" xfId="4495" applyFont="1"/>
    <xf numFmtId="0" fontId="27" fillId="0" borderId="8" xfId="4495" applyFont="1" applyBorder="1"/>
    <xf numFmtId="0" fontId="55" fillId="0" borderId="8" xfId="4495" applyFont="1" applyBorder="1"/>
    <xf numFmtId="1" fontId="19" fillId="0" borderId="0" xfId="1192" applyNumberFormat="1"/>
    <xf numFmtId="0" fontId="19" fillId="0" borderId="3" xfId="4495" applyFont="1" applyBorder="1"/>
    <xf numFmtId="0" fontId="19" fillId="0" borderId="4" xfId="4495" applyFont="1" applyBorder="1"/>
    <xf numFmtId="0" fontId="19" fillId="0" borderId="0" xfId="1192" applyAlignment="1">
      <alignment wrapText="1"/>
    </xf>
    <xf numFmtId="0" fontId="27" fillId="0" borderId="0" xfId="4495" applyFont="1" applyAlignment="1">
      <alignment vertical="top" wrapText="1"/>
    </xf>
    <xf numFmtId="0" fontId="27" fillId="0" borderId="0" xfId="1192" applyFont="1"/>
    <xf numFmtId="0" fontId="19" fillId="0" borderId="0" xfId="4495" applyFont="1" applyAlignment="1">
      <alignment horizontal="left"/>
    </xf>
    <xf numFmtId="0" fontId="27" fillId="0" borderId="3" xfId="4495" applyFont="1" applyBorder="1"/>
    <xf numFmtId="0" fontId="19" fillId="0" borderId="4" xfId="4495" applyFont="1" applyBorder="1" applyAlignment="1">
      <alignment horizontal="right"/>
    </xf>
    <xf numFmtId="1" fontId="19" fillId="0" borderId="0" xfId="4495" applyNumberFormat="1" applyFont="1" applyAlignment="1">
      <alignment horizontal="center"/>
    </xf>
    <xf numFmtId="0" fontId="55" fillId="0" borderId="0" xfId="4495" applyFont="1"/>
    <xf numFmtId="0" fontId="19" fillId="0" borderId="0" xfId="4495" applyFont="1" applyAlignment="1">
      <alignment horizontal="right"/>
    </xf>
    <xf numFmtId="0" fontId="27" fillId="0" borderId="0" xfId="4495" applyFont="1" applyAlignment="1">
      <alignment vertical="top"/>
    </xf>
    <xf numFmtId="0" fontId="27" fillId="0" borderId="27" xfId="4495" applyFont="1" applyBorder="1"/>
    <xf numFmtId="0" fontId="26" fillId="0" borderId="0" xfId="4495" applyFont="1" applyAlignment="1">
      <alignment vertical="top"/>
    </xf>
    <xf numFmtId="0" fontId="37" fillId="0" borderId="0" xfId="4495" applyFont="1" applyAlignment="1">
      <alignment vertical="top" wrapText="1"/>
    </xf>
    <xf numFmtId="0" fontId="26" fillId="0" borderId="0" xfId="4495" applyFont="1" applyAlignment="1">
      <alignment horizontal="left" vertical="top" wrapText="1"/>
    </xf>
    <xf numFmtId="0" fontId="19" fillId="0" borderId="0" xfId="4495" applyFont="1" applyAlignment="1">
      <alignment horizontal="left" vertical="top"/>
    </xf>
    <xf numFmtId="0" fontId="37" fillId="0" borderId="0" xfId="4495" applyFont="1" applyAlignment="1">
      <alignment vertical="top"/>
    </xf>
    <xf numFmtId="0" fontId="19" fillId="0" borderId="10" xfId="4495" applyFont="1" applyBorder="1" applyAlignment="1">
      <alignment horizontal="center"/>
    </xf>
    <xf numFmtId="0" fontId="19" fillId="0" borderId="16" xfId="4495" applyFont="1" applyBorder="1" applyAlignment="1">
      <alignment horizontal="center"/>
    </xf>
    <xf numFmtId="0" fontId="35" fillId="0" borderId="16" xfId="4495" applyFont="1" applyBorder="1"/>
    <xf numFmtId="0" fontId="27" fillId="0" borderId="16" xfId="4495" applyFont="1" applyBorder="1"/>
    <xf numFmtId="0" fontId="19" fillId="0" borderId="0" xfId="4496" applyFont="1" applyAlignment="1">
      <alignment vertical="top" wrapText="1"/>
    </xf>
    <xf numFmtId="0" fontId="26" fillId="0" borderId="0" xfId="1192" applyFont="1" applyAlignment="1">
      <alignment horizontal="right"/>
    </xf>
    <xf numFmtId="0" fontId="19" fillId="0" borderId="0" xfId="4496" applyFont="1"/>
    <xf numFmtId="0" fontId="19" fillId="0" borderId="0" xfId="4496" applyFont="1" applyAlignment="1">
      <alignment horizontal="left"/>
    </xf>
    <xf numFmtId="0" fontId="19" fillId="0" borderId="0" xfId="4496" applyFont="1" applyAlignment="1">
      <alignment horizontal="right"/>
    </xf>
    <xf numFmtId="0" fontId="27" fillId="0" borderId="0" xfId="4496" applyFont="1" applyAlignment="1">
      <alignment vertical="top" wrapText="1"/>
    </xf>
    <xf numFmtId="0" fontId="19" fillId="0" borderId="4" xfId="4496" applyFont="1" applyBorder="1"/>
    <xf numFmtId="0" fontId="26" fillId="0" borderId="4" xfId="4496" applyFont="1" applyBorder="1" applyAlignment="1">
      <alignment horizontal="right"/>
    </xf>
    <xf numFmtId="0" fontId="27" fillId="0" borderId="27" xfId="4495" applyFont="1" applyBorder="1" applyAlignment="1">
      <alignment horizontal="left" vertical="top"/>
    </xf>
    <xf numFmtId="0" fontId="19" fillId="0" borderId="27" xfId="4495" applyFont="1" applyBorder="1" applyAlignment="1">
      <alignment horizontal="left" vertical="top"/>
    </xf>
    <xf numFmtId="0" fontId="26" fillId="0" borderId="27" xfId="4495" applyFont="1" applyBorder="1" applyAlignment="1">
      <alignment horizontal="right"/>
    </xf>
    <xf numFmtId="0" fontId="19" fillId="0" borderId="27" xfId="4495" applyFont="1" applyBorder="1" applyAlignment="1">
      <alignment horizontal="center"/>
    </xf>
    <xf numFmtId="0" fontId="19" fillId="0" borderId="46" xfId="4495" applyFont="1" applyBorder="1" applyAlignment="1">
      <alignment horizontal="center"/>
    </xf>
    <xf numFmtId="164" fontId="27" fillId="0" borderId="0" xfId="4495" applyNumberFormat="1" applyFont="1" applyAlignment="1">
      <alignment horizontal="left" vertical="top" wrapText="1"/>
    </xf>
    <xf numFmtId="0" fontId="30" fillId="0" borderId="0" xfId="4495" applyFont="1"/>
    <xf numFmtId="0" fontId="27" fillId="0" borderId="0" xfId="4495" applyFont="1" applyAlignment="1">
      <alignment horizontal="right"/>
    </xf>
    <xf numFmtId="0" fontId="19" fillId="0" borderId="27" xfId="543" applyBorder="1"/>
    <xf numFmtId="0" fontId="19" fillId="0" borderId="46" xfId="543" applyBorder="1"/>
    <xf numFmtId="0" fontId="26" fillId="0" borderId="0" xfId="4495" applyFont="1" applyAlignment="1">
      <alignment horizontal="left" vertical="top"/>
    </xf>
    <xf numFmtId="1" fontId="122" fillId="0" borderId="0" xfId="4495" applyNumberFormat="1"/>
    <xf numFmtId="0" fontId="19" fillId="0" borderId="0" xfId="4495" applyFont="1" applyAlignment="1">
      <alignment vertical="top" wrapText="1"/>
    </xf>
    <xf numFmtId="0" fontId="19" fillId="0" borderId="0" xfId="4495" applyFont="1" applyAlignment="1">
      <alignment horizontal="left" vertical="top" wrapText="1"/>
    </xf>
    <xf numFmtId="0" fontId="19" fillId="0" borderId="50" xfId="4495" applyFont="1" applyBorder="1" applyAlignment="1">
      <alignment vertical="top"/>
    </xf>
    <xf numFmtId="1" fontId="27" fillId="0" borderId="8" xfId="4495" applyNumberFormat="1" applyFont="1" applyBorder="1"/>
    <xf numFmtId="0" fontId="19" fillId="0" borderId="0" xfId="543" applyAlignment="1">
      <alignment vertical="top"/>
    </xf>
    <xf numFmtId="0" fontId="27" fillId="0" borderId="51" xfId="4495" applyFont="1" applyBorder="1" applyAlignment="1">
      <alignment horizontal="left" vertical="top"/>
    </xf>
    <xf numFmtId="0" fontId="27" fillId="0" borderId="52" xfId="4495" applyFont="1" applyBorder="1" applyAlignment="1">
      <alignment horizontal="left" vertical="top"/>
    </xf>
    <xf numFmtId="0" fontId="122" fillId="0" borderId="0" xfId="4495" applyAlignment="1" applyProtection="1">
      <alignment horizontal="center"/>
      <protection locked="0"/>
    </xf>
    <xf numFmtId="0" fontId="19" fillId="0" borderId="53" xfId="4495" applyFont="1" applyBorder="1" applyAlignment="1">
      <alignment vertical="top"/>
    </xf>
    <xf numFmtId="0" fontId="19" fillId="0" borderId="54" xfId="4495" applyFont="1" applyBorder="1" applyAlignment="1">
      <alignment vertical="top" wrapText="1"/>
    </xf>
    <xf numFmtId="0" fontId="63" fillId="0" borderId="53" xfId="4495" applyFont="1" applyBorder="1"/>
    <xf numFmtId="0" fontId="27" fillId="0" borderId="54" xfId="4495" applyFont="1" applyBorder="1" applyAlignment="1">
      <alignment horizontal="left" vertical="top"/>
    </xf>
    <xf numFmtId="0" fontId="19" fillId="0" borderId="53" xfId="4495" applyFont="1" applyBorder="1" applyAlignment="1">
      <alignment vertical="center" wrapText="1"/>
    </xf>
    <xf numFmtId="0" fontId="63" fillId="0" borderId="57" xfId="4495" applyFont="1" applyBorder="1"/>
    <xf numFmtId="0" fontId="27" fillId="0" borderId="58" xfId="4495" applyFont="1" applyBorder="1" applyAlignment="1">
      <alignment horizontal="left" vertical="top"/>
    </xf>
    <xf numFmtId="0" fontId="27" fillId="0" borderId="12" xfId="4495" applyFont="1" applyBorder="1"/>
    <xf numFmtId="0" fontId="19" fillId="0" borderId="57" xfId="4495" applyFont="1" applyBorder="1" applyAlignment="1">
      <alignment vertical="center"/>
    </xf>
    <xf numFmtId="0" fontId="19" fillId="0" borderId="58" xfId="4495" applyFont="1" applyBorder="1" applyAlignment="1">
      <alignment vertical="top"/>
    </xf>
    <xf numFmtId="0" fontId="19" fillId="0" borderId="59" xfId="4495" applyFont="1" applyBorder="1" applyAlignment="1">
      <alignment vertical="top"/>
    </xf>
    <xf numFmtId="0" fontId="19" fillId="0" borderId="0" xfId="4495" applyFont="1" applyAlignment="1">
      <alignment vertical="top"/>
    </xf>
    <xf numFmtId="0" fontId="27" fillId="0" borderId="4" xfId="4495" applyFont="1" applyBorder="1" applyAlignment="1">
      <alignment horizontal="left" vertical="top"/>
    </xf>
    <xf numFmtId="0" fontId="19" fillId="0" borderId="4" xfId="4495" applyFont="1" applyBorder="1" applyAlignment="1">
      <alignment horizontal="left" vertical="top"/>
    </xf>
    <xf numFmtId="0" fontId="19" fillId="0" borderId="2" xfId="4495" applyFont="1" applyBorder="1"/>
    <xf numFmtId="0" fontId="27" fillId="0" borderId="2" xfId="4495" applyFont="1" applyBorder="1"/>
    <xf numFmtId="0" fontId="19" fillId="0" borderId="2" xfId="4495" applyFont="1" applyBorder="1" applyAlignment="1">
      <alignment horizontal="center"/>
    </xf>
    <xf numFmtId="0" fontId="27" fillId="0" borderId="7" xfId="4495" applyFont="1" applyBorder="1"/>
    <xf numFmtId="0" fontId="35" fillId="0" borderId="0" xfId="4495" applyFont="1" applyAlignment="1">
      <alignment horizontal="right"/>
    </xf>
    <xf numFmtId="0" fontId="127" fillId="0" borderId="0" xfId="4495" applyFont="1" applyAlignment="1">
      <alignment horizontal="left" vertical="top" wrapText="1"/>
    </xf>
    <xf numFmtId="0" fontId="35" fillId="0" borderId="0" xfId="4495" applyFont="1" applyAlignment="1">
      <alignment horizontal="left" vertical="top"/>
    </xf>
    <xf numFmtId="0" fontId="27" fillId="0" borderId="0" xfId="4495" quotePrefix="1" applyFont="1" applyAlignment="1">
      <alignment horizontal="right"/>
    </xf>
    <xf numFmtId="0" fontId="19" fillId="0" borderId="0" xfId="4497"/>
    <xf numFmtId="0" fontId="27" fillId="0" borderId="0" xfId="4495" applyFont="1" applyAlignment="1">
      <alignment horizontal="left" vertical="top" wrapText="1" shrinkToFit="1"/>
    </xf>
    <xf numFmtId="0" fontId="122" fillId="0" borderId="0" xfId="4495" applyAlignment="1">
      <alignment vertical="top" wrapText="1"/>
    </xf>
    <xf numFmtId="0" fontId="27" fillId="0" borderId="4" xfId="4495" applyFont="1" applyBorder="1" applyAlignment="1">
      <alignment horizontal="left" vertical="top" wrapText="1" shrinkToFit="1"/>
    </xf>
    <xf numFmtId="0" fontId="35" fillId="0" borderId="8" xfId="4495" applyFont="1" applyBorder="1"/>
    <xf numFmtId="0" fontId="27" fillId="0" borderId="0" xfId="4495" applyFont="1" applyAlignment="1">
      <alignment horizontal="center"/>
    </xf>
    <xf numFmtId="0" fontId="27" fillId="0" borderId="0" xfId="4495" quotePrefix="1" applyFont="1"/>
    <xf numFmtId="0" fontId="27" fillId="0" borderId="0" xfId="4495" applyFont="1" applyAlignment="1">
      <alignment horizontal="left" vertical="top" shrinkToFit="1"/>
    </xf>
    <xf numFmtId="0" fontId="49" fillId="0" borderId="0" xfId="4495" applyFont="1"/>
    <xf numFmtId="0" fontId="27" fillId="0" borderId="3" xfId="4495" applyFont="1" applyBorder="1" applyAlignment="1">
      <alignment horizontal="center"/>
    </xf>
    <xf numFmtId="0" fontId="122" fillId="0" borderId="8" xfId="4495" applyBorder="1"/>
    <xf numFmtId="0" fontId="26" fillId="0" borderId="8" xfId="4495" applyFont="1" applyBorder="1" applyAlignment="1">
      <alignment vertical="top"/>
    </xf>
    <xf numFmtId="0" fontId="122" fillId="0" borderId="0" xfId="4495" applyAlignment="1">
      <alignment vertical="top"/>
    </xf>
    <xf numFmtId="0" fontId="26" fillId="0" borderId="4" xfId="4495" applyFont="1" applyBorder="1" applyAlignment="1">
      <alignment horizontal="center" vertical="top"/>
    </xf>
    <xf numFmtId="0" fontId="127" fillId="0" borderId="0" xfId="4495" applyFont="1" applyAlignment="1">
      <alignment horizontal="left" vertical="top"/>
    </xf>
    <xf numFmtId="0" fontId="127" fillId="0" borderId="4" xfId="4495" applyFont="1" applyBorder="1" applyAlignment="1">
      <alignment horizontal="left" vertical="top"/>
    </xf>
    <xf numFmtId="168" fontId="19" fillId="0" borderId="0" xfId="4497" applyNumberFormat="1"/>
    <xf numFmtId="1" fontId="27" fillId="0" borderId="0" xfId="4495" applyNumberFormat="1" applyFont="1" applyAlignment="1">
      <alignment horizontal="center" vertical="top"/>
    </xf>
    <xf numFmtId="0" fontId="131" fillId="0" borderId="0" xfId="4495" applyFont="1" applyAlignment="1">
      <alignment vertical="top" wrapText="1"/>
    </xf>
    <xf numFmtId="0" fontId="131" fillId="0" borderId="0" xfId="4495" applyFont="1" applyAlignment="1">
      <alignment horizontal="left" vertical="top" wrapText="1"/>
    </xf>
    <xf numFmtId="0" fontId="27" fillId="0" borderId="6" xfId="4495" applyFont="1" applyBorder="1"/>
    <xf numFmtId="1" fontId="27" fillId="0" borderId="8" xfId="4495" applyNumberFormat="1" applyFont="1" applyBorder="1" applyAlignment="1">
      <alignment horizontal="center" vertical="top"/>
    </xf>
    <xf numFmtId="0" fontId="122" fillId="0" borderId="12" xfId="4495" applyBorder="1"/>
    <xf numFmtId="0" fontId="27" fillId="0" borderId="9" xfId="4495" applyFont="1" applyBorder="1"/>
    <xf numFmtId="0" fontId="122" fillId="0" borderId="10" xfId="4495" applyBorder="1"/>
    <xf numFmtId="0" fontId="35" fillId="0" borderId="3" xfId="4495" applyFont="1" applyBorder="1"/>
    <xf numFmtId="0" fontId="26" fillId="0" borderId="4" xfId="4495" applyFont="1" applyBorder="1"/>
    <xf numFmtId="0" fontId="122" fillId="0" borderId="12" xfId="4495" applyBorder="1" applyAlignment="1">
      <alignment vertical="top"/>
    </xf>
    <xf numFmtId="0" fontId="35" fillId="0" borderId="1" xfId="4495" applyFont="1" applyBorder="1"/>
    <xf numFmtId="0" fontId="131" fillId="0" borderId="2" xfId="4495" applyFont="1" applyBorder="1" applyAlignment="1">
      <alignment horizontal="left" wrapText="1"/>
    </xf>
    <xf numFmtId="0" fontId="131" fillId="0" borderId="2" xfId="4495" applyFont="1" applyBorder="1" applyAlignment="1">
      <alignment horizontal="left"/>
    </xf>
    <xf numFmtId="0" fontId="131" fillId="0" borderId="7" xfId="4495" applyFont="1" applyBorder="1" applyAlignment="1">
      <alignment horizontal="left" wrapText="1"/>
    </xf>
    <xf numFmtId="0" fontId="131" fillId="0" borderId="0" xfId="4495" applyFont="1" applyAlignment="1">
      <alignment horizontal="left" wrapText="1"/>
    </xf>
    <xf numFmtId="0" fontId="35" fillId="0" borderId="9" xfId="4495" applyFont="1" applyBorder="1"/>
    <xf numFmtId="0" fontId="27" fillId="0" borderId="10" xfId="4495" applyFont="1" applyBorder="1"/>
    <xf numFmtId="0" fontId="131" fillId="0" borderId="0" xfId="4495" applyFont="1" applyAlignment="1">
      <alignment wrapText="1"/>
    </xf>
    <xf numFmtId="0" fontId="35" fillId="0" borderId="9" xfId="4495" applyFont="1" applyBorder="1" applyAlignment="1">
      <alignment horizontal="center"/>
    </xf>
    <xf numFmtId="0" fontId="26" fillId="0" borderId="10" xfId="4495" applyFont="1" applyBorder="1"/>
    <xf numFmtId="0" fontId="37" fillId="0" borderId="0" xfId="4495" applyFont="1"/>
    <xf numFmtId="0" fontId="27" fillId="0" borderId="50" xfId="4495" applyFont="1" applyBorder="1"/>
    <xf numFmtId="0" fontId="27" fillId="0" borderId="51" xfId="4495" applyFont="1" applyBorder="1"/>
    <xf numFmtId="1" fontId="27" fillId="0" borderId="51" xfId="4495" quotePrefix="1" applyNumberFormat="1" applyFont="1" applyBorder="1" applyAlignment="1">
      <alignment horizontal="center" vertical="top"/>
    </xf>
    <xf numFmtId="0" fontId="26" fillId="0" borderId="51" xfId="4495" applyFont="1" applyBorder="1"/>
    <xf numFmtId="0" fontId="26" fillId="0" borderId="52" xfId="4495" applyFont="1" applyBorder="1" applyAlignment="1">
      <alignment horizontal="center"/>
    </xf>
    <xf numFmtId="0" fontId="19" fillId="0" borderId="53" xfId="4495" applyFont="1" applyBorder="1"/>
    <xf numFmtId="1" fontId="27" fillId="0" borderId="0" xfId="4495" quotePrefix="1" applyNumberFormat="1" applyFont="1" applyAlignment="1">
      <alignment horizontal="center" vertical="top"/>
    </xf>
    <xf numFmtId="0" fontId="26" fillId="0" borderId="54" xfId="4495" applyFont="1" applyBorder="1" applyAlignment="1">
      <alignment horizontal="center"/>
    </xf>
    <xf numFmtId="0" fontId="35" fillId="0" borderId="0" xfId="4495" applyFont="1" applyAlignment="1">
      <alignment vertical="top"/>
    </xf>
    <xf numFmtId="0" fontId="27" fillId="0" borderId="61" xfId="4495" applyFont="1" applyBorder="1"/>
    <xf numFmtId="0" fontId="122" fillId="0" borderId="58" xfId="4495" applyBorder="1" applyAlignment="1">
      <alignment horizontal="center"/>
    </xf>
    <xf numFmtId="1" fontId="27" fillId="0" borderId="58" xfId="4495" quotePrefix="1" applyNumberFormat="1" applyFont="1" applyBorder="1" applyAlignment="1">
      <alignment horizontal="center" vertical="top"/>
    </xf>
    <xf numFmtId="0" fontId="35" fillId="0" borderId="58" xfId="4495" applyFont="1" applyBorder="1" applyAlignment="1">
      <alignment vertical="top"/>
    </xf>
    <xf numFmtId="0" fontId="27" fillId="0" borderId="58" xfId="4495" applyFont="1" applyBorder="1" applyAlignment="1">
      <alignment vertical="top" wrapText="1"/>
    </xf>
    <xf numFmtId="0" fontId="27" fillId="0" borderId="58" xfId="4495" applyFont="1" applyBorder="1"/>
    <xf numFmtId="0" fontId="26" fillId="0" borderId="58" xfId="4495" applyFont="1" applyBorder="1" applyAlignment="1">
      <alignment horizontal="center"/>
    </xf>
    <xf numFmtId="0" fontId="122" fillId="0" borderId="61" xfId="4495" applyBorder="1"/>
    <xf numFmtId="0" fontId="122" fillId="0" borderId="0" xfId="4495" applyAlignment="1">
      <alignment horizontal="center"/>
    </xf>
    <xf numFmtId="0" fontId="19" fillId="0" borderId="53" xfId="543" applyBorder="1"/>
    <xf numFmtId="0" fontId="27" fillId="0" borderId="54" xfId="4495" applyFont="1" applyBorder="1"/>
    <xf numFmtId="0" fontId="19" fillId="0" borderId="58" xfId="543" applyBorder="1"/>
    <xf numFmtId="1" fontId="27" fillId="0" borderId="58" xfId="4495" applyNumberFormat="1" applyFont="1" applyBorder="1" applyAlignment="1">
      <alignment horizontal="center" vertical="top"/>
    </xf>
    <xf numFmtId="0" fontId="35" fillId="0" borderId="58" xfId="4495" applyFont="1" applyBorder="1" applyAlignment="1">
      <alignment vertical="center"/>
    </xf>
    <xf numFmtId="0" fontId="122" fillId="0" borderId="58" xfId="4495" applyBorder="1" applyAlignment="1">
      <alignment vertical="top" wrapText="1"/>
    </xf>
    <xf numFmtId="0" fontId="19" fillId="0" borderId="58" xfId="4495" applyFont="1" applyBorder="1"/>
    <xf numFmtId="0" fontId="35" fillId="0" borderId="0" xfId="4495" applyFont="1" applyAlignment="1">
      <alignment vertical="center"/>
    </xf>
    <xf numFmtId="0" fontId="27" fillId="0" borderId="53" xfId="4495" applyFont="1" applyBorder="1"/>
    <xf numFmtId="0" fontId="19" fillId="0" borderId="57" xfId="543" applyBorder="1"/>
    <xf numFmtId="0" fontId="27" fillId="0" borderId="58" xfId="4495" applyFont="1" applyBorder="1" applyAlignment="1">
      <alignment vertical="top"/>
    </xf>
    <xf numFmtId="0" fontId="27" fillId="0" borderId="59" xfId="4495" applyFont="1" applyBorder="1"/>
    <xf numFmtId="0" fontId="27" fillId="0" borderId="57" xfId="4495" applyFont="1" applyBorder="1"/>
    <xf numFmtId="0" fontId="19" fillId="0" borderId="51" xfId="4495" applyFont="1" applyBorder="1"/>
    <xf numFmtId="0" fontId="27" fillId="0" borderId="52" xfId="4495" applyFont="1" applyBorder="1"/>
    <xf numFmtId="0" fontId="19" fillId="0" borderId="50" xfId="543" applyBorder="1"/>
    <xf numFmtId="0" fontId="19" fillId="0" borderId="51" xfId="543" applyBorder="1"/>
    <xf numFmtId="0" fontId="19" fillId="0" borderId="52" xfId="543" applyBorder="1"/>
    <xf numFmtId="0" fontId="27" fillId="0" borderId="0" xfId="4495" applyFont="1" applyAlignment="1">
      <alignment wrapText="1"/>
    </xf>
    <xf numFmtId="0" fontId="26" fillId="0" borderId="54" xfId="4495" applyFont="1" applyBorder="1" applyAlignment="1">
      <alignment horizontal="center" vertical="top"/>
    </xf>
    <xf numFmtId="0" fontId="122" fillId="0" borderId="53" xfId="4495" applyBorder="1" applyAlignment="1">
      <alignment horizontal="center"/>
    </xf>
    <xf numFmtId="2" fontId="27" fillId="0" borderId="0" xfId="4495" applyNumberFormat="1" applyFont="1" applyAlignment="1">
      <alignment horizontal="right"/>
    </xf>
    <xf numFmtId="2" fontId="27" fillId="0" borderId="8" xfId="4495" applyNumberFormat="1" applyFont="1" applyBorder="1" applyAlignment="1">
      <alignment horizontal="left"/>
    </xf>
    <xf numFmtId="0" fontId="27" fillId="0" borderId="8" xfId="4495" applyFont="1" applyBorder="1" applyAlignment="1">
      <alignment horizontal="right"/>
    </xf>
    <xf numFmtId="0" fontId="130" fillId="0" borderId="0" xfId="4495" applyFont="1"/>
    <xf numFmtId="0" fontId="122" fillId="0" borderId="57" xfId="4495" applyBorder="1" applyAlignment="1">
      <alignment horizontal="center"/>
    </xf>
    <xf numFmtId="0" fontId="26" fillId="0" borderId="59" xfId="4495" applyFont="1" applyBorder="1" applyAlignment="1">
      <alignment horizontal="center"/>
    </xf>
    <xf numFmtId="9" fontId="27" fillId="0" borderId="0" xfId="4495" applyNumberFormat="1" applyFont="1" applyAlignment="1">
      <alignment horizontal="left"/>
    </xf>
    <xf numFmtId="0" fontId="19" fillId="0" borderId="17" xfId="543" applyBorder="1"/>
    <xf numFmtId="0" fontId="19" fillId="0" borderId="16" xfId="543" applyBorder="1"/>
    <xf numFmtId="0" fontId="19" fillId="0" borderId="51" xfId="4495" quotePrefix="1" applyFont="1" applyBorder="1" applyAlignment="1">
      <alignment horizontal="center" vertical="top"/>
    </xf>
    <xf numFmtId="0" fontId="27" fillId="0" borderId="53" xfId="4495" applyFont="1" applyBorder="1" applyAlignment="1">
      <alignment horizontal="left" vertical="top"/>
    </xf>
    <xf numFmtId="0" fontId="27" fillId="0" borderId="0" xfId="4495" applyFont="1" applyAlignment="1">
      <alignment horizontal="center" vertical="top"/>
    </xf>
    <xf numFmtId="0" fontId="27" fillId="0" borderId="57" xfId="4495" applyFont="1" applyBorder="1" applyAlignment="1">
      <alignment horizontal="left" vertical="top"/>
    </xf>
    <xf numFmtId="0" fontId="27" fillId="0" borderId="58" xfId="4495" applyFont="1" applyBorder="1" applyAlignment="1">
      <alignment horizontal="center" vertical="top"/>
    </xf>
    <xf numFmtId="0" fontId="122" fillId="0" borderId="58" xfId="4495" applyBorder="1"/>
    <xf numFmtId="0" fontId="26" fillId="0" borderId="58" xfId="4495" applyFont="1" applyBorder="1" applyAlignment="1">
      <alignment vertical="top"/>
    </xf>
    <xf numFmtId="0" fontId="26" fillId="0" borderId="58" xfId="4495" applyFont="1" applyBorder="1" applyAlignment="1">
      <alignment horizontal="left" vertical="top"/>
    </xf>
    <xf numFmtId="0" fontId="26" fillId="0" borderId="51" xfId="4495" applyFont="1" applyBorder="1" applyAlignment="1">
      <alignment horizontal="left" vertical="top"/>
    </xf>
    <xf numFmtId="0" fontId="26" fillId="0" borderId="53" xfId="4495" applyFont="1" applyBorder="1" applyAlignment="1">
      <alignment horizontal="left" vertical="top"/>
    </xf>
    <xf numFmtId="0" fontId="55" fillId="0" borderId="0" xfId="4495" applyFont="1" applyAlignment="1">
      <alignment horizontal="left" vertical="top"/>
    </xf>
    <xf numFmtId="0" fontId="27" fillId="0" borderId="0" xfId="4495" quotePrefix="1" applyFont="1" applyAlignment="1">
      <alignment horizontal="center" vertical="top"/>
    </xf>
    <xf numFmtId="0" fontId="56" fillId="0" borderId="0" xfId="4495" applyFont="1" applyAlignment="1">
      <alignment horizontal="center"/>
    </xf>
    <xf numFmtId="0" fontId="56" fillId="0" borderId="0" xfId="4495" applyFont="1" applyAlignment="1">
      <alignment vertical="top"/>
    </xf>
    <xf numFmtId="0" fontId="109" fillId="0" borderId="0" xfId="4495" applyFont="1"/>
    <xf numFmtId="0" fontId="55" fillId="0" borderId="0" xfId="4495" applyFont="1" applyAlignment="1">
      <alignment vertical="top"/>
    </xf>
    <xf numFmtId="0" fontId="35" fillId="0" borderId="53" xfId="4495" applyFont="1" applyBorder="1"/>
    <xf numFmtId="2" fontId="27" fillId="0" borderId="8" xfId="4495" applyNumberFormat="1" applyFont="1" applyBorder="1" applyAlignment="1">
      <alignment horizontal="right"/>
    </xf>
    <xf numFmtId="0" fontId="26" fillId="0" borderId="50" xfId="4495" applyFont="1" applyBorder="1" applyAlignment="1">
      <alignment horizontal="left" vertical="top"/>
    </xf>
    <xf numFmtId="0" fontId="55" fillId="0" borderId="51" xfId="4495" applyFont="1" applyBorder="1" applyAlignment="1">
      <alignment horizontal="left" vertical="top"/>
    </xf>
    <xf numFmtId="0" fontId="122" fillId="0" borderId="53" xfId="4495" applyBorder="1"/>
    <xf numFmtId="0" fontId="109" fillId="0" borderId="0" xfId="4495" applyFont="1" applyAlignment="1">
      <alignment horizontal="left" vertical="top"/>
    </xf>
    <xf numFmtId="1" fontId="26" fillId="0" borderId="58" xfId="4495" applyNumberFormat="1" applyFont="1" applyBorder="1" applyAlignment="1">
      <alignment vertical="top"/>
    </xf>
    <xf numFmtId="172" fontId="26" fillId="0" borderId="8" xfId="543" applyNumberFormat="1" applyFont="1" applyBorder="1"/>
    <xf numFmtId="172" fontId="26" fillId="0" borderId="0" xfId="543" applyNumberFormat="1" applyFont="1"/>
    <xf numFmtId="0" fontId="35" fillId="0" borderId="0" xfId="4495" applyFont="1" applyAlignment="1">
      <alignment wrapText="1"/>
    </xf>
    <xf numFmtId="0" fontId="35" fillId="0" borderId="0" xfId="4495" applyFont="1" applyAlignment="1">
      <alignment horizontal="center"/>
    </xf>
    <xf numFmtId="0" fontId="35" fillId="0" borderId="0" xfId="4495" applyFont="1" applyAlignment="1">
      <alignment vertical="center" wrapText="1"/>
    </xf>
    <xf numFmtId="180" fontId="27" fillId="0" borderId="0" xfId="4495" applyNumberFormat="1" applyFont="1" applyAlignment="1">
      <alignment horizontal="center"/>
    </xf>
    <xf numFmtId="1" fontId="27" fillId="0" borderId="0" xfId="4495" applyNumberFormat="1" applyFont="1" applyAlignment="1">
      <alignment horizontal="center"/>
    </xf>
    <xf numFmtId="0" fontId="26" fillId="0" borderId="51" xfId="4495" applyFont="1" applyBorder="1" applyAlignment="1">
      <alignment horizontal="center"/>
    </xf>
    <xf numFmtId="0" fontId="26" fillId="0" borderId="51" xfId="4495" applyFont="1" applyBorder="1" applyAlignment="1">
      <alignment vertical="top"/>
    </xf>
    <xf numFmtId="0" fontId="26" fillId="0" borderId="53" xfId="4495" applyFont="1" applyBorder="1"/>
    <xf numFmtId="0" fontId="19" fillId="0" borderId="54" xfId="543" applyBorder="1"/>
    <xf numFmtId="49" fontId="27" fillId="0" borderId="0" xfId="4495" applyNumberFormat="1" applyFont="1" applyAlignment="1">
      <alignment horizontal="left" vertical="center" wrapText="1"/>
    </xf>
    <xf numFmtId="0" fontId="19" fillId="0" borderId="57" xfId="4495" applyFont="1" applyBorder="1"/>
    <xf numFmtId="1" fontId="19" fillId="0" borderId="0" xfId="4495" applyNumberFormat="1" applyFont="1" applyAlignment="1">
      <alignment vertical="center"/>
    </xf>
    <xf numFmtId="0" fontId="37" fillId="0" borderId="50" xfId="4495" applyFont="1" applyBorder="1"/>
    <xf numFmtId="0" fontId="27" fillId="0" borderId="51" xfId="4495" applyFont="1" applyBorder="1" applyAlignment="1">
      <alignment horizontal="center" vertical="top"/>
    </xf>
    <xf numFmtId="0" fontId="27" fillId="0" borderId="51" xfId="4495" applyFont="1" applyBorder="1" applyAlignment="1">
      <alignment vertical="top" wrapText="1"/>
    </xf>
    <xf numFmtId="0" fontId="27" fillId="0" borderId="51" xfId="4495" applyFont="1" applyBorder="1" applyAlignment="1">
      <alignment horizontal="left" vertical="top" wrapText="1"/>
    </xf>
    <xf numFmtId="0" fontId="19" fillId="0" borderId="0" xfId="4495" quotePrefix="1" applyFont="1" applyAlignment="1">
      <alignment horizontal="center" vertical="top"/>
    </xf>
    <xf numFmtId="1" fontId="27" fillId="0" borderId="0" xfId="4495" quotePrefix="1" applyNumberFormat="1" applyFont="1" applyAlignment="1">
      <alignment wrapText="1"/>
    </xf>
    <xf numFmtId="0" fontId="27" fillId="0" borderId="6" xfId="4495" applyFont="1" applyBorder="1" applyAlignment="1">
      <alignment horizontal="right"/>
    </xf>
    <xf numFmtId="0" fontId="124" fillId="0" borderId="0" xfId="4496" applyFont="1" applyAlignment="1">
      <alignment wrapText="1"/>
    </xf>
    <xf numFmtId="0" fontId="19" fillId="0" borderId="0" xfId="4496" applyFont="1" applyAlignment="1">
      <alignment wrapText="1"/>
    </xf>
    <xf numFmtId="0" fontId="35" fillId="0" borderId="51" xfId="4495" applyFont="1" applyBorder="1" applyAlignment="1">
      <alignment vertical="top"/>
    </xf>
    <xf numFmtId="0" fontId="19" fillId="0" borderId="51" xfId="4496" applyFont="1" applyBorder="1" applyAlignment="1">
      <alignment wrapText="1"/>
    </xf>
    <xf numFmtId="0" fontId="26" fillId="0" borderId="51" xfId="4495" applyFont="1" applyBorder="1" applyAlignment="1">
      <alignment horizontal="right"/>
    </xf>
    <xf numFmtId="0" fontId="19" fillId="0" borderId="52" xfId="4495" applyFont="1" applyBorder="1" applyAlignment="1">
      <alignment horizontal="center"/>
    </xf>
    <xf numFmtId="0" fontId="19" fillId="0" borderId="53" xfId="4495" applyFont="1" applyBorder="1" applyAlignment="1">
      <alignment horizontal="left" vertical="top"/>
    </xf>
    <xf numFmtId="0" fontId="19" fillId="0" borderId="54" xfId="4495" applyFont="1" applyBorder="1" applyAlignment="1">
      <alignment horizontal="left" vertical="top"/>
    </xf>
    <xf numFmtId="0" fontId="19" fillId="0" borderId="54" xfId="4495" applyFont="1" applyBorder="1" applyAlignment="1">
      <alignment horizontal="center"/>
    </xf>
    <xf numFmtId="0" fontId="19" fillId="0" borderId="59" xfId="4495" applyFont="1" applyBorder="1" applyAlignment="1">
      <alignment horizontal="center"/>
    </xf>
    <xf numFmtId="9" fontId="19" fillId="0" borderId="0" xfId="4496" applyNumberFormat="1" applyFont="1" applyAlignment="1">
      <alignment horizontal="center"/>
    </xf>
    <xf numFmtId="1" fontId="19" fillId="0" borderId="0" xfId="543" applyNumberFormat="1"/>
    <xf numFmtId="0" fontId="27" fillId="0" borderId="1" xfId="4495" applyFont="1" applyBorder="1"/>
    <xf numFmtId="0" fontId="26" fillId="0" borderId="0" xfId="4495" applyFont="1" applyAlignment="1">
      <alignment horizontal="center" wrapText="1"/>
    </xf>
    <xf numFmtId="0" fontId="26" fillId="0" borderId="9" xfId="4495" applyFont="1" applyBorder="1" applyAlignment="1">
      <alignment horizontal="left"/>
    </xf>
    <xf numFmtId="0" fontId="26" fillId="0" borderId="3" xfId="4495" applyFont="1" applyBorder="1" applyAlignment="1">
      <alignment horizontal="left"/>
    </xf>
    <xf numFmtId="0" fontId="26" fillId="0" borderId="4" xfId="4495" applyFont="1" applyBorder="1" applyAlignment="1">
      <alignment horizontal="left"/>
    </xf>
    <xf numFmtId="0" fontId="19" fillId="0" borderId="2" xfId="4495" applyFont="1" applyBorder="1" applyAlignment="1">
      <alignment horizontal="left"/>
    </xf>
    <xf numFmtId="0" fontId="26" fillId="0" borderId="2" xfId="4495" applyFont="1" applyBorder="1" applyAlignment="1">
      <alignment horizontal="left"/>
    </xf>
    <xf numFmtId="0" fontId="26" fillId="0" borderId="5" xfId="4495" applyFont="1" applyBorder="1" applyAlignment="1">
      <alignment horizontal="left"/>
    </xf>
    <xf numFmtId="180" fontId="66" fillId="0" borderId="0" xfId="4495" applyNumberFormat="1" applyFont="1" applyAlignment="1">
      <alignment horizontal="center" vertical="center"/>
    </xf>
    <xf numFmtId="0" fontId="19" fillId="0" borderId="12" xfId="4495" applyFont="1" applyBorder="1" applyAlignment="1">
      <alignment vertical="top"/>
    </xf>
    <xf numFmtId="0" fontId="49" fillId="0" borderId="0" xfId="4495" applyFont="1" applyAlignment="1">
      <alignment vertical="top" wrapText="1"/>
    </xf>
    <xf numFmtId="0" fontId="19" fillId="0" borderId="51" xfId="4495" applyFont="1" applyBorder="1" applyAlignment="1">
      <alignment horizontal="left" vertical="top" wrapText="1"/>
    </xf>
    <xf numFmtId="0" fontId="19" fillId="0" borderId="51" xfId="4495" applyFont="1" applyBorder="1" applyAlignment="1">
      <alignment horizontal="right"/>
    </xf>
    <xf numFmtId="0" fontId="19" fillId="0" borderId="52" xfId="4495" applyFont="1" applyBorder="1" applyAlignment="1">
      <alignment horizontal="right"/>
    </xf>
    <xf numFmtId="0" fontId="19" fillId="0" borderId="54" xfId="4495" applyFont="1" applyBorder="1" applyAlignment="1">
      <alignment horizontal="right"/>
    </xf>
    <xf numFmtId="0" fontId="19" fillId="0" borderId="58" xfId="4495" applyFont="1" applyBorder="1" applyAlignment="1">
      <alignment horizontal="left" vertical="top" wrapText="1"/>
    </xf>
    <xf numFmtId="0" fontId="19" fillId="0" borderId="58" xfId="4495" applyFont="1" applyBorder="1" applyAlignment="1">
      <alignment horizontal="right"/>
    </xf>
    <xf numFmtId="0" fontId="19" fillId="0" borderId="59" xfId="4495" applyFont="1" applyBorder="1" applyAlignment="1">
      <alignment horizontal="right"/>
    </xf>
    <xf numFmtId="0" fontId="49" fillId="0" borderId="0" xfId="4495" applyFont="1" applyAlignment="1">
      <alignment horizontal="left" vertical="top" wrapText="1"/>
    </xf>
    <xf numFmtId="0" fontId="19" fillId="0" borderId="0" xfId="1192" applyAlignment="1">
      <alignment horizontal="left" vertical="top"/>
    </xf>
    <xf numFmtId="0" fontId="37" fillId="0" borderId="0" xfId="1192" applyFont="1" applyAlignment="1">
      <alignment horizontal="left" vertical="top"/>
    </xf>
    <xf numFmtId="0" fontId="19" fillId="0" borderId="0" xfId="1192" applyAlignment="1">
      <alignment vertical="top"/>
    </xf>
    <xf numFmtId="168" fontId="19" fillId="0" borderId="0" xfId="1192" applyNumberFormat="1"/>
    <xf numFmtId="165" fontId="19" fillId="0" borderId="0" xfId="1192" applyNumberFormat="1"/>
    <xf numFmtId="165" fontId="19" fillId="0" borderId="0" xfId="1192" applyNumberFormat="1" applyAlignment="1">
      <alignment horizontal="right"/>
    </xf>
    <xf numFmtId="2" fontId="19" fillId="0" borderId="0" xfId="1192" applyNumberFormat="1"/>
    <xf numFmtId="6" fontId="19" fillId="0" borderId="0" xfId="1192" applyNumberFormat="1"/>
    <xf numFmtId="0" fontId="26" fillId="0" borderId="0" xfId="1192" applyFont="1"/>
    <xf numFmtId="0" fontId="49" fillId="0" borderId="0" xfId="1192" applyFont="1"/>
    <xf numFmtId="168" fontId="19" fillId="0" borderId="0" xfId="4495" applyNumberFormat="1" applyFont="1"/>
    <xf numFmtId="0" fontId="26" fillId="0" borderId="0" xfId="1192" applyFont="1" applyAlignment="1">
      <alignment vertical="center"/>
    </xf>
    <xf numFmtId="0" fontId="120" fillId="0" borderId="0" xfId="1192" applyFont="1" applyAlignment="1">
      <alignment horizontal="left"/>
    </xf>
    <xf numFmtId="0" fontId="117" fillId="0" borderId="0" xfId="1192" applyFont="1" applyAlignment="1">
      <alignment horizontal="left"/>
    </xf>
    <xf numFmtId="0" fontId="117" fillId="0" borderId="0" xfId="1192" applyFont="1" applyAlignment="1">
      <alignment horizontal="center"/>
    </xf>
    <xf numFmtId="168" fontId="19" fillId="0" borderId="0" xfId="1192" applyNumberFormat="1" applyAlignment="1">
      <alignment horizontal="center"/>
    </xf>
    <xf numFmtId="9" fontId="19" fillId="0" borderId="0" xfId="1192" applyNumberFormat="1"/>
    <xf numFmtId="0" fontId="19" fillId="0" borderId="0" xfId="1192" applyAlignment="1">
      <alignment horizontal="right"/>
    </xf>
    <xf numFmtId="0" fontId="19" fillId="0" borderId="53" xfId="4495" applyFont="1" applyBorder="1" applyAlignment="1">
      <alignment horizontal="left"/>
    </xf>
    <xf numFmtId="6" fontId="26" fillId="0" borderId="0" xfId="1192" applyNumberFormat="1" applyFont="1" applyAlignment="1">
      <alignment horizontal="right"/>
    </xf>
    <xf numFmtId="165" fontId="19" fillId="0" borderId="0" xfId="4495" applyNumberFormat="1" applyFont="1"/>
    <xf numFmtId="0" fontId="56" fillId="0" borderId="4" xfId="4495" applyFont="1" applyBorder="1"/>
    <xf numFmtId="0" fontId="39" fillId="0" borderId="0" xfId="543" applyFont="1" applyAlignment="1">
      <alignment vertical="center" wrapText="1"/>
    </xf>
    <xf numFmtId="1" fontId="26" fillId="0" borderId="13" xfId="271" applyNumberFormat="1" applyFont="1" applyBorder="1"/>
    <xf numFmtId="1" fontId="28" fillId="0" borderId="13" xfId="271" applyNumberFormat="1" applyBorder="1"/>
    <xf numFmtId="0" fontId="19" fillId="0" borderId="11" xfId="0" applyFont="1" applyBorder="1"/>
    <xf numFmtId="9" fontId="19" fillId="0" borderId="0" xfId="4495" applyNumberFormat="1" applyFont="1"/>
    <xf numFmtId="165" fontId="124" fillId="0" borderId="0" xfId="4496" applyNumberFormat="1" applyFont="1" applyAlignment="1">
      <alignment horizontal="center" vertical="top" wrapText="1"/>
    </xf>
    <xf numFmtId="168" fontId="124" fillId="0" borderId="0" xfId="4496" applyNumberFormat="1" applyFont="1" applyAlignment="1">
      <alignment vertical="top" wrapText="1"/>
    </xf>
    <xf numFmtId="165" fontId="124" fillId="0" borderId="64" xfId="4496" applyNumberFormat="1" applyFont="1" applyBorder="1" applyAlignment="1">
      <alignment horizontal="center" vertical="top" wrapText="1"/>
    </xf>
    <xf numFmtId="165" fontId="124" fillId="0" borderId="53" xfId="4496" applyNumberFormat="1" applyFont="1" applyBorder="1" applyAlignment="1">
      <alignment horizontal="left" vertical="top"/>
    </xf>
    <xf numFmtId="165" fontId="124" fillId="0" borderId="53" xfId="4496" applyNumberFormat="1" applyFont="1" applyBorder="1" applyAlignment="1">
      <alignment horizontal="center" vertical="top" wrapText="1"/>
    </xf>
    <xf numFmtId="168" fontId="124" fillId="0" borderId="0" xfId="4496" applyNumberFormat="1" applyFont="1" applyAlignment="1">
      <alignment vertical="top"/>
    </xf>
    <xf numFmtId="1" fontId="124" fillId="0" borderId="0" xfId="4496" applyNumberFormat="1" applyFont="1" applyAlignment="1">
      <alignment vertical="top" wrapText="1"/>
    </xf>
    <xf numFmtId="164" fontId="27" fillId="0" borderId="0" xfId="4495" applyNumberFormat="1" applyFont="1"/>
    <xf numFmtId="0" fontId="26" fillId="0" borderId="8" xfId="0" applyFont="1" applyBorder="1" applyAlignment="1">
      <alignment horizontal="center" vertical="center" wrapText="1"/>
    </xf>
    <xf numFmtId="0" fontId="26"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2" fillId="0" borderId="50" xfId="1192" applyFont="1" applyBorder="1" applyAlignment="1">
      <alignment horizontal="left"/>
    </xf>
    <xf numFmtId="0" fontId="143" fillId="0" borderId="51" xfId="4495" applyFont="1" applyBorder="1" applyAlignment="1">
      <alignment vertical="top"/>
    </xf>
    <xf numFmtId="0" fontId="142" fillId="0" borderId="51" xfId="4495" applyFont="1" applyBorder="1" applyAlignment="1">
      <alignment vertical="top" wrapText="1"/>
    </xf>
    <xf numFmtId="0" fontId="143" fillId="0" borderId="51" xfId="4495" applyFont="1" applyBorder="1"/>
    <xf numFmtId="0" fontId="143" fillId="0" borderId="53" xfId="1192" applyFont="1" applyBorder="1" applyAlignment="1">
      <alignment horizontal="left"/>
    </xf>
    <xf numFmtId="0" fontId="143" fillId="0" borderId="0" xfId="4495" applyFont="1" applyAlignment="1">
      <alignment vertical="top"/>
    </xf>
    <xf numFmtId="0" fontId="142" fillId="0" borderId="0" xfId="4495" applyFont="1" applyAlignment="1">
      <alignment vertical="top" wrapText="1"/>
    </xf>
    <xf numFmtId="0" fontId="143" fillId="0" borderId="0" xfId="4495" applyFont="1"/>
    <xf numFmtId="0" fontId="142" fillId="0" borderId="53" xfId="1192" applyFont="1" applyBorder="1" applyAlignment="1">
      <alignment horizontal="left"/>
    </xf>
    <xf numFmtId="0" fontId="142" fillId="0" borderId="57" xfId="1192" applyFont="1" applyBorder="1" applyAlignment="1">
      <alignment horizontal="left"/>
    </xf>
    <xf numFmtId="0" fontId="143" fillId="0" borderId="58" xfId="4495" applyFont="1" applyBorder="1" applyAlignment="1">
      <alignment vertical="top"/>
    </xf>
    <xf numFmtId="0" fontId="142" fillId="0" borderId="58" xfId="4495" applyFont="1" applyBorder="1" applyAlignment="1">
      <alignment vertical="top" wrapText="1"/>
    </xf>
    <xf numFmtId="0" fontId="143" fillId="0" borderId="58" xfId="4495" applyFont="1" applyBorder="1"/>
    <xf numFmtId="0" fontId="28" fillId="0" borderId="3" xfId="0" applyFont="1" applyBorder="1" applyAlignment="1">
      <alignment horizontal="center"/>
    </xf>
    <xf numFmtId="0" fontId="28" fillId="0" borderId="4" xfId="0" applyFont="1" applyBorder="1" applyAlignment="1">
      <alignment horizontal="center"/>
    </xf>
    <xf numFmtId="0" fontId="28" fillId="0" borderId="5" xfId="0" applyFont="1" applyBorder="1" applyAlignment="1">
      <alignment horizontal="center"/>
    </xf>
    <xf numFmtId="0" fontId="26" fillId="0" borderId="7" xfId="0" applyFont="1" applyBorder="1" applyAlignment="1">
      <alignment horizontal="right"/>
    </xf>
    <xf numFmtId="0" fontId="0" fillId="0" borderId="0" xfId="0" applyAlignment="1" applyProtection="1">
      <alignment horizontal="left" vertical="top" wrapText="1"/>
      <protection locked="0"/>
    </xf>
    <xf numFmtId="0" fontId="19" fillId="0" borderId="9" xfId="0" applyFont="1" applyBorder="1" applyAlignment="1">
      <alignment horizontal="left"/>
    </xf>
    <xf numFmtId="0" fontId="19" fillId="0" borderId="6" xfId="0" applyFont="1" applyBorder="1"/>
    <xf numFmtId="0" fontId="19" fillId="0" borderId="9" xfId="0" applyFont="1" applyBorder="1"/>
    <xf numFmtId="0" fontId="52" fillId="0" borderId="0" xfId="0" applyFont="1" applyAlignment="1">
      <alignment horizontal="center"/>
    </xf>
    <xf numFmtId="0" fontId="25" fillId="0" borderId="0" xfId="0" applyFont="1" applyAlignment="1">
      <alignment horizontal="center" vertical="center" wrapText="1"/>
    </xf>
    <xf numFmtId="0" fontId="34" fillId="0" borderId="0" xfId="0" applyFont="1" applyAlignment="1">
      <alignment horizontal="center"/>
    </xf>
    <xf numFmtId="0" fontId="27" fillId="0" borderId="0" xfId="0" applyFont="1" applyAlignment="1">
      <alignment horizontal="center"/>
    </xf>
    <xf numFmtId="0" fontId="26" fillId="0" borderId="3" xfId="0" applyFont="1" applyBorder="1"/>
    <xf numFmtId="0" fontId="26" fillId="0" borderId="4" xfId="271" applyFont="1" applyBorder="1"/>
    <xf numFmtId="0" fontId="26" fillId="0" borderId="3" xfId="271" applyFont="1" applyBorder="1"/>
    <xf numFmtId="0" fontId="26" fillId="0" borderId="5" xfId="271" applyFont="1" applyBorder="1"/>
    <xf numFmtId="0" fontId="19" fillId="0" borderId="58" xfId="4495" applyFont="1" applyBorder="1" applyAlignment="1">
      <alignment vertical="center" wrapText="1"/>
    </xf>
    <xf numFmtId="0" fontId="19" fillId="0" borderId="59" xfId="4495" applyFont="1" applyBorder="1" applyAlignment="1">
      <alignment vertical="center" wrapText="1"/>
    </xf>
    <xf numFmtId="0" fontId="19" fillId="0" borderId="0" xfId="4495" applyFont="1" applyAlignment="1">
      <alignment horizontal="left" vertical="center" wrapText="1"/>
    </xf>
    <xf numFmtId="0" fontId="26" fillId="0" borderId="5" xfId="0" applyFont="1" applyBorder="1"/>
    <xf numFmtId="168" fontId="24" fillId="43" borderId="0" xfId="0" applyNumberFormat="1" applyFont="1" applyFill="1"/>
    <xf numFmtId="9" fontId="27" fillId="0" borderId="0" xfId="543" applyNumberFormat="1" applyFont="1" applyAlignment="1">
      <alignment horizontal="center"/>
    </xf>
    <xf numFmtId="171" fontId="19" fillId="0" borderId="0" xfId="543" applyNumberFormat="1"/>
    <xf numFmtId="171" fontId="19" fillId="0" borderId="11" xfId="543" applyNumberFormat="1" applyBorder="1"/>
    <xf numFmtId="1" fontId="19" fillId="0" borderId="11" xfId="543" applyNumberFormat="1" applyBorder="1" applyAlignment="1">
      <alignment horizontal="center"/>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46" fillId="0" borderId="8" xfId="543" applyFont="1" applyBorder="1" applyAlignment="1">
      <alignment vertical="center" wrapText="1"/>
    </xf>
    <xf numFmtId="0" fontId="46" fillId="0" borderId="0" xfId="543" applyFont="1" applyAlignment="1">
      <alignment vertical="center" wrapText="1"/>
    </xf>
    <xf numFmtId="0" fontId="46" fillId="0" borderId="12" xfId="543" applyFont="1" applyBorder="1" applyAlignment="1">
      <alignment vertical="center" wrapText="1"/>
    </xf>
    <xf numFmtId="0" fontId="46" fillId="0" borderId="9" xfId="543" applyFont="1" applyBorder="1" applyAlignment="1">
      <alignment vertical="center" wrapText="1"/>
    </xf>
    <xf numFmtId="0" fontId="46" fillId="0" borderId="6" xfId="543" applyFont="1" applyBorder="1" applyAlignment="1">
      <alignment vertical="center" wrapText="1"/>
    </xf>
    <xf numFmtId="0" fontId="46" fillId="0" borderId="10" xfId="543" applyFont="1" applyBorder="1" applyAlignment="1">
      <alignment vertical="center" wrapText="1"/>
    </xf>
    <xf numFmtId="0" fontId="39" fillId="0" borderId="12" xfId="543" applyFont="1" applyBorder="1" applyAlignment="1">
      <alignment horizontal="center" vertical="top"/>
    </xf>
    <xf numFmtId="0" fontId="40" fillId="0" borderId="7" xfId="543" applyFont="1" applyBorder="1"/>
    <xf numFmtId="0" fontId="19" fillId="0" borderId="12" xfId="543" quotePrefix="1" applyBorder="1"/>
    <xf numFmtId="0" fontId="55" fillId="0" borderId="2" xfId="569" applyFont="1" applyBorder="1" applyAlignment="1">
      <alignment vertical="top"/>
    </xf>
    <xf numFmtId="0" fontId="29" fillId="0" borderId="0" xfId="4495" applyFont="1"/>
    <xf numFmtId="0" fontId="19" fillId="0" borderId="0" xfId="4495" applyFont="1" applyAlignment="1">
      <alignment vertical="top" wrapText="1" shrinkToFit="1"/>
    </xf>
    <xf numFmtId="0" fontId="147" fillId="0" borderId="0" xfId="4495" applyFont="1"/>
    <xf numFmtId="164" fontId="19" fillId="0" borderId="0" xfId="1192" applyNumberFormat="1" applyAlignment="1">
      <alignment horizontal="right"/>
    </xf>
    <xf numFmtId="164" fontId="19" fillId="0" borderId="0" xfId="4495" applyNumberFormat="1" applyFont="1" applyAlignment="1">
      <alignment horizontal="right"/>
    </xf>
    <xf numFmtId="0" fontId="19" fillId="0" borderId="0" xfId="4495" applyFont="1" applyAlignment="1">
      <alignment horizontal="left" vertical="top" wrapText="1" shrinkToFit="1"/>
    </xf>
    <xf numFmtId="0" fontId="19" fillId="0" borderId="6" xfId="4495" applyFont="1" applyBorder="1" applyAlignment="1">
      <alignment vertical="top" wrapText="1"/>
    </xf>
    <xf numFmtId="0" fontId="147" fillId="0" borderId="4" xfId="4495" applyFont="1" applyBorder="1"/>
    <xf numFmtId="0" fontId="19" fillId="0" borderId="4" xfId="4495" applyFont="1" applyBorder="1" applyAlignment="1">
      <alignment horizontal="left" vertical="top" wrapText="1" shrinkToFit="1"/>
    </xf>
    <xf numFmtId="0" fontId="29" fillId="0" borderId="0" xfId="4495" applyFont="1" applyAlignment="1">
      <alignment horizontal="left" vertical="top"/>
    </xf>
    <xf numFmtId="0" fontId="19" fillId="0" borderId="0" xfId="4495" applyFont="1" applyAlignment="1">
      <alignment vertical="center" wrapText="1" shrinkToFit="1"/>
    </xf>
    <xf numFmtId="0" fontId="19" fillId="0" borderId="0" xfId="4495" applyFont="1" applyAlignment="1">
      <alignment horizontal="left" vertical="top" shrinkToFit="1"/>
    </xf>
    <xf numFmtId="0" fontId="19" fillId="0" borderId="0" xfId="4495" applyFont="1" applyAlignment="1">
      <alignment horizontal="left" vertical="center" shrinkToFit="1"/>
    </xf>
    <xf numFmtId="0" fontId="29" fillId="0" borderId="4" xfId="4495" applyFont="1" applyBorder="1"/>
    <xf numFmtId="0" fontId="19" fillId="0" borderId="4" xfId="4495" applyFont="1" applyBorder="1" applyAlignment="1">
      <alignment horizontal="left" vertical="top" shrinkToFit="1"/>
    </xf>
    <xf numFmtId="0" fontId="19" fillId="0" borderId="0" xfId="4495" applyFont="1" applyAlignment="1">
      <alignment vertical="center"/>
    </xf>
    <xf numFmtId="0" fontId="25" fillId="0" borderId="0" xfId="4495" applyFont="1"/>
    <xf numFmtId="0" fontId="29" fillId="0" borderId="0" xfId="4495" applyFont="1" applyAlignment="1">
      <alignment horizontal="center"/>
    </xf>
    <xf numFmtId="0" fontId="19" fillId="0" borderId="4" xfId="4495" applyFont="1" applyBorder="1" applyAlignment="1">
      <alignment horizontal="left" vertical="top" wrapText="1"/>
    </xf>
    <xf numFmtId="44" fontId="19" fillId="0" borderId="0" xfId="707" applyFont="1" applyFill="1" applyBorder="1" applyAlignment="1" applyProtection="1">
      <alignment horizontal="left" vertical="top" wrapText="1"/>
    </xf>
    <xf numFmtId="44" fontId="19" fillId="0" borderId="4" xfId="707" applyFont="1" applyFill="1" applyBorder="1" applyAlignment="1" applyProtection="1">
      <alignment horizontal="left" vertical="top" wrapText="1"/>
    </xf>
    <xf numFmtId="164" fontId="37" fillId="0" borderId="0" xfId="4495" applyNumberFormat="1" applyFont="1" applyAlignment="1">
      <alignment horizontal="left"/>
    </xf>
    <xf numFmtId="0" fontId="29" fillId="0" borderId="0" xfId="4495" applyFont="1" applyAlignment="1">
      <alignment horizontal="left"/>
    </xf>
    <xf numFmtId="0" fontId="19" fillId="0" borderId="4" xfId="4495" applyFont="1" applyBorder="1" applyAlignment="1">
      <alignment vertical="top" wrapText="1"/>
    </xf>
    <xf numFmtId="0" fontId="29" fillId="0" borderId="4" xfId="4495" applyFont="1" applyBorder="1" applyAlignment="1">
      <alignment horizontal="left" vertical="top"/>
    </xf>
    <xf numFmtId="0" fontId="19" fillId="0" borderId="0" xfId="4495" applyFont="1" applyAlignment="1">
      <alignment horizontal="left" vertical="center" wrapText="1" shrinkToFit="1"/>
    </xf>
    <xf numFmtId="0" fontId="19" fillId="0" borderId="6" xfId="4495" applyFont="1" applyBorder="1" applyAlignment="1">
      <alignment horizontal="left" vertical="top" wrapText="1"/>
    </xf>
    <xf numFmtId="2" fontId="120" fillId="0" borderId="0" xfId="0" applyNumberFormat="1" applyFont="1" applyAlignment="1">
      <alignment horizontal="center"/>
    </xf>
    <xf numFmtId="9" fontId="19" fillId="0" borderId="0" xfId="4494" applyFont="1" applyAlignment="1">
      <alignment horizontal="center"/>
    </xf>
    <xf numFmtId="3" fontId="19" fillId="0" borderId="0" xfId="0" applyNumberFormat="1" applyFont="1"/>
    <xf numFmtId="10" fontId="19" fillId="0" borderId="0" xfId="0" applyNumberFormat="1" applyFont="1" applyAlignment="1">
      <alignment horizontal="center"/>
    </xf>
    <xf numFmtId="168" fontId="19" fillId="0" borderId="0" xfId="0" applyNumberFormat="1" applyFont="1"/>
    <xf numFmtId="172" fontId="19" fillId="0" borderId="11" xfId="0" applyNumberFormat="1" applyFont="1" applyBorder="1" applyAlignment="1">
      <alignment horizontal="center"/>
    </xf>
    <xf numFmtId="168" fontId="19" fillId="5" borderId="0" xfId="0" applyNumberFormat="1" applyFont="1" applyFill="1"/>
    <xf numFmtId="3" fontId="19" fillId="5" borderId="0" xfId="0" applyNumberFormat="1" applyFont="1" applyFill="1"/>
    <xf numFmtId="0" fontId="19" fillId="5" borderId="0" xfId="0" applyFont="1" applyFill="1"/>
    <xf numFmtId="3" fontId="19" fillId="5" borderId="6" xfId="0" applyNumberFormat="1" applyFont="1" applyFill="1" applyBorder="1"/>
    <xf numFmtId="3" fontId="19" fillId="0" borderId="6" xfId="0" applyNumberFormat="1" applyFont="1" applyBorder="1"/>
    <xf numFmtId="168" fontId="19" fillId="0" borderId="0" xfId="0" applyNumberFormat="1" applyFont="1" applyAlignment="1">
      <alignment horizontal="center"/>
    </xf>
    <xf numFmtId="3" fontId="19" fillId="0" borderId="0" xfId="0" applyNumberFormat="1" applyFont="1" applyAlignment="1">
      <alignment horizontal="center"/>
    </xf>
    <xf numFmtId="0" fontId="19" fillId="0" borderId="50" xfId="4495" applyFont="1" applyBorder="1" applyAlignment="1">
      <alignment vertical="center"/>
    </xf>
    <xf numFmtId="0" fontId="19" fillId="0" borderId="51" xfId="4495" applyFont="1" applyBorder="1" applyAlignment="1">
      <alignment vertical="center"/>
    </xf>
    <xf numFmtId="0" fontId="19" fillId="0" borderId="52" xfId="4495" applyFont="1" applyBorder="1" applyAlignment="1">
      <alignment vertical="center"/>
    </xf>
    <xf numFmtId="0" fontId="19" fillId="0" borderId="54" xfId="4495" applyFont="1" applyBorder="1" applyAlignment="1">
      <alignment vertical="center" wrapText="1"/>
    </xf>
    <xf numFmtId="0" fontId="19" fillId="0" borderId="53" xfId="4495" applyFont="1" applyBorder="1" applyAlignment="1">
      <alignment vertical="top" wrapText="1"/>
    </xf>
    <xf numFmtId="9" fontId="19" fillId="0" borderId="0" xfId="543" applyNumberFormat="1" applyAlignment="1">
      <alignment horizontal="center"/>
    </xf>
    <xf numFmtId="0" fontId="51" fillId="0" borderId="0" xfId="4496" applyFont="1"/>
    <xf numFmtId="168" fontId="55" fillId="5" borderId="11" xfId="0" applyNumberFormat="1" applyFont="1" applyFill="1" applyBorder="1" applyAlignment="1" applyProtection="1">
      <alignment vertical="top" wrapText="1"/>
      <protection locked="0"/>
    </xf>
    <xf numFmtId="0" fontId="19" fillId="0" borderId="0" xfId="0" applyFont="1" applyAlignment="1">
      <alignment horizontal="left" wrapText="1"/>
    </xf>
    <xf numFmtId="4" fontId="37" fillId="0" borderId="0" xfId="0" applyNumberFormat="1" applyFont="1" applyAlignment="1">
      <alignment horizontal="left"/>
    </xf>
    <xf numFmtId="4" fontId="19" fillId="0" borderId="0" xfId="0" applyNumberFormat="1" applyFont="1" applyAlignment="1">
      <alignment horizontal="left" vertical="top" wrapText="1"/>
    </xf>
    <xf numFmtId="0" fontId="26" fillId="0" borderId="4" xfId="0" applyFont="1" applyBorder="1" applyAlignment="1">
      <alignment horizontal="left"/>
    </xf>
    <xf numFmtId="4" fontId="19" fillId="0" borderId="0" xfId="0" applyNumberFormat="1" applyFont="1" applyAlignment="1">
      <alignment horizontal="left"/>
    </xf>
    <xf numFmtId="43" fontId="53" fillId="0" borderId="0" xfId="4503" applyFont="1" applyAlignment="1" applyProtection="1">
      <alignment horizontal="center"/>
    </xf>
    <xf numFmtId="43" fontId="19" fillId="0" borderId="0" xfId="4503" applyFont="1" applyAlignment="1" applyProtection="1">
      <alignment horizontal="center"/>
    </xf>
    <xf numFmtId="43" fontId="19" fillId="0" borderId="0" xfId="4503" applyFont="1" applyProtection="1"/>
    <xf numFmtId="49" fontId="19" fillId="0" borderId="0" xfId="0" applyNumberFormat="1" applyFont="1"/>
    <xf numFmtId="49" fontId="19" fillId="0" borderId="0" xfId="0" applyNumberFormat="1" applyFont="1" applyAlignment="1">
      <alignment horizontal="center"/>
    </xf>
    <xf numFmtId="4" fontId="19" fillId="0" borderId="0" xfId="0" applyNumberFormat="1" applyFont="1" applyAlignment="1">
      <alignment vertical="top" wrapText="1"/>
    </xf>
    <xf numFmtId="0" fontId="19" fillId="0" borderId="0" xfId="0" quotePrefix="1" applyFont="1"/>
    <xf numFmtId="0" fontId="49" fillId="0" borderId="0" xfId="0" applyFont="1" applyAlignment="1">
      <alignment horizontal="left"/>
    </xf>
    <xf numFmtId="0" fontId="19" fillId="0" borderId="4" xfId="0" applyFont="1" applyBorder="1" applyAlignment="1">
      <alignment horizontal="left"/>
    </xf>
    <xf numFmtId="0" fontId="19" fillId="0" borderId="0" xfId="0" quotePrefix="1" applyFont="1" applyAlignment="1">
      <alignment horizontal="left"/>
    </xf>
    <xf numFmtId="0" fontId="19" fillId="0" borderId="0" xfId="0" quotePrefix="1" applyFont="1" applyAlignment="1">
      <alignment horizontal="left" vertical="top"/>
    </xf>
    <xf numFmtId="0" fontId="49" fillId="0" borderId="0" xfId="1192" applyFont="1" applyAlignment="1">
      <alignment horizontal="left"/>
    </xf>
    <xf numFmtId="0" fontId="53" fillId="0" borderId="0" xfId="0" applyFont="1" applyAlignment="1">
      <alignment horizontal="center" vertical="center"/>
    </xf>
    <xf numFmtId="49" fontId="26" fillId="0" borderId="0" xfId="0" applyNumberFormat="1" applyFont="1" applyAlignment="1">
      <alignment horizontal="center" vertical="center"/>
    </xf>
    <xf numFmtId="49" fontId="19" fillId="0" borderId="0" xfId="0" applyNumberFormat="1" applyFont="1" applyAlignment="1">
      <alignment vertical="center"/>
    </xf>
    <xf numFmtId="4" fontId="19" fillId="0" borderId="0" xfId="0" applyNumberFormat="1" applyFont="1" applyAlignment="1">
      <alignment horizontal="center"/>
    </xf>
    <xf numFmtId="4" fontId="19" fillId="0" borderId="0" xfId="0" applyNumberFormat="1" applyFont="1"/>
    <xf numFmtId="10" fontId="19" fillId="0" borderId="0" xfId="4495" applyNumberFormat="1" applyFont="1"/>
    <xf numFmtId="10" fontId="124" fillId="0" borderId="0" xfId="4496" applyNumberFormat="1" applyFont="1" applyAlignment="1">
      <alignment horizontal="center" vertical="top" wrapText="1"/>
    </xf>
    <xf numFmtId="10" fontId="124" fillId="0" borderId="64" xfId="4496" applyNumberFormat="1" applyFont="1" applyBorder="1" applyAlignment="1">
      <alignment horizontal="center" vertical="top" wrapText="1"/>
    </xf>
    <xf numFmtId="10" fontId="124"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9" fillId="0" borderId="0" xfId="1192" quotePrefix="1" applyNumberFormat="1" applyAlignment="1">
      <alignment horizontal="center"/>
    </xf>
    <xf numFmtId="0" fontId="124" fillId="0" borderId="0" xfId="4495" applyFont="1"/>
    <xf numFmtId="10" fontId="124" fillId="0" borderId="0" xfId="4495" applyNumberFormat="1" applyFont="1"/>
    <xf numFmtId="172" fontId="19" fillId="0" borderId="0" xfId="4495" applyNumberFormat="1" applyFont="1"/>
    <xf numFmtId="0" fontId="42" fillId="0" borderId="0" xfId="0" applyFont="1" applyAlignment="1">
      <alignment horizontal="center"/>
    </xf>
    <xf numFmtId="0" fontId="38" fillId="0" borderId="0" xfId="0" applyFont="1" applyAlignment="1">
      <alignment horizontal="left"/>
    </xf>
    <xf numFmtId="0" fontId="0" fillId="0" borderId="10" xfId="0" applyBorder="1" applyAlignment="1">
      <alignment horizontal="left"/>
    </xf>
    <xf numFmtId="1" fontId="19" fillId="0" borderId="0" xfId="1192" applyNumberFormat="1" applyAlignment="1">
      <alignment horizontal="center"/>
    </xf>
    <xf numFmtId="0" fontId="122" fillId="0" borderId="63" xfId="4495" applyBorder="1"/>
    <xf numFmtId="0" fontId="55" fillId="0" borderId="0" xfId="271" applyFont="1" applyAlignment="1">
      <alignment vertical="top"/>
    </xf>
    <xf numFmtId="0" fontId="26" fillId="0" borderId="11" xfId="0" applyFont="1" applyBorder="1" applyAlignment="1">
      <alignment horizontal="right" vertical="top" wrapText="1"/>
    </xf>
    <xf numFmtId="0" fontId="28" fillId="0" borderId="11" xfId="271" applyBorder="1" applyAlignment="1" applyProtection="1">
      <alignment horizontal="right" vertical="top" wrapText="1"/>
      <protection locked="0"/>
    </xf>
    <xf numFmtId="0" fontId="19" fillId="0" borderId="54" xfId="4495" applyFont="1" applyBorder="1" applyAlignment="1">
      <alignment vertical="top"/>
    </xf>
    <xf numFmtId="9" fontId="28" fillId="0" borderId="0" xfId="0" applyNumberFormat="1" applyFont="1"/>
    <xf numFmtId="0" fontId="19" fillId="0" borderId="16" xfId="569" applyBorder="1" applyAlignment="1">
      <alignment horizontal="center"/>
    </xf>
    <xf numFmtId="164" fontId="19" fillId="0" borderId="57" xfId="4495" applyNumberFormat="1" applyFont="1" applyBorder="1" applyAlignment="1">
      <alignment vertical="top" wrapText="1"/>
    </xf>
    <xf numFmtId="164" fontId="19" fillId="0" borderId="58" xfId="4495" applyNumberFormat="1" applyFont="1" applyBorder="1" applyAlignment="1">
      <alignment vertical="top" wrapText="1"/>
    </xf>
    <xf numFmtId="164" fontId="19" fillId="0" borderId="59" xfId="4495" applyNumberFormat="1" applyFont="1" applyBorder="1" applyAlignment="1">
      <alignment vertical="top" wrapText="1"/>
    </xf>
    <xf numFmtId="0" fontId="26" fillId="0" borderId="0" xfId="1192" applyFont="1" applyAlignment="1">
      <alignment horizontal="left" vertical="top" wrapText="1"/>
    </xf>
    <xf numFmtId="0" fontId="19" fillId="0" borderId="16" xfId="569" applyBorder="1"/>
    <xf numFmtId="0" fontId="19" fillId="0" borderId="4" xfId="569" applyBorder="1"/>
    <xf numFmtId="0" fontId="26" fillId="0" borderId="4" xfId="569" applyFont="1" applyBorder="1"/>
    <xf numFmtId="49" fontId="19" fillId="0" borderId="4" xfId="569" applyNumberFormat="1" applyBorder="1"/>
    <xf numFmtId="0" fontId="150" fillId="0" borderId="0" xfId="0" applyFont="1"/>
    <xf numFmtId="0" fontId="19" fillId="0" borderId="0" xfId="0" applyFont="1" applyAlignment="1">
      <alignment horizontal="right"/>
    </xf>
    <xf numFmtId="1" fontId="19" fillId="0" borderId="0" xfId="0" applyNumberFormat="1" applyFont="1" applyAlignment="1">
      <alignment horizontal="center"/>
    </xf>
    <xf numFmtId="0" fontId="26" fillId="0" borderId="0" xfId="0" applyFont="1" applyAlignment="1">
      <alignment horizontal="left" vertical="center"/>
    </xf>
    <xf numFmtId="0" fontId="19" fillId="0" borderId="0" xfId="0" applyFont="1" applyAlignment="1">
      <alignment horizontal="left" vertical="center"/>
    </xf>
    <xf numFmtId="0" fontId="26" fillId="0" borderId="0" xfId="569" applyFont="1" applyAlignment="1">
      <alignment vertical="top"/>
    </xf>
    <xf numFmtId="0" fontId="20" fillId="0" borderId="0" xfId="244" applyAlignment="1"/>
    <xf numFmtId="0" fontId="26" fillId="0" borderId="0" xfId="0" applyFont="1" applyAlignment="1">
      <alignment vertical="top" wrapText="1"/>
    </xf>
    <xf numFmtId="49" fontId="26" fillId="0" borderId="0" xfId="0" applyNumberFormat="1" applyFont="1"/>
    <xf numFmtId="49" fontId="26" fillId="0" borderId="0" xfId="0" applyNumberFormat="1" applyFont="1" applyAlignment="1">
      <alignment vertical="top"/>
    </xf>
    <xf numFmtId="0" fontId="42" fillId="0" borderId="11" xfId="0" applyFont="1" applyBorder="1"/>
    <xf numFmtId="175" fontId="19" fillId="0" borderId="0" xfId="543" applyNumberFormat="1" applyAlignment="1">
      <alignment vertical="center"/>
    </xf>
    <xf numFmtId="0" fontId="100" fillId="43" borderId="6" xfId="4496" applyFont="1" applyFill="1" applyBorder="1" applyAlignment="1" applyProtection="1">
      <alignment horizontal="center"/>
      <protection locked="0"/>
    </xf>
    <xf numFmtId="0" fontId="100" fillId="0" borderId="0" xfId="4496" applyFont="1"/>
    <xf numFmtId="0" fontId="100" fillId="0" borderId="0" xfId="4496" applyFont="1" applyAlignment="1">
      <alignment wrapText="1"/>
    </xf>
    <xf numFmtId="0" fontId="138" fillId="0" borderId="0" xfId="4496" applyFont="1"/>
    <xf numFmtId="181" fontId="139" fillId="0" borderId="0" xfId="4498" applyNumberFormat="1" applyFont="1" applyBorder="1" applyProtection="1"/>
    <xf numFmtId="0" fontId="140" fillId="0" borderId="0" xfId="4496" applyFont="1" applyAlignment="1">
      <alignment vertical="center" wrapText="1"/>
    </xf>
    <xf numFmtId="49" fontId="100" fillId="0" borderId="0" xfId="4496" applyNumberFormat="1" applyFont="1" applyAlignment="1">
      <alignment horizontal="center"/>
    </xf>
    <xf numFmtId="182" fontId="100" fillId="0" borderId="6" xfId="4496" applyNumberFormat="1" applyFont="1" applyBorder="1"/>
    <xf numFmtId="0" fontId="100" fillId="0" borderId="0" xfId="4496" applyFont="1" applyAlignment="1">
      <alignment vertical="center"/>
    </xf>
    <xf numFmtId="182" fontId="100" fillId="0" borderId="0" xfId="4496" applyNumberFormat="1" applyFont="1" applyAlignment="1">
      <alignment vertical="center"/>
    </xf>
    <xf numFmtId="175" fontId="100" fillId="0" borderId="0" xfId="4499" applyNumberFormat="1" applyFont="1" applyFill="1" applyBorder="1" applyAlignment="1" applyProtection="1">
      <alignment horizontal="left" vertical="center"/>
    </xf>
    <xf numFmtId="9" fontId="100" fillId="0" borderId="0" xfId="4499" applyFont="1" applyFill="1" applyBorder="1" applyAlignment="1" applyProtection="1">
      <alignment vertical="center"/>
    </xf>
    <xf numFmtId="183" fontId="100" fillId="0" borderId="0" xfId="4496" applyNumberFormat="1" applyFont="1" applyAlignment="1">
      <alignment vertical="center" wrapText="1"/>
    </xf>
    <xf numFmtId="9" fontId="100" fillId="0" borderId="0" xfId="4499" applyFont="1" applyBorder="1" applyAlignment="1" applyProtection="1">
      <alignment vertical="center"/>
    </xf>
    <xf numFmtId="164" fontId="100" fillId="0" borderId="0" xfId="4496" applyNumberFormat="1" applyFont="1" applyAlignment="1">
      <alignment vertical="center" wrapText="1"/>
    </xf>
    <xf numFmtId="0" fontId="100" fillId="0" borderId="0" xfId="4496" applyFont="1" applyAlignment="1">
      <alignment horizontal="center" vertical="center"/>
    </xf>
    <xf numFmtId="182" fontId="100" fillId="0" borderId="11" xfId="8721" applyNumberFormat="1" applyFont="1" applyBorder="1" applyProtection="1"/>
    <xf numFmtId="182" fontId="100" fillId="0" borderId="11" xfId="4496" applyNumberFormat="1" applyFont="1" applyBorder="1"/>
    <xf numFmtId="164" fontId="100" fillId="0" borderId="0" xfId="4496" applyNumberFormat="1" applyFont="1" applyAlignment="1">
      <alignment wrapText="1"/>
    </xf>
    <xf numFmtId="49" fontId="100" fillId="0" borderId="0" xfId="4496" applyNumberFormat="1" applyFont="1" applyAlignment="1">
      <alignment horizontal="left"/>
    </xf>
    <xf numFmtId="0" fontId="141" fillId="0" borderId="0" xfId="4496" applyFont="1"/>
    <xf numFmtId="9" fontId="100" fillId="0" borderId="11" xfId="4494" applyFont="1" applyFill="1" applyBorder="1" applyAlignment="1" applyProtection="1">
      <alignment horizontal="right"/>
    </xf>
    <xf numFmtId="1" fontId="100" fillId="0" borderId="0" xfId="4496" applyNumberFormat="1" applyFont="1"/>
    <xf numFmtId="0" fontId="138" fillId="45" borderId="3" xfId="4496" applyFont="1" applyFill="1" applyBorder="1" applyAlignment="1">
      <alignment horizontal="left" indent="1"/>
    </xf>
    <xf numFmtId="0" fontId="100" fillId="45" borderId="4" xfId="4496" applyFont="1" applyFill="1" applyBorder="1"/>
    <xf numFmtId="2" fontId="100" fillId="45" borderId="5" xfId="4496" applyNumberFormat="1" applyFont="1" applyFill="1" applyBorder="1"/>
    <xf numFmtId="181" fontId="100" fillId="0" borderId="0" xfId="4496" applyNumberFormat="1" applyFont="1"/>
    <xf numFmtId="165" fontId="139" fillId="0" borderId="0" xfId="4499" applyNumberFormat="1" applyFont="1" applyFill="1" applyBorder="1" applyProtection="1"/>
    <xf numFmtId="9" fontId="100" fillId="0" borderId="0" xfId="4494" applyFont="1" applyFill="1" applyProtection="1"/>
    <xf numFmtId="0" fontId="100" fillId="0" borderId="11" xfId="4496" applyFont="1" applyBorder="1" applyAlignment="1">
      <alignment horizontal="center"/>
    </xf>
    <xf numFmtId="2" fontId="100" fillId="0" borderId="11" xfId="4496" applyNumberFormat="1" applyFont="1" applyBorder="1" applyAlignment="1">
      <alignment horizontal="center"/>
    </xf>
    <xf numFmtId="0" fontId="100" fillId="0" borderId="0" xfId="4496" applyFont="1" applyAlignment="1">
      <alignment vertical="top" wrapText="1"/>
    </xf>
    <xf numFmtId="0" fontId="100" fillId="0" borderId="11" xfId="4496" applyFont="1" applyBorder="1" applyAlignment="1">
      <alignment horizontal="center" vertical="top" wrapText="1"/>
    </xf>
    <xf numFmtId="182" fontId="100" fillId="0" borderId="0" xfId="8721" applyNumberFormat="1" applyFont="1" applyBorder="1" applyProtection="1"/>
    <xf numFmtId="0" fontId="100" fillId="0" borderId="0" xfId="4496" applyFont="1" applyAlignment="1">
      <alignment horizontal="left" indent="1"/>
    </xf>
    <xf numFmtId="182" fontId="100" fillId="0" borderId="0" xfId="4496" applyNumberFormat="1" applyFont="1"/>
    <xf numFmtId="184" fontId="100" fillId="0" borderId="0" xfId="4496" applyNumberFormat="1" applyFont="1"/>
    <xf numFmtId="0" fontId="100" fillId="0" borderId="0" xfId="4496" applyFont="1" applyAlignment="1">
      <alignment horizontal="left"/>
    </xf>
    <xf numFmtId="0" fontId="100" fillId="0" borderId="0" xfId="4496" applyFont="1" applyAlignment="1">
      <alignment horizontal="center"/>
    </xf>
    <xf numFmtId="3" fontId="24" fillId="0" borderId="11" xfId="271" applyNumberFormat="1" applyFont="1" applyBorder="1" applyAlignment="1">
      <alignment horizontal="center"/>
    </xf>
    <xf numFmtId="3" fontId="24" fillId="43" borderId="11" xfId="271" applyNumberFormat="1" applyFont="1" applyFill="1" applyBorder="1" applyProtection="1">
      <protection locked="0"/>
    </xf>
    <xf numFmtId="0" fontId="100" fillId="0" borderId="0" xfId="4496" applyFont="1" applyAlignment="1">
      <alignment horizontal="right"/>
    </xf>
    <xf numFmtId="168" fontId="28" fillId="0" borderId="0" xfId="0" applyNumberFormat="1" applyFont="1"/>
    <xf numFmtId="0" fontId="100" fillId="0" borderId="15" xfId="4496" applyFont="1" applyBorder="1" applyAlignment="1">
      <alignment horizontal="center" vertical="top" wrapText="1"/>
    </xf>
    <xf numFmtId="2" fontId="100" fillId="0" borderId="15" xfId="4496" applyNumberFormat="1" applyFont="1" applyBorder="1" applyAlignment="1">
      <alignment horizontal="center"/>
    </xf>
    <xf numFmtId="0" fontId="100" fillId="0" borderId="15" xfId="4496" applyFont="1" applyBorder="1" applyAlignment="1">
      <alignment horizontal="center"/>
    </xf>
    <xf numFmtId="0" fontId="138" fillId="0" borderId="68" xfId="4496" applyFont="1" applyBorder="1" applyAlignment="1">
      <alignment horizontal="center" vertical="top" wrapText="1"/>
    </xf>
    <xf numFmtId="0" fontId="138" fillId="0" borderId="68" xfId="4496" applyFont="1" applyBorder="1" applyAlignment="1">
      <alignment horizontal="center"/>
    </xf>
    <xf numFmtId="0" fontId="152" fillId="0" borderId="0" xfId="4496" applyFont="1" applyAlignment="1">
      <alignment horizontal="right" vertical="center"/>
    </xf>
    <xf numFmtId="175" fontId="100" fillId="0" borderId="0" xfId="4499" applyNumberFormat="1" applyFont="1" applyFill="1" applyBorder="1" applyAlignment="1" applyProtection="1">
      <alignment horizontal="right" vertical="center"/>
    </xf>
    <xf numFmtId="0" fontId="100" fillId="0" borderId="66" xfId="4496" applyFont="1" applyBorder="1" applyAlignment="1">
      <alignment vertical="center"/>
    </xf>
    <xf numFmtId="0" fontId="100" fillId="0" borderId="41" xfId="4496" applyFont="1" applyBorder="1" applyAlignment="1">
      <alignment vertical="center"/>
    </xf>
    <xf numFmtId="182" fontId="100" fillId="0" borderId="73" xfId="4496" applyNumberFormat="1" applyFont="1" applyBorder="1" applyAlignment="1">
      <alignment vertical="center"/>
    </xf>
    <xf numFmtId="175" fontId="100" fillId="0" borderId="42" xfId="4499" applyNumberFormat="1" applyFont="1" applyFill="1" applyBorder="1" applyAlignment="1" applyProtection="1">
      <alignment horizontal="left" vertical="center"/>
    </xf>
    <xf numFmtId="0" fontId="100" fillId="0" borderId="42" xfId="4496" applyFont="1" applyBorder="1" applyAlignment="1">
      <alignment vertical="center"/>
    </xf>
    <xf numFmtId="0" fontId="100" fillId="0" borderId="44" xfId="4496" applyFont="1" applyBorder="1" applyAlignment="1">
      <alignment vertical="center"/>
    </xf>
    <xf numFmtId="49" fontId="100" fillId="0" borderId="0" xfId="4496" applyNumberFormat="1" applyFont="1" applyAlignment="1">
      <alignment horizontal="center" vertical="center"/>
    </xf>
    <xf numFmtId="0" fontId="100" fillId="0" borderId="65" xfId="4496" applyFont="1" applyBorder="1" applyAlignment="1">
      <alignment vertical="center"/>
    </xf>
    <xf numFmtId="0" fontId="100" fillId="0" borderId="29" xfId="4496" applyFont="1" applyBorder="1" applyAlignment="1">
      <alignment vertical="center"/>
    </xf>
    <xf numFmtId="0" fontId="100" fillId="0" borderId="29" xfId="4496" applyFont="1" applyBorder="1" applyAlignment="1">
      <alignment horizontal="right" vertical="center"/>
    </xf>
    <xf numFmtId="5" fontId="100" fillId="0" borderId="29" xfId="4496" applyNumberFormat="1" applyFont="1" applyBorder="1" applyAlignment="1">
      <alignment vertical="center"/>
    </xf>
    <xf numFmtId="0" fontId="100" fillId="0" borderId="31" xfId="4496" applyFont="1" applyBorder="1" applyAlignment="1">
      <alignment vertical="center"/>
    </xf>
    <xf numFmtId="175" fontId="138" fillId="0" borderId="42" xfId="4494" applyNumberFormat="1" applyFont="1" applyFill="1" applyBorder="1" applyAlignment="1" applyProtection="1">
      <alignment horizontal="center" vertical="center"/>
    </xf>
    <xf numFmtId="0" fontId="138" fillId="0" borderId="29" xfId="4496" applyFont="1" applyBorder="1" applyAlignment="1">
      <alignment vertical="center"/>
    </xf>
    <xf numFmtId="0" fontId="138" fillId="0" borderId="0" xfId="4496" applyFont="1" applyAlignment="1">
      <alignment vertical="center"/>
    </xf>
    <xf numFmtId="0" fontId="138" fillId="0" borderId="42" xfId="4496" applyFont="1" applyBorder="1" applyAlignment="1">
      <alignment vertical="center"/>
    </xf>
    <xf numFmtId="9" fontId="138" fillId="0" borderId="42" xfId="4499" applyFont="1" applyFill="1" applyBorder="1" applyAlignment="1" applyProtection="1">
      <alignment vertical="center"/>
    </xf>
    <xf numFmtId="182" fontId="138" fillId="0" borderId="68" xfId="8721" applyNumberFormat="1" applyFont="1" applyBorder="1" applyProtection="1"/>
    <xf numFmtId="182" fontId="138" fillId="0" borderId="68" xfId="4496" applyNumberFormat="1" applyFont="1" applyBorder="1"/>
    <xf numFmtId="0" fontId="152" fillId="0" borderId="0" xfId="4496" applyFont="1" applyAlignment="1">
      <alignment horizontal="right"/>
    </xf>
    <xf numFmtId="0" fontId="100" fillId="0" borderId="0" xfId="4496" applyFont="1" applyAlignment="1">
      <alignment horizontal="right" vertical="top" wrapText="1" indent="1"/>
    </xf>
    <xf numFmtId="182" fontId="100" fillId="0" borderId="6" xfId="8721" applyNumberFormat="1" applyFont="1" applyBorder="1" applyAlignment="1" applyProtection="1">
      <alignment horizontal="center"/>
    </xf>
    <xf numFmtId="0" fontId="100" fillId="0" borderId="0" xfId="4496" applyFont="1" applyAlignment="1">
      <alignment horizontal="right" indent="1"/>
    </xf>
    <xf numFmtId="0" fontId="100" fillId="0" borderId="0" xfId="4496" applyFont="1" applyAlignment="1">
      <alignment horizontal="right" vertical="top"/>
    </xf>
    <xf numFmtId="0" fontId="138" fillId="0" borderId="0" xfId="4496" applyFont="1" applyAlignment="1">
      <alignment horizontal="right"/>
    </xf>
    <xf numFmtId="182" fontId="138" fillId="0" borderId="0" xfId="8721" applyNumberFormat="1" applyFont="1" applyBorder="1" applyAlignment="1" applyProtection="1">
      <alignment horizontal="center"/>
    </xf>
    <xf numFmtId="10" fontId="100" fillId="0" borderId="0" xfId="4494" applyNumberFormat="1" applyFont="1" applyBorder="1" applyAlignment="1" applyProtection="1">
      <alignment horizontal="center"/>
    </xf>
    <xf numFmtId="184" fontId="100" fillId="0" borderId="6" xfId="4496" applyNumberFormat="1" applyFont="1" applyBorder="1"/>
    <xf numFmtId="0" fontId="138" fillId="0" borderId="0" xfId="4496" applyFont="1" applyAlignment="1">
      <alignment horizontal="right" vertical="top"/>
    </xf>
    <xf numFmtId="182" fontId="138" fillId="0" borderId="0" xfId="4496" applyNumberFormat="1" applyFont="1"/>
    <xf numFmtId="182" fontId="100" fillId="0" borderId="6" xfId="8721" applyNumberFormat="1" applyFont="1" applyBorder="1" applyProtection="1"/>
    <xf numFmtId="184" fontId="100" fillId="0" borderId="0" xfId="4496" applyNumberFormat="1" applyFont="1" applyAlignment="1">
      <alignment horizontal="center"/>
    </xf>
    <xf numFmtId="0" fontId="100" fillId="0" borderId="6" xfId="4496" applyFont="1" applyBorder="1" applyAlignment="1">
      <alignment horizontal="right" vertical="top" wrapText="1" indent="1"/>
    </xf>
    <xf numFmtId="0" fontId="100" fillId="0" borderId="67" xfId="4496" applyFont="1" applyBorder="1" applyAlignment="1">
      <alignment horizontal="right" indent="1"/>
    </xf>
    <xf numFmtId="0" fontId="100" fillId="0" borderId="72" xfId="4496" applyFont="1" applyBorder="1" applyAlignment="1">
      <alignment horizontal="right" indent="1"/>
    </xf>
    <xf numFmtId="0" fontId="100" fillId="0" borderId="72" xfId="4496" quotePrefix="1" applyFont="1" applyBorder="1" applyAlignment="1">
      <alignment horizontal="right" indent="1"/>
    </xf>
    <xf numFmtId="0" fontId="100" fillId="0" borderId="69" xfId="4496" applyFont="1" applyBorder="1" applyAlignment="1">
      <alignment horizontal="right" indent="1"/>
    </xf>
    <xf numFmtId="182" fontId="100" fillId="0" borderId="71" xfId="4496" applyNumberFormat="1" applyFont="1" applyBorder="1"/>
    <xf numFmtId="182" fontId="100" fillId="0" borderId="76" xfId="4496" applyNumberFormat="1" applyFont="1" applyBorder="1"/>
    <xf numFmtId="182" fontId="100" fillId="0" borderId="77" xfId="4496" applyNumberFormat="1" applyFont="1" applyBorder="1"/>
    <xf numFmtId="175" fontId="26" fillId="0" borderId="0" xfId="543" applyNumberFormat="1" applyFont="1" applyAlignment="1">
      <alignment vertical="center"/>
    </xf>
    <xf numFmtId="10" fontId="138" fillId="0" borderId="0" xfId="4494" applyNumberFormat="1" applyFont="1" applyProtection="1"/>
    <xf numFmtId="0" fontId="26" fillId="0" borderId="0" xfId="1192" applyFont="1" applyAlignment="1">
      <alignment horizontal="left" indent="1"/>
    </xf>
    <xf numFmtId="168" fontId="100" fillId="0" borderId="11" xfId="4499" applyNumberFormat="1" applyFont="1" applyFill="1" applyBorder="1" applyAlignment="1" applyProtection="1">
      <alignment horizontal="left" vertical="center" indent="1"/>
    </xf>
    <xf numFmtId="168" fontId="138" fillId="0" borderId="68" xfId="4499" applyNumberFormat="1" applyFont="1" applyFill="1" applyBorder="1" applyAlignment="1" applyProtection="1">
      <alignment horizontal="left" vertical="center" indent="1"/>
    </xf>
    <xf numFmtId="182" fontId="100" fillId="0" borderId="13" xfId="4496" applyNumberFormat="1" applyFont="1" applyBorder="1"/>
    <xf numFmtId="182" fontId="100" fillId="0" borderId="70" xfId="4496" applyNumberFormat="1" applyFont="1" applyBorder="1"/>
    <xf numFmtId="0" fontId="37" fillId="0" borderId="0" xfId="4495" applyFont="1" applyAlignment="1">
      <alignment vertical="center"/>
    </xf>
    <xf numFmtId="0" fontId="124" fillId="0" borderId="0" xfId="4496" applyFont="1" applyAlignment="1">
      <alignment vertical="center" wrapText="1"/>
    </xf>
    <xf numFmtId="0" fontId="24" fillId="43" borderId="0" xfId="1192" applyFont="1" applyFill="1"/>
    <xf numFmtId="3" fontId="70" fillId="43" borderId="6" xfId="1192" applyNumberFormat="1" applyFont="1" applyFill="1" applyBorder="1"/>
    <xf numFmtId="0" fontId="154" fillId="0" borderId="0" xfId="0" applyFont="1"/>
    <xf numFmtId="0" fontId="24" fillId="0" borderId="11" xfId="253" applyFont="1" applyBorder="1" applyAlignment="1" applyProtection="1">
      <alignment horizontal="center" wrapText="1"/>
      <protection locked="0"/>
    </xf>
    <xf numFmtId="0" fontId="155" fillId="0" borderId="0" xfId="0" applyFont="1"/>
    <xf numFmtId="0" fontId="156" fillId="0" borderId="0" xfId="0" applyFont="1" applyAlignment="1">
      <alignment horizontal="center"/>
    </xf>
    <xf numFmtId="0" fontId="55" fillId="5" borderId="11" xfId="0" applyFont="1" applyFill="1" applyBorder="1" applyAlignment="1" applyProtection="1">
      <alignment horizontal="right" vertical="top" wrapText="1"/>
      <protection locked="0"/>
    </xf>
    <xf numFmtId="0" fontId="19" fillId="43" borderId="3" xfId="569" applyFill="1" applyBorder="1"/>
    <xf numFmtId="0" fontId="159" fillId="0" borderId="0" xfId="0" applyFont="1" applyAlignment="1">
      <alignment horizontal="right"/>
    </xf>
    <xf numFmtId="1" fontId="27" fillId="0" borderId="0" xfId="4495" applyNumberFormat="1" applyFont="1"/>
    <xf numFmtId="0" fontId="26" fillId="0" borderId="4" xfId="569" applyFont="1" applyBorder="1" applyAlignment="1">
      <alignment horizontal="center"/>
    </xf>
    <xf numFmtId="43" fontId="26" fillId="0" borderId="0" xfId="4503" applyFont="1" applyAlignment="1" applyProtection="1">
      <alignment horizontal="center"/>
    </xf>
    <xf numFmtId="0" fontId="26" fillId="0" borderId="0" xfId="569" applyFont="1" applyAlignment="1">
      <alignment horizontal="center" vertical="center"/>
    </xf>
    <xf numFmtId="0" fontId="26" fillId="0" borderId="16" xfId="569" applyFont="1" applyBorder="1" applyAlignment="1">
      <alignment horizontal="center"/>
    </xf>
    <xf numFmtId="49" fontId="26" fillId="0" borderId="4" xfId="569" applyNumberFormat="1" applyFont="1" applyBorder="1" applyAlignment="1">
      <alignment horizontal="center"/>
    </xf>
    <xf numFmtId="4" fontId="26" fillId="0" borderId="0" xfId="569" applyNumberFormat="1" applyFont="1" applyAlignment="1">
      <alignment horizontal="center"/>
    </xf>
    <xf numFmtId="0" fontId="19" fillId="0" borderId="0" xfId="569" applyAlignment="1">
      <alignment horizontal="center" wrapText="1"/>
    </xf>
    <xf numFmtId="0" fontId="19" fillId="0" borderId="0" xfId="0" applyFont="1" applyAlignment="1">
      <alignment vertical="center" wrapText="1"/>
    </xf>
    <xf numFmtId="3" fontId="24" fillId="43" borderId="11" xfId="271" applyNumberFormat="1" applyFont="1" applyFill="1" applyBorder="1" applyAlignment="1" applyProtection="1">
      <alignment horizontal="left"/>
      <protection locked="0"/>
    </xf>
    <xf numFmtId="0" fontId="100" fillId="43" borderId="6" xfId="4496" applyFont="1" applyFill="1" applyBorder="1" applyProtection="1">
      <protection locked="0"/>
    </xf>
    <xf numFmtId="1" fontId="100" fillId="0" borderId="0" xfId="4496" applyNumberFormat="1" applyFont="1" applyProtection="1">
      <protection locked="0"/>
    </xf>
    <xf numFmtId="182" fontId="164" fillId="0" borderId="11" xfId="4496" applyNumberFormat="1" applyFont="1" applyBorder="1"/>
    <xf numFmtId="44" fontId="100" fillId="0" borderId="0" xfId="4496" applyNumberFormat="1" applyFont="1"/>
    <xf numFmtId="182" fontId="24" fillId="0" borderId="11" xfId="4496" applyNumberFormat="1" applyFont="1" applyBorder="1"/>
    <xf numFmtId="9" fontId="100" fillId="0" borderId="0" xfId="4494" applyFont="1"/>
    <xf numFmtId="182" fontId="100" fillId="43" borderId="6" xfId="8721" applyNumberFormat="1" applyFont="1" applyFill="1" applyBorder="1" applyProtection="1">
      <protection locked="0"/>
    </xf>
    <xf numFmtId="0" fontId="19" fillId="0" borderId="0" xfId="4495" applyFont="1" applyAlignment="1">
      <alignment wrapText="1"/>
    </xf>
    <xf numFmtId="168" fontId="176" fillId="48" borderId="79" xfId="700" applyNumberFormat="1" applyFont="1" applyFill="1" applyBorder="1" applyAlignment="1" applyProtection="1">
      <protection locked="0"/>
    </xf>
    <xf numFmtId="3" fontId="47" fillId="10" borderId="0" xfId="543" applyNumberFormat="1" applyFont="1" applyFill="1" applyAlignment="1">
      <alignment vertical="center" wrapText="1"/>
    </xf>
    <xf numFmtId="0" fontId="183" fillId="0" borderId="0" xfId="543" applyFont="1" applyAlignment="1">
      <alignment horizontal="left" vertical="center"/>
    </xf>
    <xf numFmtId="0" fontId="184" fillId="0" borderId="0" xfId="543" applyFont="1" applyAlignment="1">
      <alignment horizontal="right" vertical="top" wrapText="1"/>
    </xf>
    <xf numFmtId="168" fontId="184" fillId="0" borderId="0" xfId="543" applyNumberFormat="1" applyFont="1" applyAlignment="1">
      <alignment horizontal="center" vertical="center"/>
    </xf>
    <xf numFmtId="0" fontId="185" fillId="0" borderId="0" xfId="543" applyFont="1" applyAlignment="1">
      <alignment horizontal="left" vertical="center"/>
    </xf>
    <xf numFmtId="0" fontId="185" fillId="0" borderId="0" xfId="543" applyFont="1" applyAlignment="1">
      <alignment horizontal="right" vertical="top" wrapText="1"/>
    </xf>
    <xf numFmtId="168" fontId="184" fillId="0" borderId="104" xfId="543" applyNumberFormat="1" applyFont="1" applyBorder="1" applyAlignment="1">
      <alignment horizontal="center" vertical="center"/>
    </xf>
    <xf numFmtId="0" fontId="185" fillId="0" borderId="106" xfId="543" applyFont="1" applyBorder="1" applyAlignment="1">
      <alignment horizontal="right" vertical="top" wrapText="1"/>
    </xf>
    <xf numFmtId="0" fontId="26" fillId="0" borderId="0" xfId="4495" applyFont="1" applyAlignment="1">
      <alignment wrapText="1"/>
    </xf>
    <xf numFmtId="182" fontId="19" fillId="0" borderId="0" xfId="700" applyNumberFormat="1" applyFont="1"/>
    <xf numFmtId="9" fontId="19" fillId="0" borderId="0" xfId="1022" applyFont="1"/>
    <xf numFmtId="168" fontId="19"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4" fillId="52" borderId="113" xfId="0" applyFont="1" applyFill="1" applyBorder="1"/>
    <xf numFmtId="0" fontId="124" fillId="53" borderId="113" xfId="0" applyFont="1" applyFill="1" applyBorder="1"/>
    <xf numFmtId="1" fontId="0" fillId="0" borderId="0" xfId="0" applyNumberFormat="1"/>
    <xf numFmtId="0" fontId="20"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20" fillId="0" borderId="0" xfId="244" applyAlignment="1">
      <alignment horizontal="left" vertical="top"/>
    </xf>
    <xf numFmtId="9" fontId="19" fillId="0" borderId="0" xfId="0" applyNumberFormat="1" applyFont="1"/>
    <xf numFmtId="185" fontId="170" fillId="0" borderId="0" xfId="698" applyNumberFormat="1" applyFont="1"/>
    <xf numFmtId="0" fontId="187" fillId="0" borderId="0" xfId="0" applyFont="1" applyAlignment="1">
      <alignment horizontal="center"/>
    </xf>
    <xf numFmtId="0" fontId="19" fillId="0" borderId="0" xfId="569" quotePrefix="1"/>
    <xf numFmtId="168" fontId="157" fillId="0" borderId="0" xfId="0" applyNumberFormat="1" applyFont="1" applyAlignment="1">
      <alignment vertical="center" wrapText="1"/>
    </xf>
    <xf numFmtId="168" fontId="188" fillId="0" borderId="0" xfId="0" applyNumberFormat="1" applyFont="1" applyAlignment="1">
      <alignment horizontal="center" vertical="center" wrapText="1"/>
    </xf>
    <xf numFmtId="0" fontId="0" fillId="0" borderId="0" xfId="0" applyAlignment="1">
      <alignment vertical="center"/>
    </xf>
    <xf numFmtId="0" fontId="26" fillId="0" borderId="0" xfId="4495" quotePrefix="1" applyFont="1"/>
    <xf numFmtId="0" fontId="26" fillId="0" borderId="0" xfId="4495" applyFont="1" applyAlignment="1">
      <alignment horizontal="left" vertical="center"/>
    </xf>
    <xf numFmtId="0" fontId="26" fillId="0" borderId="0" xfId="4495" applyFont="1" applyAlignment="1">
      <alignment vertical="center"/>
    </xf>
    <xf numFmtId="0" fontId="124" fillId="0" borderId="58" xfId="4496" applyFont="1" applyBorder="1" applyAlignment="1">
      <alignment vertical="center"/>
    </xf>
    <xf numFmtId="0" fontId="26" fillId="0" borderId="5" xfId="4495" applyFont="1" applyBorder="1"/>
    <xf numFmtId="182" fontId="100" fillId="0" borderId="6" xfId="4496" applyNumberFormat="1" applyFont="1" applyBorder="1" applyAlignment="1">
      <alignment vertical="center"/>
    </xf>
    <xf numFmtId="1" fontId="100" fillId="0" borderId="0" xfId="4496" applyNumberFormat="1" applyFont="1" applyAlignment="1">
      <alignment horizontal="right" vertical="top" wrapText="1" indent="1"/>
    </xf>
    <xf numFmtId="3" fontId="100" fillId="43" borderId="6" xfId="4496" applyNumberFormat="1" applyFont="1" applyFill="1" applyBorder="1" applyAlignment="1" applyProtection="1">
      <alignment horizontal="center"/>
      <protection locked="0"/>
    </xf>
    <xf numFmtId="0" fontId="3" fillId="0" borderId="0" xfId="8736"/>
    <xf numFmtId="0" fontId="170" fillId="0" borderId="0" xfId="8736" applyFont="1"/>
    <xf numFmtId="0" fontId="105" fillId="0" borderId="0" xfId="8736" applyFont="1"/>
    <xf numFmtId="0" fontId="3" fillId="47" borderId="66" xfId="8736" applyFill="1" applyBorder="1"/>
    <xf numFmtId="0" fontId="3" fillId="47" borderId="0" xfId="8736" applyFill="1"/>
    <xf numFmtId="0" fontId="104" fillId="47" borderId="0" xfId="8736" applyFont="1" applyFill="1"/>
    <xf numFmtId="9" fontId="3" fillId="44" borderId="3" xfId="1022" applyFont="1" applyFill="1" applyBorder="1" applyAlignment="1">
      <alignment horizontal="centerContinuous"/>
    </xf>
    <xf numFmtId="9" fontId="3" fillId="44" borderId="4" xfId="1022" applyFont="1" applyFill="1" applyBorder="1" applyAlignment="1">
      <alignment horizontal="centerContinuous"/>
    </xf>
    <xf numFmtId="9" fontId="3" fillId="44" borderId="5" xfId="1022" applyFont="1" applyFill="1" applyBorder="1" applyAlignment="1">
      <alignment horizontal="centerContinuous"/>
    </xf>
    <xf numFmtId="0" fontId="104" fillId="47" borderId="41" xfId="8736" applyFont="1" applyFill="1" applyBorder="1" applyAlignment="1">
      <alignment horizontal="center"/>
    </xf>
    <xf numFmtId="182" fontId="175" fillId="47" borderId="0" xfId="8737" applyNumberFormat="1" applyFont="1" applyFill="1" applyBorder="1" applyAlignment="1"/>
    <xf numFmtId="0" fontId="3" fillId="47" borderId="41" xfId="8736" applyFill="1" applyBorder="1"/>
    <xf numFmtId="0" fontId="105" fillId="47" borderId="0" xfId="8736" applyFont="1" applyFill="1"/>
    <xf numFmtId="0" fontId="179" fillId="47" borderId="0" xfId="8736" applyFont="1" applyFill="1"/>
    <xf numFmtId="0" fontId="104" fillId="47" borderId="41" xfId="8736" applyFont="1" applyFill="1" applyBorder="1"/>
    <xf numFmtId="0" fontId="104" fillId="0" borderId="0" xfId="8736" applyFont="1"/>
    <xf numFmtId="0" fontId="167" fillId="0" borderId="0" xfId="8736" applyFont="1"/>
    <xf numFmtId="0" fontId="104" fillId="54" borderId="100" xfId="8736" applyFont="1" applyFill="1" applyBorder="1"/>
    <xf numFmtId="0" fontId="3" fillId="53" borderId="99" xfId="8736" applyFill="1" applyBorder="1"/>
    <xf numFmtId="0" fontId="3" fillId="52" borderId="99" xfId="8736" applyFill="1" applyBorder="1"/>
    <xf numFmtId="0" fontId="104" fillId="45" borderId="65" xfId="8736" applyFont="1" applyFill="1" applyBorder="1"/>
    <xf numFmtId="0" fontId="3" fillId="45" borderId="80" xfId="8736" applyFill="1" applyBorder="1"/>
    <xf numFmtId="0" fontId="3" fillId="45" borderId="79" xfId="8736" applyFill="1" applyBorder="1"/>
    <xf numFmtId="0" fontId="3" fillId="45" borderId="78" xfId="8736" applyFill="1" applyBorder="1"/>
    <xf numFmtId="0" fontId="104" fillId="45" borderId="0" xfId="8736" applyFont="1" applyFill="1"/>
    <xf numFmtId="0" fontId="104" fillId="45" borderId="12" xfId="8736" applyFont="1" applyFill="1" applyBorder="1"/>
    <xf numFmtId="0" fontId="104" fillId="45" borderId="29" xfId="8736" applyFont="1" applyFill="1" applyBorder="1"/>
    <xf numFmtId="0" fontId="104" fillId="45" borderId="80" xfId="8736" applyFont="1" applyFill="1" applyBorder="1"/>
    <xf numFmtId="0" fontId="104" fillId="45" borderId="79" xfId="8736" applyFont="1" applyFill="1" applyBorder="1"/>
    <xf numFmtId="0" fontId="104" fillId="45" borderId="78" xfId="8736" applyFont="1" applyFill="1" applyBorder="1"/>
    <xf numFmtId="0" fontId="104" fillId="45" borderId="93" xfId="8736" applyFont="1" applyFill="1" applyBorder="1"/>
    <xf numFmtId="0" fontId="104" fillId="45" borderId="6" xfId="8736" applyFont="1" applyFill="1" applyBorder="1"/>
    <xf numFmtId="0" fontId="104" fillId="45" borderId="10" xfId="8736" applyFont="1" applyFill="1" applyBorder="1"/>
    <xf numFmtId="0" fontId="170" fillId="44" borderId="0" xfId="8736" applyFont="1" applyFill="1"/>
    <xf numFmtId="10" fontId="170" fillId="44" borderId="0" xfId="1022" applyNumberFormat="1" applyFont="1" applyFill="1"/>
    <xf numFmtId="0" fontId="3" fillId="45" borderId="29" xfId="8736" applyFill="1" applyBorder="1"/>
    <xf numFmtId="0" fontId="3" fillId="45" borderId="31" xfId="8736" applyFill="1" applyBorder="1"/>
    <xf numFmtId="0" fontId="104" fillId="45" borderId="92" xfId="8736" applyFont="1" applyFill="1" applyBorder="1"/>
    <xf numFmtId="0" fontId="104" fillId="45" borderId="74" xfId="8736" applyFont="1" applyFill="1" applyBorder="1"/>
    <xf numFmtId="0" fontId="181" fillId="47" borderId="0" xfId="8736" applyFont="1" applyFill="1"/>
    <xf numFmtId="0" fontId="104" fillId="45" borderId="31" xfId="8736" applyFont="1" applyFill="1" applyBorder="1"/>
    <xf numFmtId="0" fontId="3" fillId="47" borderId="0" xfId="8736" applyFill="1" applyAlignment="1">
      <alignment horizontal="left"/>
    </xf>
    <xf numFmtId="0" fontId="173" fillId="51" borderId="11" xfId="8736" applyFont="1" applyFill="1" applyBorder="1"/>
    <xf numFmtId="0" fontId="173" fillId="51" borderId="76" xfId="8736" applyFont="1" applyFill="1" applyBorder="1"/>
    <xf numFmtId="0" fontId="174" fillId="51" borderId="11" xfId="8736" applyFont="1" applyFill="1" applyBorder="1" applyAlignment="1">
      <alignment horizontal="center"/>
    </xf>
    <xf numFmtId="0" fontId="174" fillId="51" borderId="76" xfId="8736" applyFont="1" applyFill="1" applyBorder="1" applyAlignment="1">
      <alignment horizontal="center"/>
    </xf>
    <xf numFmtId="0" fontId="3" fillId="48" borderId="66" xfId="8736" applyFill="1" applyBorder="1"/>
    <xf numFmtId="0" fontId="3" fillId="48" borderId="0" xfId="8736" applyFill="1"/>
    <xf numFmtId="0" fontId="3" fillId="48" borderId="78" xfId="8736" applyFill="1" applyBorder="1"/>
    <xf numFmtId="0" fontId="104" fillId="47" borderId="66" xfId="8736" applyFont="1" applyFill="1" applyBorder="1"/>
    <xf numFmtId="49" fontId="104" fillId="47" borderId="66" xfId="8736" applyNumberFormat="1" applyFont="1" applyFill="1" applyBorder="1" applyAlignment="1">
      <alignment horizontal="right" vertical="top"/>
    </xf>
    <xf numFmtId="0" fontId="3" fillId="47" borderId="73" xfId="8736" applyFill="1" applyBorder="1"/>
    <xf numFmtId="0" fontId="3" fillId="47" borderId="42" xfId="8736" applyFill="1" applyBorder="1"/>
    <xf numFmtId="0" fontId="3" fillId="47" borderId="44" xfId="8736" applyFill="1" applyBorder="1"/>
    <xf numFmtId="0" fontId="3" fillId="44" borderId="66" xfId="8736" applyFill="1" applyBorder="1"/>
    <xf numFmtId="0" fontId="3" fillId="44" borderId="0" xfId="8736" applyFill="1"/>
    <xf numFmtId="0" fontId="3" fillId="44" borderId="41" xfId="8736" applyFill="1" applyBorder="1"/>
    <xf numFmtId="0" fontId="3" fillId="44" borderId="0" xfId="8736" applyFill="1" applyAlignment="1">
      <alignment horizontal="left"/>
    </xf>
    <xf numFmtId="0" fontId="3" fillId="44" borderId="73" xfId="8736" applyFill="1" applyBorder="1"/>
    <xf numFmtId="0" fontId="3" fillId="44" borderId="42" xfId="8736" applyFill="1" applyBorder="1"/>
    <xf numFmtId="0" fontId="3" fillId="44" borderId="44" xfId="8736" applyFill="1" applyBorder="1"/>
    <xf numFmtId="0" fontId="165" fillId="0" borderId="0" xfId="8736" applyFont="1"/>
    <xf numFmtId="0" fontId="19" fillId="0" borderId="0" xfId="0" applyFont="1" applyAlignment="1">
      <alignment horizontal="left" vertical="top" wrapText="1"/>
    </xf>
    <xf numFmtId="0" fontId="20" fillId="0" borderId="0" xfId="244"/>
    <xf numFmtId="0" fontId="0" fillId="0" borderId="0" xfId="0"/>
    <xf numFmtId="0" fontId="19" fillId="0" borderId="0" xfId="1192" applyAlignment="1">
      <alignment horizontal="left" vertical="top" wrapText="1"/>
    </xf>
    <xf numFmtId="0" fontId="26" fillId="0" borderId="0" xfId="0" applyFont="1" applyAlignment="1">
      <alignment horizontal="left" vertical="top" wrapText="1"/>
    </xf>
    <xf numFmtId="0" fontId="48" fillId="0" borderId="0" xfId="0" applyFont="1" applyAlignment="1">
      <alignment horizontal="left" vertical="top" wrapText="1"/>
    </xf>
    <xf numFmtId="0" fontId="19" fillId="0" borderId="0" xfId="0" applyFont="1" applyAlignment="1">
      <alignment horizontal="left" wrapText="1"/>
    </xf>
    <xf numFmtId="0" fontId="20" fillId="0" borderId="0" xfId="244" applyAlignment="1" applyProtection="1">
      <alignment horizontal="left"/>
    </xf>
    <xf numFmtId="0" fontId="115" fillId="0" borderId="0" xfId="0" applyFont="1" applyAlignment="1">
      <alignment horizontal="left" wrapText="1"/>
    </xf>
    <xf numFmtId="0" fontId="28" fillId="0" borderId="0" xfId="0" applyFont="1" applyAlignment="1">
      <alignment horizontal="left" wrapText="1"/>
    </xf>
    <xf numFmtId="0" fontId="25" fillId="3" borderId="0" xfId="0" applyFont="1" applyFill="1" applyAlignment="1">
      <alignment horizontal="center" vertical="center" wrapText="1"/>
    </xf>
    <xf numFmtId="0" fontId="25" fillId="3" borderId="16" xfId="0" applyFont="1" applyFill="1" applyBorder="1" applyAlignment="1">
      <alignment horizontal="center" vertical="center" wrapText="1"/>
    </xf>
    <xf numFmtId="0" fontId="107" fillId="0" borderId="0" xfId="0" applyFont="1" applyAlignment="1">
      <alignment horizontal="left" vertical="top" wrapText="1"/>
    </xf>
    <xf numFmtId="0" fontId="20" fillId="0" borderId="0" xfId="244" applyAlignment="1">
      <alignment horizontal="left" vertical="top"/>
    </xf>
    <xf numFmtId="0" fontId="116" fillId="0" borderId="0" xfId="569" applyFont="1" applyAlignment="1">
      <alignment horizontal="center"/>
    </xf>
    <xf numFmtId="0" fontId="117" fillId="0" borderId="0" xfId="569" applyFont="1"/>
    <xf numFmtId="0" fontId="19" fillId="0" borderId="0" xfId="569" applyAlignment="1">
      <alignment wrapText="1"/>
    </xf>
    <xf numFmtId="0" fontId="26" fillId="0" borderId="0" xfId="569" applyFont="1" applyAlignment="1">
      <alignment wrapText="1"/>
    </xf>
    <xf numFmtId="0" fontId="34" fillId="0" borderId="0" xfId="569" applyFont="1" applyAlignment="1">
      <alignment horizontal="center"/>
    </xf>
    <xf numFmtId="0" fontId="19" fillId="0" borderId="0" xfId="569"/>
    <xf numFmtId="0" fontId="19" fillId="0" borderId="0" xfId="1192" applyAlignment="1">
      <alignment vertical="top" wrapText="1"/>
    </xf>
    <xf numFmtId="0" fontId="19" fillId="0" borderId="0" xfId="569" applyAlignment="1">
      <alignment horizontal="left" wrapText="1"/>
    </xf>
    <xf numFmtId="0" fontId="37" fillId="0" borderId="0" xfId="569" applyFont="1" applyAlignment="1">
      <alignment horizontal="center"/>
    </xf>
    <xf numFmtId="0" fontId="26" fillId="0" borderId="0" xfId="569" applyFont="1" applyAlignment="1">
      <alignment horizontal="center"/>
    </xf>
    <xf numFmtId="0" fontId="19" fillId="0" borderId="0" xfId="569" applyAlignment="1">
      <alignment horizontal="left" vertical="top" wrapText="1"/>
    </xf>
    <xf numFmtId="0" fontId="19" fillId="0" borderId="0" xfId="569" applyAlignment="1">
      <alignment horizontal="left"/>
    </xf>
    <xf numFmtId="0" fontId="37" fillId="0" borderId="0" xfId="569" applyFont="1" applyAlignment="1">
      <alignment horizontal="left" vertical="top" wrapText="1"/>
    </xf>
    <xf numFmtId="0" fontId="26" fillId="0" borderId="4" xfId="569" applyFont="1" applyBorder="1" applyAlignment="1">
      <alignment horizontal="left"/>
    </xf>
    <xf numFmtId="4" fontId="19" fillId="0" borderId="0" xfId="1192" applyNumberFormat="1" applyAlignment="1">
      <alignment horizontal="left" vertical="top" wrapText="1"/>
    </xf>
    <xf numFmtId="49" fontId="19" fillId="0" borderId="0" xfId="0" applyNumberFormat="1" applyFont="1" applyAlignment="1">
      <alignment horizontal="left" vertical="top" wrapText="1"/>
    </xf>
    <xf numFmtId="0" fontId="20" fillId="0" borderId="0" xfId="244" applyAlignment="1" applyProtection="1">
      <alignment horizontal="left" vertical="top" wrapText="1"/>
    </xf>
    <xf numFmtId="0" fontId="19" fillId="0" borderId="0" xfId="569" applyAlignment="1">
      <alignment horizontal="left" vertical="top"/>
    </xf>
    <xf numFmtId="0" fontId="26" fillId="0" borderId="4" xfId="569" applyFont="1" applyBorder="1" applyAlignment="1">
      <alignment horizontal="left" vertical="top"/>
    </xf>
    <xf numFmtId="0" fontId="37" fillId="0" borderId="0" xfId="569" applyFont="1" applyAlignment="1">
      <alignment horizontal="left"/>
    </xf>
    <xf numFmtId="4" fontId="19" fillId="0" borderId="0" xfId="569" applyNumberFormat="1" applyAlignment="1">
      <alignment horizontal="left"/>
    </xf>
    <xf numFmtId="4" fontId="19" fillId="0" borderId="0" xfId="569" applyNumberFormat="1" applyAlignment="1">
      <alignment horizontal="left" vertical="top" wrapText="1"/>
    </xf>
    <xf numFmtId="0" fontId="26" fillId="0" borderId="0" xfId="569" applyFont="1" applyAlignment="1">
      <alignment horizontal="left"/>
    </xf>
    <xf numFmtId="0" fontId="37" fillId="0" borderId="0" xfId="1192" applyFont="1" applyAlignment="1">
      <alignment horizontal="left"/>
    </xf>
    <xf numFmtId="0" fontId="19" fillId="0" borderId="0" xfId="1192" applyAlignment="1">
      <alignment horizontal="left"/>
    </xf>
    <xf numFmtId="0" fontId="19" fillId="0" borderId="0" xfId="0" applyFont="1" applyAlignment="1">
      <alignment horizontal="left"/>
    </xf>
    <xf numFmtId="0" fontId="19" fillId="0" borderId="0" xfId="0" applyFont="1" applyAlignment="1">
      <alignment horizontal="left" vertical="top"/>
    </xf>
    <xf numFmtId="0" fontId="26" fillId="0" borderId="0" xfId="0" applyFont="1" applyAlignment="1">
      <alignment horizontal="left" vertical="top"/>
    </xf>
    <xf numFmtId="49" fontId="19" fillId="0" borderId="0" xfId="1192" applyNumberFormat="1" applyAlignment="1">
      <alignment horizontal="left" vertical="top" wrapText="1"/>
    </xf>
    <xf numFmtId="0" fontId="20" fillId="0" borderId="0" xfId="244" applyNumberFormat="1" applyFill="1" applyAlignment="1" applyProtection="1">
      <alignment horizontal="left"/>
    </xf>
    <xf numFmtId="0" fontId="37" fillId="0" borderId="0" xfId="569" applyFont="1" applyAlignment="1">
      <alignment horizontal="left" wrapText="1"/>
    </xf>
    <xf numFmtId="0" fontId="37" fillId="0" borderId="0" xfId="569" applyFont="1" applyAlignment="1">
      <alignment horizontal="center" wrapText="1"/>
    </xf>
    <xf numFmtId="0" fontId="19" fillId="0" borderId="0" xfId="569" applyAlignment="1">
      <alignment horizontal="left" vertical="center" wrapText="1"/>
    </xf>
    <xf numFmtId="0" fontId="26" fillId="0" borderId="4" xfId="0" applyFont="1" applyBorder="1" applyAlignment="1">
      <alignment horizontal="left"/>
    </xf>
    <xf numFmtId="0" fontId="19" fillId="0" borderId="0" xfId="1192" applyAlignment="1" applyProtection="1">
      <alignment horizontal="left" vertical="top" wrapText="1"/>
      <protection locked="0"/>
    </xf>
    <xf numFmtId="0" fontId="0" fillId="0" borderId="0" xfId="0" applyAlignment="1">
      <alignment horizontal="left" vertical="top" wrapText="1"/>
    </xf>
    <xf numFmtId="0" fontId="37" fillId="0" borderId="0" xfId="1192" applyFont="1" applyAlignment="1">
      <alignment horizontal="left" vertical="top" wrapText="1"/>
    </xf>
    <xf numFmtId="0" fontId="19" fillId="0" borderId="0" xfId="569" applyAlignment="1">
      <alignment vertical="top" wrapText="1"/>
    </xf>
    <xf numFmtId="0" fontId="37" fillId="0" borderId="0" xfId="0" applyFont="1" applyAlignment="1">
      <alignment horizontal="left" vertical="top" wrapText="1"/>
    </xf>
    <xf numFmtId="4" fontId="37" fillId="0" borderId="0" xfId="0" applyNumberFormat="1" applyFont="1" applyAlignment="1">
      <alignment horizontal="left" vertical="top" wrapText="1"/>
    </xf>
    <xf numFmtId="0" fontId="26" fillId="0" borderId="4" xfId="0" applyFont="1" applyBorder="1" applyAlignment="1">
      <alignment horizontal="left" vertical="top"/>
    </xf>
    <xf numFmtId="4" fontId="19" fillId="0" borderId="0" xfId="0" applyNumberFormat="1" applyFont="1" applyAlignment="1">
      <alignment horizontal="left" vertical="top" wrapText="1"/>
    </xf>
    <xf numFmtId="0" fontId="19" fillId="0" borderId="27" xfId="569" applyBorder="1" applyAlignment="1">
      <alignment horizontal="left"/>
    </xf>
    <xf numFmtId="0" fontId="26" fillId="0" borderId="16" xfId="569" applyFont="1" applyBorder="1" applyAlignment="1">
      <alignment horizontal="left"/>
    </xf>
    <xf numFmtId="4" fontId="37" fillId="0" borderId="0" xfId="569" applyNumberFormat="1" applyFont="1" applyAlignment="1">
      <alignment horizontal="left" vertical="top" wrapText="1"/>
    </xf>
    <xf numFmtId="0" fontId="37" fillId="0" borderId="0" xfId="0" applyFont="1" applyAlignment="1">
      <alignment horizontal="left"/>
    </xf>
    <xf numFmtId="0" fontId="19" fillId="0" borderId="0" xfId="0" quotePrefix="1" applyFont="1" applyAlignment="1">
      <alignment horizontal="left" vertical="top"/>
    </xf>
    <xf numFmtId="0" fontId="19" fillId="0" borderId="0" xfId="0" quotePrefix="1" applyFont="1" applyAlignment="1">
      <alignment horizontal="left" vertical="top" wrapText="1"/>
    </xf>
    <xf numFmtId="0" fontId="20" fillId="0" borderId="0" xfId="244" quotePrefix="1" applyAlignment="1" applyProtection="1">
      <alignment horizontal="left"/>
    </xf>
    <xf numFmtId="4" fontId="37" fillId="0" borderId="0" xfId="0" applyNumberFormat="1" applyFont="1" applyAlignment="1">
      <alignment horizontal="left"/>
    </xf>
    <xf numFmtId="0" fontId="26" fillId="0" borderId="0" xfId="1192" applyFont="1" applyAlignment="1">
      <alignment horizontal="left" vertical="top" wrapText="1"/>
    </xf>
    <xf numFmtId="0" fontId="19" fillId="0" borderId="0" xfId="0" applyFont="1" applyAlignment="1">
      <alignment horizontal="left" vertical="center" wrapText="1"/>
    </xf>
    <xf numFmtId="0" fontId="19" fillId="0" borderId="0" xfId="0" applyFont="1" applyAlignment="1">
      <alignment vertical="top" wrapText="1"/>
    </xf>
    <xf numFmtId="0" fontId="20" fillId="0" borderId="0" xfId="244" applyFill="1" applyBorder="1" applyAlignment="1">
      <alignment horizontal="left" vertical="top" wrapText="1"/>
    </xf>
    <xf numFmtId="0" fontId="19" fillId="0" borderId="0" xfId="0" applyFont="1" applyAlignment="1">
      <alignment vertical="center" wrapText="1"/>
    </xf>
    <xf numFmtId="0" fontId="26" fillId="0" borderId="0" xfId="0" applyFont="1" applyAlignment="1">
      <alignment vertical="top" wrapText="1"/>
    </xf>
    <xf numFmtId="4" fontId="19" fillId="0" borderId="0" xfId="0" applyNumberFormat="1" applyFont="1" applyAlignment="1">
      <alignment horizontal="left"/>
    </xf>
    <xf numFmtId="0" fontId="37" fillId="0" borderId="0" xfId="569" applyFont="1" applyAlignment="1">
      <alignment horizontal="left" vertical="top"/>
    </xf>
    <xf numFmtId="0" fontId="37" fillId="0" borderId="0" xfId="0" applyFont="1" applyAlignment="1">
      <alignment horizontal="left" vertical="top"/>
    </xf>
    <xf numFmtId="0" fontId="28" fillId="45" borderId="3" xfId="0" applyFont="1" applyFill="1" applyBorder="1" applyAlignment="1">
      <alignment horizontal="center"/>
    </xf>
    <xf numFmtId="0" fontId="28" fillId="45" borderId="4" xfId="0" applyFont="1" applyFill="1" applyBorder="1" applyAlignment="1">
      <alignment horizontal="center"/>
    </xf>
    <xf numFmtId="0" fontId="28" fillId="45" borderId="5" xfId="0" applyFont="1" applyFill="1" applyBorder="1" applyAlignment="1">
      <alignment horizontal="center"/>
    </xf>
    <xf numFmtId="0" fontId="28" fillId="0" borderId="3" xfId="0" applyFont="1" applyBorder="1" applyAlignment="1">
      <alignment horizontal="center"/>
    </xf>
    <xf numFmtId="0" fontId="28" fillId="0" borderId="4" xfId="0" applyFont="1" applyBorder="1" applyAlignment="1">
      <alignment horizontal="center"/>
    </xf>
    <xf numFmtId="0" fontId="28"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8" fillId="45" borderId="11" xfId="0" applyFont="1" applyFill="1" applyBorder="1" applyAlignment="1">
      <alignment horizontal="center"/>
    </xf>
    <xf numFmtId="168" fontId="185" fillId="0" borderId="105" xfId="543" applyNumberFormat="1" applyFont="1" applyBorder="1" applyAlignment="1">
      <alignment horizontal="right" vertical="center" wrapText="1"/>
    </xf>
    <xf numFmtId="175" fontId="185" fillId="0" borderId="107" xfId="543" applyNumberFormat="1" applyFont="1" applyBorder="1" applyAlignment="1">
      <alignment horizontal="center" vertical="center" wrapText="1"/>
    </xf>
    <xf numFmtId="175" fontId="185" fillId="0" borderId="108" xfId="543" applyNumberFormat="1" applyFont="1" applyBorder="1" applyAlignment="1">
      <alignment horizontal="center" vertical="center" wrapText="1"/>
    </xf>
    <xf numFmtId="175" fontId="185" fillId="0" borderId="109" xfId="543" applyNumberFormat="1" applyFont="1" applyBorder="1" applyAlignment="1">
      <alignment horizontal="center" vertical="center" wrapText="1"/>
    </xf>
    <xf numFmtId="0" fontId="184"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2" fillId="0" borderId="3" xfId="0" applyFont="1" applyBorder="1" applyAlignment="1">
      <alignment horizontal="center"/>
    </xf>
    <xf numFmtId="0" fontId="42" fillId="0" borderId="4" xfId="0" applyFont="1" applyBorder="1" applyAlignment="1">
      <alignment horizontal="center"/>
    </xf>
    <xf numFmtId="0" fontId="42" fillId="0" borderId="5" xfId="0" applyFont="1" applyBorder="1" applyAlignment="1">
      <alignment horizontal="center"/>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28" fillId="5" borderId="3" xfId="0" applyFont="1" applyFill="1" applyBorder="1" applyAlignment="1" applyProtection="1">
      <alignment horizontal="center"/>
      <protection locked="0"/>
    </xf>
    <xf numFmtId="0" fontId="28" fillId="5" borderId="4" xfId="0" applyFont="1" applyFill="1" applyBorder="1" applyAlignment="1" applyProtection="1">
      <alignment horizontal="center"/>
      <protection locked="0"/>
    </xf>
    <xf numFmtId="0" fontId="28" fillId="5" borderId="5" xfId="0" applyFont="1" applyFill="1" applyBorder="1" applyAlignment="1" applyProtection="1">
      <alignment horizontal="center"/>
      <protection locked="0"/>
    </xf>
    <xf numFmtId="0" fontId="19" fillId="0" borderId="11" xfId="0" applyFont="1" applyBorder="1" applyAlignment="1">
      <alignment horizontal="center"/>
    </xf>
    <xf numFmtId="0" fontId="28" fillId="2" borderId="11" xfId="0" applyFont="1" applyFill="1" applyBorder="1" applyAlignment="1">
      <alignment horizontal="center"/>
    </xf>
    <xf numFmtId="0" fontId="0" fillId="0" borderId="11" xfId="0" applyBorder="1" applyAlignment="1">
      <alignment horizontal="center"/>
    </xf>
    <xf numFmtId="0" fontId="0" fillId="5" borderId="4" xfId="0" applyFill="1" applyBorder="1" applyAlignment="1" applyProtection="1">
      <alignment horizontal="left"/>
      <protection locked="0"/>
    </xf>
    <xf numFmtId="0" fontId="28" fillId="5" borderId="4" xfId="0" applyFont="1" applyFill="1" applyBorder="1" applyAlignment="1" applyProtection="1">
      <alignment horizontal="left"/>
      <protection locked="0"/>
    </xf>
    <xf numFmtId="0" fontId="0" fillId="0" borderId="6" xfId="0" applyBorder="1" applyAlignment="1">
      <alignment horizontal="left"/>
    </xf>
    <xf numFmtId="0" fontId="19" fillId="0" borderId="1" xfId="0" applyFont="1" applyBorder="1" applyAlignment="1">
      <alignment horizontal="center" vertical="top" wrapText="1"/>
    </xf>
    <xf numFmtId="0" fontId="28" fillId="0" borderId="2" xfId="0" applyFont="1" applyBorder="1" applyAlignment="1">
      <alignment horizontal="center" vertical="top" wrapText="1"/>
    </xf>
    <xf numFmtId="0" fontId="28" fillId="0" borderId="7" xfId="0" applyFont="1" applyBorder="1" applyAlignment="1">
      <alignment horizontal="center" vertical="top" wrapText="1"/>
    </xf>
    <xf numFmtId="0" fontId="28" fillId="0" borderId="8" xfId="0" applyFont="1" applyBorder="1" applyAlignment="1">
      <alignment horizontal="center" vertical="top" wrapText="1"/>
    </xf>
    <xf numFmtId="0" fontId="28" fillId="0" borderId="0" xfId="0" applyFont="1" applyAlignment="1">
      <alignment horizontal="center" vertical="top" wrapText="1"/>
    </xf>
    <xf numFmtId="0" fontId="28" fillId="0" borderId="12" xfId="0" applyFont="1" applyBorder="1" applyAlignment="1">
      <alignment horizontal="center" vertical="top" wrapText="1"/>
    </xf>
    <xf numFmtId="0" fontId="28" fillId="0" borderId="9" xfId="0" applyFont="1" applyBorder="1" applyAlignment="1">
      <alignment horizontal="center" vertical="top" wrapText="1"/>
    </xf>
    <xf numFmtId="0" fontId="28" fillId="0" borderId="6" xfId="0" applyFont="1" applyBorder="1" applyAlignment="1">
      <alignment horizontal="center" vertical="top" wrapText="1"/>
    </xf>
    <xf numFmtId="0" fontId="28"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9" fillId="43" borderId="3" xfId="0" applyNumberFormat="1" applyFont="1" applyFill="1" applyBorder="1" applyAlignment="1" applyProtection="1">
      <alignment horizontal="center"/>
      <protection locked="0"/>
    </xf>
    <xf numFmtId="175" fontId="19" fillId="43" borderId="4" xfId="0" applyNumberFormat="1" applyFont="1" applyFill="1" applyBorder="1" applyAlignment="1" applyProtection="1">
      <alignment horizontal="center"/>
      <protection locked="0"/>
    </xf>
    <xf numFmtId="175" fontId="19" fillId="43" borderId="5" xfId="0" applyNumberFormat="1"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166" fontId="28" fillId="5" borderId="4" xfId="0" applyNumberFormat="1" applyFont="1" applyFill="1" applyBorder="1" applyAlignment="1" applyProtection="1">
      <alignment horizontal="left"/>
      <protection locked="0"/>
    </xf>
    <xf numFmtId="165" fontId="28" fillId="0" borderId="1" xfId="0" applyNumberFormat="1" applyFont="1" applyBorder="1" applyAlignment="1">
      <alignment horizontal="right"/>
    </xf>
    <xf numFmtId="165" fontId="28" fillId="0" borderId="2" xfId="0" applyNumberFormat="1" applyFont="1" applyBorder="1" applyAlignment="1">
      <alignment horizontal="right"/>
    </xf>
    <xf numFmtId="165" fontId="28" fillId="0" borderId="7" xfId="0" applyNumberFormat="1" applyFont="1" applyBorder="1" applyAlignment="1">
      <alignment horizontal="right"/>
    </xf>
    <xf numFmtId="10" fontId="28" fillId="0" borderId="11" xfId="0" applyNumberFormat="1" applyFont="1" applyBorder="1" applyAlignment="1">
      <alignment horizontal="center"/>
    </xf>
    <xf numFmtId="0" fontId="28" fillId="5" borderId="9" xfId="0" applyFont="1" applyFill="1" applyBorder="1" applyAlignment="1" applyProtection="1">
      <alignment horizontal="center"/>
      <protection locked="0"/>
    </xf>
    <xf numFmtId="0" fontId="28"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28" fillId="5" borderId="3" xfId="0" applyNumberFormat="1" applyFont="1" applyFill="1" applyBorder="1" applyAlignment="1" applyProtection="1">
      <alignment horizontal="right" vertical="top"/>
      <protection locked="0"/>
    </xf>
    <xf numFmtId="1" fontId="28" fillId="5" borderId="4" xfId="0" applyNumberFormat="1" applyFont="1" applyFill="1" applyBorder="1" applyAlignment="1" applyProtection="1">
      <alignment horizontal="right" vertical="top"/>
      <protection locked="0"/>
    </xf>
    <xf numFmtId="1" fontId="28" fillId="5" borderId="5" xfId="0" applyNumberFormat="1" applyFont="1" applyFill="1" applyBorder="1" applyAlignment="1" applyProtection="1">
      <alignment horizontal="right" vertical="top"/>
      <protection locked="0"/>
    </xf>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168" fontId="28" fillId="0" borderId="3" xfId="0" applyNumberFormat="1" applyFont="1" applyBorder="1" applyAlignment="1">
      <alignment horizontal="center"/>
    </xf>
    <xf numFmtId="168" fontId="28" fillId="0" borderId="4" xfId="0" applyNumberFormat="1" applyFont="1" applyBorder="1" applyAlignment="1">
      <alignment horizontal="center"/>
    </xf>
    <xf numFmtId="168" fontId="28" fillId="0" borderId="5" xfId="0" applyNumberFormat="1" applyFont="1" applyBorder="1" applyAlignment="1">
      <alignment horizontal="center"/>
    </xf>
    <xf numFmtId="168" fontId="19" fillId="0" borderId="3" xfId="0" applyNumberFormat="1" applyFont="1" applyBorder="1" applyAlignment="1">
      <alignment horizontal="left" vertical="top"/>
    </xf>
    <xf numFmtId="168" fontId="19" fillId="0" borderId="4" xfId="0" applyNumberFormat="1" applyFont="1" applyBorder="1" applyAlignment="1">
      <alignment horizontal="left" vertical="top"/>
    </xf>
    <xf numFmtId="168" fontId="19" fillId="0" borderId="5" xfId="0" applyNumberFormat="1" applyFont="1" applyBorder="1" applyAlignment="1">
      <alignment horizontal="left" vertical="top"/>
    </xf>
    <xf numFmtId="0" fontId="26" fillId="0" borderId="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0" xfId="0" applyFont="1" applyAlignment="1">
      <alignment horizontal="center" vertical="center" wrapText="1"/>
    </xf>
    <xf numFmtId="0" fontId="26" fillId="0" borderId="12" xfId="0" applyFont="1" applyBorder="1" applyAlignment="1">
      <alignment horizontal="center" vertical="center" wrapText="1"/>
    </xf>
    <xf numFmtId="0" fontId="26" fillId="0" borderId="9"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9"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6" fillId="0" borderId="3" xfId="0" applyFont="1" applyBorder="1" applyAlignment="1">
      <alignment horizontal="right"/>
    </xf>
    <xf numFmtId="0" fontId="26" fillId="0" borderId="4" xfId="0" applyFont="1" applyBorder="1" applyAlignment="1">
      <alignment horizontal="right"/>
    </xf>
    <xf numFmtId="0" fontId="26" fillId="0" borderId="6" xfId="0" applyFont="1" applyBorder="1" applyAlignment="1">
      <alignment horizontal="right"/>
    </xf>
    <xf numFmtId="0" fontId="26" fillId="0" borderId="5" xfId="0" applyFont="1" applyBorder="1" applyAlignment="1">
      <alignment horizontal="right"/>
    </xf>
    <xf numFmtId="180" fontId="27" fillId="43" borderId="3" xfId="0" applyNumberFormat="1" applyFont="1" applyFill="1" applyBorder="1" applyAlignment="1" applyProtection="1">
      <alignment horizontal="center" vertical="center"/>
      <protection locked="0"/>
    </xf>
    <xf numFmtId="180" fontId="27" fillId="43" borderId="4" xfId="0" applyNumberFormat="1" applyFont="1" applyFill="1" applyBorder="1" applyAlignment="1" applyProtection="1">
      <alignment horizontal="center" vertical="center"/>
      <protection locked="0"/>
    </xf>
    <xf numFmtId="180" fontId="27" fillId="43" borderId="5" xfId="0" applyNumberFormat="1" applyFont="1" applyFill="1" applyBorder="1" applyAlignment="1" applyProtection="1">
      <alignment horizontal="center" vertical="center"/>
      <protection locked="0"/>
    </xf>
    <xf numFmtId="0" fontId="26" fillId="0" borderId="6" xfId="0" applyFont="1" applyBorder="1" applyAlignment="1">
      <alignment horizontal="center"/>
    </xf>
    <xf numFmtId="0" fontId="26" fillId="0" borderId="10" xfId="0" applyFont="1" applyBorder="1" applyAlignment="1">
      <alignment horizontal="center"/>
    </xf>
    <xf numFmtId="3" fontId="28" fillId="0" borderId="11" xfId="0" applyNumberFormat="1" applyFont="1" applyBorder="1" applyAlignment="1">
      <alignment horizontal="center"/>
    </xf>
    <xf numFmtId="168" fontId="28" fillId="0" borderId="3" xfId="0" applyNumberFormat="1" applyFont="1" applyBorder="1" applyAlignment="1">
      <alignment horizontal="left" vertical="top"/>
    </xf>
    <xf numFmtId="168" fontId="28" fillId="0" borderId="4" xfId="0" applyNumberFormat="1" applyFont="1" applyBorder="1" applyAlignment="1">
      <alignment horizontal="left" vertical="top"/>
    </xf>
    <xf numFmtId="168" fontId="28" fillId="0" borderId="5" xfId="0" applyNumberFormat="1" applyFont="1" applyBorder="1" applyAlignment="1">
      <alignment horizontal="left" vertical="top"/>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9" fillId="5" borderId="11" xfId="0" applyFont="1" applyFill="1" applyBorder="1" applyAlignment="1" applyProtection="1">
      <alignment vertical="center" wrapText="1"/>
      <protection locked="0"/>
    </xf>
    <xf numFmtId="0" fontId="19" fillId="5" borderId="11" xfId="0" applyFont="1" applyFill="1" applyBorder="1" applyAlignment="1" applyProtection="1">
      <alignment horizontal="left" vertical="center" wrapText="1"/>
      <protection locked="0"/>
    </xf>
    <xf numFmtId="175" fontId="19" fillId="43" borderId="3" xfId="0" applyNumberFormat="1" applyFont="1" applyFill="1" applyBorder="1" applyAlignment="1" applyProtection="1">
      <alignment horizontal="center" vertical="center"/>
      <protection locked="0"/>
    </xf>
    <xf numFmtId="175" fontId="19" fillId="43" borderId="4" xfId="0" applyNumberFormat="1" applyFont="1" applyFill="1" applyBorder="1" applyAlignment="1" applyProtection="1">
      <alignment horizontal="center" vertical="center"/>
      <protection locked="0"/>
    </xf>
    <xf numFmtId="175" fontId="19" fillId="43" borderId="5" xfId="0" applyNumberFormat="1" applyFont="1" applyFill="1" applyBorder="1" applyAlignment="1" applyProtection="1">
      <alignment horizontal="center" vertical="center"/>
      <protection locked="0"/>
    </xf>
    <xf numFmtId="0" fontId="0" fillId="0" borderId="0" xfId="0" applyAlignment="1">
      <alignment horizontal="center"/>
    </xf>
    <xf numFmtId="0" fontId="0" fillId="0" borderId="12" xfId="0" applyBorder="1" applyAlignment="1">
      <alignment horizontal="center"/>
    </xf>
    <xf numFmtId="49" fontId="0" fillId="5" borderId="6" xfId="0" applyNumberFormat="1" applyFill="1" applyBorder="1" applyAlignment="1" applyProtection="1">
      <alignment horizontal="center"/>
      <protection locked="0"/>
    </xf>
    <xf numFmtId="0" fontId="28" fillId="5" borderId="4" xfId="0" applyFont="1" applyFill="1" applyBorder="1" applyAlignment="1" applyProtection="1">
      <alignment horizontal="right"/>
      <protection locked="0"/>
    </xf>
    <xf numFmtId="168" fontId="28" fillId="5" borderId="6" xfId="0" applyNumberFormat="1" applyFont="1" applyFill="1" applyBorder="1" applyAlignment="1" applyProtection="1">
      <alignment horizontal="right"/>
      <protection locked="0"/>
    </xf>
    <xf numFmtId="168" fontId="28" fillId="5" borderId="4" xfId="0" applyNumberFormat="1" applyFont="1" applyFill="1" applyBorder="1" applyAlignment="1" applyProtection="1">
      <alignment horizontal="right"/>
      <protection locked="0"/>
    </xf>
    <xf numFmtId="165" fontId="28" fillId="5" borderId="3" xfId="0" applyNumberFormat="1" applyFont="1" applyFill="1" applyBorder="1" applyAlignment="1" applyProtection="1">
      <alignment horizontal="center"/>
      <protection locked="0"/>
    </xf>
    <xf numFmtId="165" fontId="28" fillId="5" borderId="4" xfId="0" applyNumberFormat="1" applyFont="1" applyFill="1" applyBorder="1" applyAlignment="1" applyProtection="1">
      <alignment horizontal="center"/>
      <protection locked="0"/>
    </xf>
    <xf numFmtId="165" fontId="2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9"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28" fillId="0" borderId="11" xfId="0" applyNumberFormat="1" applyFont="1" applyBorder="1" applyAlignment="1">
      <alignment horizontal="center"/>
    </xf>
    <xf numFmtId="0" fontId="19"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9" fillId="43" borderId="3" xfId="0" applyNumberFormat="1" applyFont="1" applyFill="1" applyBorder="1" applyAlignment="1" applyProtection="1">
      <alignment horizontal="center" vertical="center"/>
      <protection locked="0"/>
    </xf>
    <xf numFmtId="168" fontId="19" fillId="43" borderId="4" xfId="0" applyNumberFormat="1" applyFont="1" applyFill="1" applyBorder="1" applyAlignment="1" applyProtection="1">
      <alignment horizontal="center" vertical="center"/>
      <protection locked="0"/>
    </xf>
    <xf numFmtId="168" fontId="19" fillId="43" borderId="5" xfId="0" applyNumberFormat="1" applyFont="1" applyFill="1" applyBorder="1" applyAlignment="1" applyProtection="1">
      <alignment horizontal="center" vertical="center"/>
      <protection locked="0"/>
    </xf>
    <xf numFmtId="168" fontId="28" fillId="5" borderId="3" xfId="0" applyNumberFormat="1" applyFont="1" applyFill="1" applyBorder="1" applyAlignment="1" applyProtection="1">
      <alignment horizontal="center"/>
      <protection locked="0"/>
    </xf>
    <xf numFmtId="168" fontId="28" fillId="5" borderId="4" xfId="0" applyNumberFormat="1" applyFont="1" applyFill="1" applyBorder="1" applyAlignment="1" applyProtection="1">
      <alignment horizontal="center"/>
      <protection locked="0"/>
    </xf>
    <xf numFmtId="168" fontId="28" fillId="5" borderId="5"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19" fillId="0" borderId="11" xfId="543" applyBorder="1" applyAlignment="1">
      <alignment horizontal="center"/>
    </xf>
    <xf numFmtId="3" fontId="28" fillId="5" borderId="11" xfId="0" applyNumberFormat="1" applyFont="1" applyFill="1" applyBorder="1" applyAlignment="1" applyProtection="1">
      <alignment horizontal="center"/>
      <protection locked="0"/>
    </xf>
    <xf numFmtId="10" fontId="28" fillId="5" borderId="4" xfId="0" applyNumberFormat="1" applyFont="1" applyFill="1" applyBorder="1" applyAlignment="1" applyProtection="1">
      <alignment horizontal="right"/>
      <protection locked="0"/>
    </xf>
    <xf numFmtId="0" fontId="27"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6" fillId="0" borderId="9" xfId="0" applyFont="1" applyBorder="1" applyAlignment="1">
      <alignment horizontal="center"/>
    </xf>
    <xf numFmtId="0" fontId="0" fillId="5" borderId="3" xfId="0" applyFill="1" applyBorder="1" applyAlignment="1" applyProtection="1">
      <alignment horizontal="left"/>
      <protection locked="0"/>
    </xf>
    <xf numFmtId="0" fontId="38" fillId="5" borderId="6" xfId="0" applyFont="1" applyFill="1" applyBorder="1" applyAlignment="1" applyProtection="1">
      <alignment horizontal="left"/>
      <protection locked="0"/>
    </xf>
    <xf numFmtId="0" fontId="28" fillId="5" borderId="11" xfId="0" applyFont="1" applyFill="1" applyBorder="1" applyAlignment="1" applyProtection="1">
      <alignment horizontal="center"/>
      <protection locked="0"/>
    </xf>
    <xf numFmtId="0" fontId="19" fillId="0" borderId="3" xfId="0" applyFont="1" applyBorder="1" applyAlignment="1">
      <alignment horizontal="left"/>
    </xf>
    <xf numFmtId="0" fontId="19" fillId="0" borderId="4" xfId="0" applyFont="1" applyBorder="1" applyAlignment="1">
      <alignment horizontal="left"/>
    </xf>
    <xf numFmtId="0" fontId="19"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9" fillId="5" borderId="4" xfId="0" applyFon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9"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28" fillId="5" borderId="11" xfId="0" quotePrefix="1" applyNumberFormat="1" applyFont="1" applyFill="1" applyBorder="1" applyAlignment="1" applyProtection="1">
      <alignment horizontal="center"/>
      <protection locked="0"/>
    </xf>
    <xf numFmtId="1" fontId="28" fillId="5" borderId="11" xfId="0"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28" fillId="5" borderId="4" xfId="0" applyNumberFormat="1" applyFont="1" applyFill="1" applyBorder="1" applyAlignment="1" applyProtection="1">
      <alignment horizontal="right"/>
      <protection locked="0"/>
    </xf>
    <xf numFmtId="0" fontId="28" fillId="5" borderId="6" xfId="0"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28" fillId="5" borderId="0" xfId="0" applyFont="1" applyFill="1" applyAlignment="1" applyProtection="1">
      <alignment horizontal="left" vertical="top" wrapText="1"/>
      <protection locked="0"/>
    </xf>
    <xf numFmtId="0" fontId="28"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9" fillId="5" borderId="4" xfId="0" applyFont="1" applyFill="1" applyBorder="1" applyAlignment="1" applyProtection="1">
      <alignment horizontal="left"/>
      <protection locked="0"/>
    </xf>
    <xf numFmtId="9" fontId="27" fillId="0" borderId="3" xfId="4494" applyFont="1" applyBorder="1" applyAlignment="1" applyProtection="1">
      <alignment horizontal="center"/>
    </xf>
    <xf numFmtId="9" fontId="27" fillId="0" borderId="5" xfId="4494" applyFont="1" applyBorder="1" applyAlignment="1" applyProtection="1">
      <alignment horizontal="center"/>
    </xf>
    <xf numFmtId="0" fontId="28" fillId="5" borderId="6" xfId="0" applyFont="1" applyFill="1" applyBorder="1" applyAlignment="1" applyProtection="1">
      <alignment horizontal="left" wrapText="1"/>
      <protection locked="0"/>
    </xf>
    <xf numFmtId="0" fontId="19" fillId="5" borderId="6" xfId="244" applyFont="1" applyFill="1" applyBorder="1" applyAlignment="1" applyProtection="1">
      <alignment horizontal="left"/>
      <protection locked="0"/>
    </xf>
    <xf numFmtId="0" fontId="0" fillId="5" borderId="6" xfId="0" applyFill="1" applyBorder="1" applyProtection="1">
      <protection locked="0"/>
    </xf>
    <xf numFmtId="0" fontId="28" fillId="0" borderId="4" xfId="0" applyFont="1" applyBorder="1" applyAlignment="1" applyProtection="1">
      <alignment horizontal="left"/>
      <protection locked="0"/>
    </xf>
    <xf numFmtId="0" fontId="19" fillId="43" borderId="6" xfId="0" applyFont="1" applyFill="1" applyBorder="1" applyAlignment="1" applyProtection="1">
      <alignment vertical="center"/>
      <protection locked="0"/>
    </xf>
    <xf numFmtId="0" fontId="25" fillId="3" borderId="0" xfId="0" applyFont="1" applyFill="1" applyAlignment="1">
      <alignment horizontal="center" vertical="center"/>
    </xf>
    <xf numFmtId="0" fontId="19" fillId="0" borderId="0" xfId="0" applyFont="1" applyAlignment="1">
      <alignment wrapText="1"/>
    </xf>
    <xf numFmtId="0" fontId="28" fillId="43" borderId="6" xfId="0" applyFont="1" applyFill="1" applyBorder="1" applyAlignment="1" applyProtection="1">
      <alignment horizontal="left"/>
      <protection locked="0"/>
    </xf>
    <xf numFmtId="0" fontId="19" fillId="0" borderId="6" xfId="0" applyFont="1" applyBorder="1" applyAlignment="1">
      <alignment horizontal="left"/>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9" fillId="5" borderId="0" xfId="244" applyFont="1" applyFill="1" applyBorder="1" applyAlignment="1" applyProtection="1">
      <alignment horizontal="left"/>
      <protection locked="0"/>
    </xf>
    <xf numFmtId="0" fontId="0" fillId="0" borderId="0" xfId="0" applyAlignment="1">
      <alignment wrapText="1"/>
    </xf>
    <xf numFmtId="0" fontId="28" fillId="0" borderId="0" xfId="0" applyFont="1" applyAlignment="1">
      <alignment horizontal="left" vertical="top" wrapText="1"/>
    </xf>
    <xf numFmtId="0" fontId="27" fillId="43" borderId="6" xfId="0" applyFont="1" applyFill="1" applyBorder="1" applyAlignment="1" applyProtection="1">
      <alignment horizontal="left"/>
      <protection locked="0"/>
    </xf>
    <xf numFmtId="0" fontId="154" fillId="0" borderId="0" xfId="0" applyFont="1" applyAlignment="1" applyProtection="1">
      <alignment horizontal="left" vertical="top" wrapText="1"/>
      <protection locked="0"/>
    </xf>
    <xf numFmtId="0" fontId="19" fillId="0" borderId="6" xfId="0" applyFont="1" applyBorder="1" applyAlignment="1" applyProtection="1">
      <alignment horizontal="center"/>
      <protection locked="0"/>
    </xf>
    <xf numFmtId="0" fontId="19" fillId="0" borderId="6" xfId="0" applyFont="1" applyBorder="1" applyAlignment="1" applyProtection="1">
      <alignment horizontal="left"/>
      <protection locked="0"/>
    </xf>
    <xf numFmtId="0" fontId="20" fillId="0" borderId="0" xfId="244" applyFill="1" applyAlignment="1" applyProtection="1">
      <alignment horizontal="left"/>
      <protection locked="0"/>
    </xf>
    <xf numFmtId="168" fontId="19"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19"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9"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8"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9" fillId="5" borderId="6" xfId="271" applyNumberFormat="1" applyFont="1" applyFill="1" applyBorder="1" applyAlignment="1" applyProtection="1">
      <alignment horizontal="left"/>
      <protection locked="0"/>
    </xf>
    <xf numFmtId="166" fontId="28" fillId="5" borderId="6" xfId="271" applyNumberFormat="1" applyFill="1" applyBorder="1" applyAlignment="1" applyProtection="1">
      <alignment horizontal="left"/>
      <protection locked="0"/>
    </xf>
    <xf numFmtId="0" fontId="19" fillId="0" borderId="0" xfId="0" applyFont="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9" fillId="5" borderId="6" xfId="0" applyFont="1" applyFill="1" applyBorder="1" applyAlignment="1" applyProtection="1">
      <alignment horizontal="left" wrapText="1"/>
      <protection locked="0"/>
    </xf>
    <xf numFmtId="0" fontId="28" fillId="0" borderId="6" xfId="0" applyFont="1" applyBorder="1" applyAlignment="1">
      <alignment horizontal="left"/>
    </xf>
    <xf numFmtId="166" fontId="28" fillId="5" borderId="6" xfId="0" applyNumberFormat="1" applyFont="1" applyFill="1" applyBorder="1" applyAlignment="1" applyProtection="1">
      <alignment horizontal="left"/>
      <protection locked="0"/>
    </xf>
    <xf numFmtId="166" fontId="28"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9" fillId="0" borderId="3" xfId="271" applyFont="1" applyBorder="1" applyAlignment="1">
      <alignment horizontal="left"/>
    </xf>
    <xf numFmtId="0" fontId="19" fillId="0" borderId="4" xfId="271" applyFont="1" applyBorder="1" applyAlignment="1">
      <alignment horizontal="left"/>
    </xf>
    <xf numFmtId="0" fontId="19" fillId="0" borderId="5" xfId="271" applyFont="1" applyBorder="1" applyAlignment="1">
      <alignment horizontal="left"/>
    </xf>
    <xf numFmtId="1" fontId="28" fillId="5" borderId="6" xfId="0" applyNumberFormat="1" applyFont="1" applyFill="1" applyBorder="1" applyAlignment="1" applyProtection="1">
      <alignment horizontal="right"/>
      <protection locked="0"/>
    </xf>
    <xf numFmtId="168" fontId="55" fillId="0" borderId="2" xfId="0" applyNumberFormat="1" applyFont="1" applyBorder="1" applyAlignment="1">
      <alignment horizontal="left" vertical="top" wrapText="1"/>
    </xf>
    <xf numFmtId="168" fontId="55"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28"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9" fillId="5" borderId="11" xfId="0" applyFont="1" applyFill="1" applyBorder="1" applyAlignment="1" applyProtection="1">
      <alignment horizontal="left" wrapText="1"/>
      <protection locked="0"/>
    </xf>
    <xf numFmtId="1" fontId="28" fillId="5" borderId="3" xfId="0" applyNumberFormat="1" applyFont="1" applyFill="1" applyBorder="1" applyAlignment="1" applyProtection="1">
      <alignment horizontal="center"/>
      <protection locked="0"/>
    </xf>
    <xf numFmtId="1" fontId="28" fillId="5" borderId="4" xfId="0" applyNumberFormat="1" applyFont="1" applyFill="1" applyBorder="1" applyAlignment="1" applyProtection="1">
      <alignment horizontal="center"/>
      <protection locked="0"/>
    </xf>
    <xf numFmtId="1" fontId="28" fillId="5" borderId="5" xfId="0" applyNumberFormat="1" applyFont="1" applyFill="1" applyBorder="1" applyAlignment="1" applyProtection="1">
      <alignment horizontal="center"/>
      <protection locked="0"/>
    </xf>
    <xf numFmtId="0" fontId="28"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8" fillId="5" borderId="3" xfId="0" applyNumberFormat="1" applyFont="1" applyFill="1" applyBorder="1" applyAlignment="1" applyProtection="1">
      <alignment horizontal="center"/>
      <protection locked="0"/>
    </xf>
    <xf numFmtId="9" fontId="28" fillId="5" borderId="4" xfId="0" applyNumberFormat="1" applyFont="1" applyFill="1" applyBorder="1" applyAlignment="1" applyProtection="1">
      <alignment horizontal="center"/>
      <protection locked="0"/>
    </xf>
    <xf numFmtId="9" fontId="28"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28" fillId="0" borderId="1" xfId="0" applyFont="1" applyBorder="1" applyAlignment="1">
      <alignment horizontal="center" vertical="top" wrapText="1"/>
    </xf>
    <xf numFmtId="0" fontId="19"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6" fillId="5" borderId="11" xfId="0" applyFont="1" applyFill="1" applyBorder="1" applyAlignment="1" applyProtection="1">
      <alignment horizontal="center"/>
      <protection locked="0"/>
    </xf>
    <xf numFmtId="165" fontId="26" fillId="0" borderId="3" xfId="271" applyNumberFormat="1" applyFont="1" applyBorder="1" applyAlignment="1">
      <alignment horizontal="center"/>
    </xf>
    <xf numFmtId="165" fontId="26" fillId="0" borderId="4" xfId="271" applyNumberFormat="1" applyFont="1" applyBorder="1" applyAlignment="1">
      <alignment horizontal="center"/>
    </xf>
    <xf numFmtId="165" fontId="26" fillId="0" borderId="5" xfId="271" applyNumberFormat="1" applyFont="1" applyBorder="1" applyAlignment="1">
      <alignment horizontal="center"/>
    </xf>
    <xf numFmtId="0" fontId="28" fillId="0" borderId="11" xfId="0" applyFont="1" applyBorder="1" applyAlignment="1">
      <alignment horizontal="center"/>
    </xf>
    <xf numFmtId="0" fontId="28"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6" fillId="0" borderId="11" xfId="0" applyFont="1" applyBorder="1" applyAlignment="1">
      <alignment horizontal="center"/>
    </xf>
    <xf numFmtId="0" fontId="26" fillId="0" borderId="0" xfId="0" applyFont="1" applyAlignment="1">
      <alignment horizontal="center" vertical="center"/>
    </xf>
    <xf numFmtId="0" fontId="0" fillId="0" borderId="9" xfId="0" applyBorder="1" applyAlignment="1">
      <alignment horizontal="left"/>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8" fillId="0" borderId="3" xfId="0" applyFont="1" applyBorder="1" applyAlignment="1">
      <alignment horizontal="left"/>
    </xf>
    <xf numFmtId="164" fontId="27" fillId="5" borderId="3" xfId="0" applyNumberFormat="1" applyFont="1" applyFill="1" applyBorder="1" applyAlignment="1" applyProtection="1">
      <alignment horizontal="left"/>
      <protection locked="0"/>
    </xf>
    <xf numFmtId="164" fontId="27" fillId="5" borderId="4" xfId="0" applyNumberFormat="1" applyFont="1" applyFill="1" applyBorder="1" applyAlignment="1" applyProtection="1">
      <alignment horizontal="left"/>
      <protection locked="0"/>
    </xf>
    <xf numFmtId="2" fontId="19" fillId="0" borderId="0" xfId="543" applyNumberFormat="1" applyAlignment="1">
      <alignment horizontal="center"/>
    </xf>
    <xf numFmtId="0" fontId="19" fillId="0" borderId="0" xfId="543" applyAlignment="1">
      <alignment horizontal="center"/>
    </xf>
    <xf numFmtId="171" fontId="19" fillId="0" borderId="0" xfId="543" applyNumberFormat="1" applyAlignment="1">
      <alignment horizontal="center"/>
    </xf>
    <xf numFmtId="171" fontId="19" fillId="0" borderId="0" xfId="543" applyNumberFormat="1" applyAlignment="1">
      <alignment horizontal="right"/>
    </xf>
    <xf numFmtId="0" fontId="26" fillId="0" borderId="2" xfId="0" applyFont="1" applyBorder="1" applyAlignment="1">
      <alignment horizontal="right"/>
    </xf>
    <xf numFmtId="0" fontId="26" fillId="0" borderId="7" xfId="0" applyFont="1" applyBorder="1" applyAlignment="1">
      <alignment horizontal="right"/>
    </xf>
    <xf numFmtId="9" fontId="19" fillId="0" borderId="0" xfId="543" applyNumberFormat="1" applyAlignment="1">
      <alignment horizontal="center" vertical="center"/>
    </xf>
    <xf numFmtId="164" fontId="27"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9" fillId="5" borderId="10" xfId="0" applyNumberFormat="1" applyFont="1" applyFill="1" applyBorder="1" applyAlignment="1" applyProtection="1">
      <alignment horizontal="right"/>
      <protection locked="0"/>
    </xf>
    <xf numFmtId="168" fontId="19"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19" fillId="5" borderId="3" xfId="0" applyNumberFormat="1" applyFont="1" applyFill="1" applyBorder="1" applyAlignment="1" applyProtection="1">
      <alignment horizontal="center"/>
      <protection locked="0"/>
    </xf>
    <xf numFmtId="0" fontId="19" fillId="5" borderId="3" xfId="0" applyFont="1" applyFill="1" applyBorder="1" applyProtection="1">
      <protection locked="0"/>
    </xf>
    <xf numFmtId="0" fontId="28" fillId="0" borderId="4" xfId="0" applyFont="1" applyBorder="1" applyProtection="1">
      <protection locked="0"/>
    </xf>
    <xf numFmtId="0" fontId="28"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57"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35" fillId="0" borderId="1"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7"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0" xfId="0" applyFont="1" applyAlignment="1">
      <alignment horizontal="center" vertical="center" wrapText="1"/>
    </xf>
    <xf numFmtId="0" fontId="35" fillId="0" borderId="12"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6" xfId="0" applyFont="1" applyBorder="1" applyAlignment="1">
      <alignment horizontal="center" vertical="center" wrapText="1"/>
    </xf>
    <xf numFmtId="0" fontId="35" fillId="0" borderId="10" xfId="0" applyFont="1" applyBorder="1" applyAlignment="1">
      <alignment horizontal="center" vertical="center" wrapText="1"/>
    </xf>
    <xf numFmtId="0" fontId="19" fillId="5" borderId="4" xfId="0" applyFont="1" applyFill="1" applyBorder="1" applyAlignment="1" applyProtection="1">
      <alignment wrapText="1"/>
      <protection locked="0"/>
    </xf>
    <xf numFmtId="0" fontId="26" fillId="0" borderId="11" xfId="0" applyFont="1" applyBorder="1" applyAlignment="1">
      <alignment horizontal="center" vertical="center" wrapText="1"/>
    </xf>
    <xf numFmtId="172" fontId="26" fillId="0" borderId="11" xfId="0" applyNumberFormat="1" applyFont="1" applyBorder="1" applyAlignment="1">
      <alignment horizontal="center" vertical="center" wrapText="1"/>
    </xf>
    <xf numFmtId="0" fontId="26" fillId="0" borderId="9" xfId="0" applyFont="1" applyBorder="1" applyAlignment="1">
      <alignment horizontal="right"/>
    </xf>
    <xf numFmtId="0" fontId="26" fillId="0" borderId="10" xfId="0" applyFont="1" applyBorder="1" applyAlignment="1">
      <alignment horizontal="right"/>
    </xf>
    <xf numFmtId="0" fontId="19" fillId="0" borderId="3" xfId="543" applyBorder="1" applyAlignment="1">
      <alignment horizontal="center"/>
    </xf>
    <xf numFmtId="0" fontId="19" fillId="0" borderId="4" xfId="543" applyBorder="1" applyAlignment="1">
      <alignment horizontal="center"/>
    </xf>
    <xf numFmtId="0" fontId="19" fillId="0" borderId="5" xfId="543" applyBorder="1" applyAlignment="1">
      <alignment horizontal="center"/>
    </xf>
    <xf numFmtId="0" fontId="38" fillId="5" borderId="3" xfId="543" applyFont="1" applyFill="1" applyBorder="1" applyAlignment="1">
      <alignment horizontal="center"/>
    </xf>
    <xf numFmtId="0" fontId="38" fillId="5" borderId="4" xfId="543" applyFont="1" applyFill="1" applyBorder="1" applyAlignment="1">
      <alignment horizontal="center"/>
    </xf>
    <xf numFmtId="0" fontId="38" fillId="5" borderId="5" xfId="543" applyFont="1" applyFill="1" applyBorder="1" applyAlignment="1">
      <alignment horizontal="center"/>
    </xf>
    <xf numFmtId="49" fontId="19" fillId="5" borderId="3" xfId="543" applyNumberFormat="1" applyFill="1" applyBorder="1" applyAlignment="1">
      <alignment horizontal="center"/>
    </xf>
    <xf numFmtId="49" fontId="19" fillId="5" borderId="5" xfId="543" applyNumberFormat="1" applyFill="1" applyBorder="1" applyAlignment="1">
      <alignment horizontal="center"/>
    </xf>
    <xf numFmtId="168" fontId="0" fillId="0" borderId="11" xfId="0" applyNumberFormat="1" applyBorder="1" applyAlignment="1">
      <alignment horizontal="center"/>
    </xf>
    <xf numFmtId="164" fontId="38" fillId="5" borderId="3" xfId="0" applyNumberFormat="1" applyFont="1" applyFill="1" applyBorder="1" applyAlignment="1" applyProtection="1">
      <alignment horizontal="left"/>
      <protection locked="0"/>
    </xf>
    <xf numFmtId="164" fontId="38" fillId="5" borderId="4" xfId="0" applyNumberFormat="1" applyFont="1" applyFill="1" applyBorder="1" applyAlignment="1" applyProtection="1">
      <alignment horizontal="left"/>
      <protection locked="0"/>
    </xf>
    <xf numFmtId="164" fontId="38" fillId="5" borderId="5" xfId="0" applyNumberFormat="1"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0" fontId="19" fillId="0" borderId="3" xfId="0" applyFont="1" applyBorder="1"/>
    <xf numFmtId="0" fontId="19" fillId="0" borderId="4" xfId="0" applyFont="1" applyBorder="1"/>
    <xf numFmtId="0" fontId="19" fillId="0" borderId="5" xfId="0" applyFont="1" applyBorder="1"/>
    <xf numFmtId="0" fontId="26" fillId="0" borderId="1" xfId="0" applyFont="1" applyBorder="1" applyAlignment="1">
      <alignment horizontal="center"/>
    </xf>
    <xf numFmtId="0" fontId="26" fillId="0" borderId="2" xfId="0" applyFont="1" applyBorder="1" applyAlignment="1">
      <alignment horizontal="center"/>
    </xf>
    <xf numFmtId="0" fontId="26" fillId="0" borderId="7" xfId="0" applyFont="1" applyBorder="1" applyAlignment="1">
      <alignment horizontal="center"/>
    </xf>
    <xf numFmtId="168" fontId="19" fillId="5" borderId="3"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68" fontId="19"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right"/>
      <protection locked="0"/>
    </xf>
    <xf numFmtId="0" fontId="26" fillId="5" borderId="4" xfId="0" applyFont="1" applyFill="1" applyBorder="1" applyAlignment="1" applyProtection="1">
      <alignment horizontal="right"/>
      <protection locked="0"/>
    </xf>
    <xf numFmtId="0" fontId="26" fillId="5" borderId="5" xfId="0" applyFont="1" applyFill="1" applyBorder="1" applyAlignment="1" applyProtection="1">
      <alignment horizontal="right"/>
      <protection locked="0"/>
    </xf>
    <xf numFmtId="0" fontId="26" fillId="0" borderId="2" xfId="0" applyFont="1" applyBorder="1" applyAlignment="1">
      <alignment horizontal="center" wrapText="1"/>
    </xf>
    <xf numFmtId="0" fontId="26" fillId="0" borderId="7" xfId="0" applyFont="1" applyBorder="1" applyAlignment="1">
      <alignment horizontal="center" wrapText="1"/>
    </xf>
    <xf numFmtId="0" fontId="26" fillId="0" borderId="6" xfId="0" applyFont="1" applyBorder="1" applyAlignment="1">
      <alignment horizontal="center" wrapText="1"/>
    </xf>
    <xf numFmtId="0" fontId="26" fillId="0" borderId="10" xfId="0" applyFont="1" applyBorder="1" applyAlignment="1">
      <alignment horizontal="center" wrapText="1"/>
    </xf>
    <xf numFmtId="168" fontId="19" fillId="10" borderId="3" xfId="543" applyNumberFormat="1" applyFill="1" applyBorder="1" applyAlignment="1">
      <alignment horizontal="center"/>
    </xf>
    <xf numFmtId="168" fontId="19" fillId="10" borderId="4" xfId="543" applyNumberFormat="1" applyFill="1" applyBorder="1" applyAlignment="1">
      <alignment horizontal="center"/>
    </xf>
    <xf numFmtId="168" fontId="19" fillId="10" borderId="5" xfId="543" applyNumberFormat="1" applyFill="1" applyBorder="1" applyAlignment="1">
      <alignment horizontal="center"/>
    </xf>
    <xf numFmtId="9" fontId="19"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9" fillId="5" borderId="3" xfId="0" applyNumberFormat="1" applyFont="1" applyFill="1" applyBorder="1" applyAlignment="1" applyProtection="1">
      <alignment horizontal="left"/>
      <protection locked="0"/>
    </xf>
    <xf numFmtId="168" fontId="19" fillId="5" borderId="4" xfId="0" applyNumberFormat="1" applyFont="1" applyFill="1" applyBorder="1" applyAlignment="1" applyProtection="1">
      <alignment horizontal="left"/>
      <protection locked="0"/>
    </xf>
    <xf numFmtId="168" fontId="19" fillId="5" borderId="5" xfId="0" applyNumberFormat="1" applyFont="1" applyFill="1" applyBorder="1" applyAlignment="1" applyProtection="1">
      <alignment horizontal="left"/>
      <protection locked="0"/>
    </xf>
    <xf numFmtId="1" fontId="19" fillId="0" borderId="3" xfId="0" applyNumberFormat="1" applyFont="1" applyBorder="1" applyAlignment="1">
      <alignment horizontal="center"/>
    </xf>
    <xf numFmtId="1" fontId="28" fillId="0" borderId="4" xfId="0" applyNumberFormat="1" applyFont="1" applyBorder="1" applyAlignment="1">
      <alignment horizontal="center"/>
    </xf>
    <xf numFmtId="1" fontId="28" fillId="0" borderId="5" xfId="0" applyNumberFormat="1" applyFont="1" applyBorder="1" applyAlignment="1">
      <alignment horizontal="center"/>
    </xf>
    <xf numFmtId="0" fontId="28"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9" fillId="5" borderId="5" xfId="0" applyFont="1" applyFill="1" applyBorder="1" applyAlignment="1" applyProtection="1">
      <alignment horizontal="left"/>
      <protection locked="0"/>
    </xf>
    <xf numFmtId="0" fontId="26" fillId="0" borderId="8" xfId="543" applyFont="1" applyBorder="1" applyAlignment="1">
      <alignment horizontal="left" vertical="center" wrapText="1"/>
    </xf>
    <xf numFmtId="0" fontId="26" fillId="0" borderId="0" xfId="543" applyFont="1" applyAlignment="1">
      <alignment horizontal="left" vertical="center" wrapText="1"/>
    </xf>
    <xf numFmtId="0" fontId="26"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6" fillId="0" borderId="8" xfId="0" applyFont="1" applyBorder="1" applyAlignment="1">
      <alignment horizontal="center" wrapText="1"/>
    </xf>
    <xf numFmtId="0" fontId="26" fillId="0" borderId="0" xfId="0" applyFont="1" applyAlignment="1">
      <alignment horizontal="center" wrapText="1"/>
    </xf>
    <xf numFmtId="0" fontId="26" fillId="0" borderId="12" xfId="0" applyFont="1" applyBorder="1" applyAlignment="1">
      <alignment horizontal="center" wrapText="1"/>
    </xf>
    <xf numFmtId="0" fontId="26" fillId="0" borderId="9" xfId="0" applyFont="1" applyBorder="1" applyAlignment="1">
      <alignment horizontal="center" wrapText="1"/>
    </xf>
    <xf numFmtId="1" fontId="19" fillId="0" borderId="3" xfId="543" applyNumberFormat="1" applyBorder="1" applyAlignment="1">
      <alignment horizontal="center"/>
    </xf>
    <xf numFmtId="1" fontId="19" fillId="0" borderId="4" xfId="543" applyNumberFormat="1" applyBorder="1" applyAlignment="1">
      <alignment horizontal="center"/>
    </xf>
    <xf numFmtId="1" fontId="19" fillId="0" borderId="5" xfId="543" applyNumberFormat="1" applyBorder="1" applyAlignment="1">
      <alignment horizontal="center"/>
    </xf>
    <xf numFmtId="168" fontId="19" fillId="0" borderId="11" xfId="543" applyNumberFormat="1" applyBorder="1" applyAlignment="1">
      <alignment horizontal="center"/>
    </xf>
    <xf numFmtId="0" fontId="55" fillId="5" borderId="3" xfId="0" applyFont="1" applyFill="1" applyBorder="1" applyAlignment="1" applyProtection="1">
      <alignment horizontal="right"/>
      <protection locked="0"/>
    </xf>
    <xf numFmtId="0" fontId="55" fillId="5" borderId="4" xfId="0" applyFont="1" applyFill="1" applyBorder="1" applyAlignment="1" applyProtection="1">
      <alignment horizontal="right"/>
      <protection locked="0"/>
    </xf>
    <xf numFmtId="0" fontId="55" fillId="5" borderId="5" xfId="0" applyFont="1" applyFill="1" applyBorder="1" applyAlignment="1" applyProtection="1">
      <alignment horizontal="right"/>
      <protection locked="0"/>
    </xf>
    <xf numFmtId="168" fontId="19" fillId="0" borderId="1" xfId="543" applyNumberFormat="1" applyBorder="1" applyAlignment="1">
      <alignment horizontal="center" vertical="center"/>
    </xf>
    <xf numFmtId="168" fontId="19" fillId="0" borderId="2" xfId="543" applyNumberFormat="1" applyBorder="1" applyAlignment="1">
      <alignment horizontal="center" vertical="center"/>
    </xf>
    <xf numFmtId="168" fontId="19" fillId="0" borderId="7" xfId="543" applyNumberFormat="1" applyBorder="1" applyAlignment="1">
      <alignment horizontal="center" vertical="center"/>
    </xf>
    <xf numFmtId="168" fontId="19" fillId="0" borderId="8" xfId="543" applyNumberFormat="1" applyBorder="1" applyAlignment="1">
      <alignment horizontal="center" vertical="center"/>
    </xf>
    <xf numFmtId="168" fontId="19" fillId="0" borderId="0" xfId="543" applyNumberFormat="1" applyAlignment="1">
      <alignment horizontal="center" vertical="center"/>
    </xf>
    <xf numFmtId="168" fontId="19" fillId="0" borderId="12" xfId="543" applyNumberFormat="1" applyBorder="1" applyAlignment="1">
      <alignment horizontal="center" vertical="center"/>
    </xf>
    <xf numFmtId="0" fontId="19" fillId="0" borderId="8" xfId="543" applyBorder="1" applyAlignment="1">
      <alignment horizontal="left" vertical="top" wrapText="1"/>
    </xf>
    <xf numFmtId="0" fontId="19" fillId="0" borderId="0" xfId="543" applyAlignment="1">
      <alignment horizontal="left" vertical="top" wrapText="1"/>
    </xf>
    <xf numFmtId="0" fontId="19" fillId="0" borderId="12" xfId="543" applyBorder="1" applyAlignment="1">
      <alignment horizontal="left" vertical="top" wrapText="1"/>
    </xf>
    <xf numFmtId="0" fontId="19" fillId="0" borderId="9" xfId="543" applyBorder="1" applyAlignment="1">
      <alignment horizontal="left" vertical="top" wrapText="1"/>
    </xf>
    <xf numFmtId="0" fontId="19" fillId="0" borderId="6" xfId="543" applyBorder="1" applyAlignment="1">
      <alignment horizontal="left" vertical="top" wrapText="1"/>
    </xf>
    <xf numFmtId="0" fontId="19" fillId="0" borderId="10" xfId="543" applyBorder="1" applyAlignment="1">
      <alignment horizontal="left" vertical="top" wrapText="1"/>
    </xf>
    <xf numFmtId="168" fontId="19" fillId="0" borderId="9" xfId="543" applyNumberFormat="1" applyBorder="1" applyAlignment="1">
      <alignment horizontal="center" vertical="center"/>
    </xf>
    <xf numFmtId="168" fontId="19" fillId="0" borderId="6" xfId="543" applyNumberFormat="1" applyBorder="1" applyAlignment="1">
      <alignment horizontal="center" vertical="center"/>
    </xf>
    <xf numFmtId="168" fontId="19" fillId="0" borderId="10" xfId="543" applyNumberFormat="1" applyBorder="1" applyAlignment="1">
      <alignment horizontal="center" vertical="center"/>
    </xf>
    <xf numFmtId="0" fontId="19" fillId="2" borderId="3" xfId="543" applyFill="1" applyBorder="1" applyAlignment="1">
      <alignment horizontal="center"/>
    </xf>
    <xf numFmtId="0" fontId="19" fillId="2" borderId="4" xfId="543" applyFill="1" applyBorder="1" applyAlignment="1">
      <alignment horizontal="center"/>
    </xf>
    <xf numFmtId="0" fontId="19" fillId="2" borderId="5" xfId="543" applyFill="1" applyBorder="1" applyAlignment="1">
      <alignment horizontal="center"/>
    </xf>
    <xf numFmtId="0" fontId="39" fillId="0" borderId="1" xfId="543" applyFont="1" applyBorder="1" applyAlignment="1">
      <alignment horizontal="right"/>
    </xf>
    <xf numFmtId="0" fontId="39" fillId="0" borderId="2" xfId="543" applyFont="1" applyBorder="1" applyAlignment="1">
      <alignment horizontal="right"/>
    </xf>
    <xf numFmtId="0" fontId="39" fillId="0" borderId="7" xfId="543" applyFont="1" applyBorder="1" applyAlignment="1">
      <alignment horizontal="right"/>
    </xf>
    <xf numFmtId="0" fontId="26" fillId="0" borderId="1" xfId="543" applyFont="1" applyBorder="1" applyAlignment="1">
      <alignment horizontal="left" vertical="center" wrapText="1"/>
    </xf>
    <xf numFmtId="0" fontId="26" fillId="0" borderId="2" xfId="543" applyFont="1" applyBorder="1" applyAlignment="1">
      <alignment horizontal="left" vertical="center" wrapText="1"/>
    </xf>
    <xf numFmtId="0" fontId="26" fillId="0" borderId="7" xfId="543" applyFont="1" applyBorder="1" applyAlignment="1">
      <alignment horizontal="left" vertical="center" wrapText="1"/>
    </xf>
    <xf numFmtId="0" fontId="26" fillId="0" borderId="3" xfId="543" applyFont="1" applyBorder="1" applyAlignment="1">
      <alignment horizontal="right"/>
    </xf>
    <xf numFmtId="0" fontId="26" fillId="0" borderId="4" xfId="543" applyFont="1" applyBorder="1" applyAlignment="1">
      <alignment horizontal="right"/>
    </xf>
    <xf numFmtId="0" fontId="26" fillId="0" borderId="5" xfId="543" applyFont="1" applyBorder="1" applyAlignment="1">
      <alignment horizontal="right"/>
    </xf>
    <xf numFmtId="0" fontId="38" fillId="5" borderId="3" xfId="543" applyFont="1" applyFill="1" applyBorder="1" applyAlignment="1" applyProtection="1">
      <alignment horizontal="center"/>
      <protection locked="0"/>
    </xf>
    <xf numFmtId="0" fontId="38" fillId="5" borderId="5" xfId="543" applyFont="1" applyFill="1" applyBorder="1" applyAlignment="1" applyProtection="1">
      <alignment horizontal="center"/>
      <protection locked="0"/>
    </xf>
    <xf numFmtId="0" fontId="19" fillId="0" borderId="8" xfId="0" applyFont="1" applyBorder="1" applyAlignment="1">
      <alignment horizontal="left" wrapText="1"/>
    </xf>
    <xf numFmtId="0" fontId="19" fillId="0" borderId="12" xfId="0" applyFont="1" applyBorder="1" applyAlignment="1">
      <alignment horizontal="left" wrapText="1"/>
    </xf>
    <xf numFmtId="0" fontId="19" fillId="0" borderId="9" xfId="0" applyFont="1" applyBorder="1" applyAlignment="1">
      <alignment horizontal="left" wrapText="1"/>
    </xf>
    <xf numFmtId="0" fontId="19" fillId="0" borderId="6" xfId="0" applyFont="1" applyBorder="1" applyAlignment="1">
      <alignment horizontal="left" wrapText="1"/>
    </xf>
    <xf numFmtId="0" fontId="19" fillId="0" borderId="10" xfId="0" applyFont="1" applyBorder="1" applyAlignment="1">
      <alignment horizontal="left" wrapText="1"/>
    </xf>
    <xf numFmtId="0" fontId="38" fillId="0" borderId="3" xfId="543" applyFont="1" applyBorder="1" applyAlignment="1">
      <alignment horizontal="center"/>
    </xf>
    <xf numFmtId="0" fontId="38" fillId="0" borderId="5" xfId="543" applyFont="1" applyBorder="1" applyAlignment="1">
      <alignment horizontal="center"/>
    </xf>
    <xf numFmtId="0" fontId="38" fillId="5" borderId="9" xfId="543" applyFont="1" applyFill="1" applyBorder="1" applyAlignment="1" applyProtection="1">
      <alignment horizontal="center"/>
      <protection locked="0"/>
    </xf>
    <xf numFmtId="0" fontId="38" fillId="5" borderId="10" xfId="543" applyFont="1" applyFill="1" applyBorder="1" applyAlignment="1" applyProtection="1">
      <alignment horizontal="center"/>
      <protection locked="0"/>
    </xf>
    <xf numFmtId="0" fontId="26" fillId="0" borderId="1" xfId="0" applyFont="1" applyBorder="1" applyAlignment="1">
      <alignment horizontal="center" wrapText="1"/>
    </xf>
    <xf numFmtId="168" fontId="19"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6" fillId="10" borderId="3" xfId="543" applyFont="1" applyFill="1" applyBorder="1" applyAlignment="1">
      <alignment horizontal="center"/>
    </xf>
    <xf numFmtId="0" fontId="26" fillId="10" borderId="4" xfId="543" applyFont="1" applyFill="1" applyBorder="1" applyAlignment="1">
      <alignment horizontal="center"/>
    </xf>
    <xf numFmtId="0" fontId="26" fillId="10" borderId="5" xfId="543" applyFont="1" applyFill="1" applyBorder="1" applyAlignment="1">
      <alignment horizontal="center"/>
    </xf>
    <xf numFmtId="0" fontId="38" fillId="5" borderId="3" xfId="543" applyFont="1" applyFill="1" applyBorder="1" applyAlignment="1" applyProtection="1">
      <alignment horizontal="center" vertical="top"/>
      <protection locked="0"/>
    </xf>
    <xf numFmtId="0" fontId="38" fillId="5" borderId="5" xfId="543" applyFont="1" applyFill="1" applyBorder="1" applyAlignment="1" applyProtection="1">
      <alignment horizontal="center" vertical="top"/>
      <protection locked="0"/>
    </xf>
    <xf numFmtId="0" fontId="26" fillId="0" borderId="1" xfId="543" applyFont="1" applyBorder="1" applyAlignment="1">
      <alignment horizontal="left" vertical="top" wrapText="1"/>
    </xf>
    <xf numFmtId="0" fontId="26" fillId="0" borderId="2" xfId="543" applyFont="1" applyBorder="1" applyAlignment="1">
      <alignment horizontal="left" vertical="top" wrapText="1"/>
    </xf>
    <xf numFmtId="0" fontId="26" fillId="0" borderId="7" xfId="543" applyFont="1" applyBorder="1" applyAlignment="1">
      <alignment horizontal="left" vertical="top" wrapText="1"/>
    </xf>
    <xf numFmtId="0" fontId="26" fillId="0" borderId="8" xfId="543" applyFont="1" applyBorder="1" applyAlignment="1">
      <alignment horizontal="left" vertical="top" wrapText="1"/>
    </xf>
    <xf numFmtId="0" fontId="26" fillId="0" borderId="0" xfId="543" applyFont="1" applyAlignment="1">
      <alignment horizontal="left" vertical="top" wrapText="1"/>
    </xf>
    <xf numFmtId="0" fontId="26" fillId="0" borderId="12" xfId="543" applyFont="1" applyBorder="1" applyAlignment="1">
      <alignment horizontal="left" vertical="top" wrapText="1"/>
    </xf>
    <xf numFmtId="0" fontId="153" fillId="0" borderId="8" xfId="543" applyFont="1" applyBorder="1" applyAlignment="1">
      <alignment horizontal="center" vertical="center" wrapText="1"/>
    </xf>
    <xf numFmtId="0" fontId="153" fillId="0" borderId="0" xfId="543" applyFont="1" applyAlignment="1">
      <alignment horizontal="center" vertical="center" wrapText="1"/>
    </xf>
    <xf numFmtId="0" fontId="153" fillId="0" borderId="12" xfId="543" applyFont="1" applyBorder="1" applyAlignment="1">
      <alignment horizontal="center" vertical="center" wrapText="1"/>
    </xf>
    <xf numFmtId="0" fontId="19" fillId="0" borderId="8" xfId="543" applyBorder="1" applyAlignment="1">
      <alignment horizontal="left" vertical="center" wrapText="1"/>
    </xf>
    <xf numFmtId="0" fontId="19" fillId="0" borderId="0" xfId="543" applyAlignment="1">
      <alignment horizontal="left" vertical="center" wrapText="1"/>
    </xf>
    <xf numFmtId="0" fontId="19" fillId="0" borderId="12" xfId="543" applyBorder="1" applyAlignment="1">
      <alignment horizontal="left" vertical="center" wrapText="1"/>
    </xf>
    <xf numFmtId="0" fontId="39" fillId="0" borderId="4" xfId="543" applyFont="1" applyBorder="1" applyAlignment="1">
      <alignment horizontal="right" vertical="top" wrapText="1"/>
    </xf>
    <xf numFmtId="0" fontId="39" fillId="0" borderId="5" xfId="543" applyFont="1" applyBorder="1" applyAlignment="1">
      <alignment horizontal="right" vertical="top" wrapText="1"/>
    </xf>
    <xf numFmtId="0" fontId="27" fillId="0" borderId="3" xfId="543" applyFont="1" applyBorder="1" applyAlignment="1">
      <alignment horizontal="center"/>
    </xf>
    <xf numFmtId="0" fontId="27" fillId="0" borderId="5" xfId="543" applyFont="1" applyBorder="1" applyAlignment="1">
      <alignment horizontal="center"/>
    </xf>
    <xf numFmtId="1" fontId="27" fillId="0" borderId="3" xfId="543" applyNumberFormat="1" applyFont="1" applyBorder="1" applyAlignment="1">
      <alignment horizontal="center"/>
    </xf>
    <xf numFmtId="1" fontId="27" fillId="0" borderId="5" xfId="543" applyNumberFormat="1" applyFont="1" applyBorder="1" applyAlignment="1">
      <alignment horizontal="center"/>
    </xf>
    <xf numFmtId="0" fontId="40" fillId="0" borderId="3" xfId="543" applyFont="1" applyBorder="1" applyAlignment="1">
      <alignment horizontal="center"/>
    </xf>
    <xf numFmtId="0" fontId="40" fillId="0" borderId="4" xfId="543" applyFont="1" applyBorder="1" applyAlignment="1">
      <alignment horizontal="center"/>
    </xf>
    <xf numFmtId="0" fontId="40" fillId="0" borderId="5" xfId="543" applyFont="1" applyBorder="1" applyAlignment="1">
      <alignment horizontal="center"/>
    </xf>
    <xf numFmtId="182" fontId="27" fillId="43" borderId="11" xfId="8721" applyNumberFormat="1" applyFont="1" applyFill="1" applyBorder="1" applyAlignment="1" applyProtection="1">
      <alignment horizontal="center" vertical="center" wrapText="1"/>
      <protection locked="0"/>
    </xf>
    <xf numFmtId="0" fontId="27" fillId="5" borderId="3" xfId="0" applyFont="1" applyFill="1" applyBorder="1" applyAlignment="1" applyProtection="1">
      <alignment horizontal="left"/>
      <protection locked="0"/>
    </xf>
    <xf numFmtId="0" fontId="27" fillId="5" borderId="4" xfId="0" applyFont="1" applyFill="1" applyBorder="1" applyAlignment="1" applyProtection="1">
      <alignment horizontal="left"/>
      <protection locked="0"/>
    </xf>
    <xf numFmtId="0" fontId="27" fillId="5" borderId="5" xfId="0" applyFont="1" applyFill="1" applyBorder="1" applyAlignment="1" applyProtection="1">
      <alignment horizontal="left"/>
      <protection locked="0"/>
    </xf>
    <xf numFmtId="0" fontId="46" fillId="0" borderId="8" xfId="543" applyFont="1" applyBorder="1" applyAlignment="1">
      <alignment horizontal="center" vertical="center" wrapText="1"/>
    </xf>
    <xf numFmtId="0" fontId="46" fillId="0" borderId="0" xfId="543" applyFont="1" applyAlignment="1">
      <alignment horizontal="center" vertical="center" wrapText="1"/>
    </xf>
    <xf numFmtId="0" fontId="46" fillId="0" borderId="12" xfId="543" applyFont="1" applyBorder="1" applyAlignment="1">
      <alignment horizontal="center" vertical="center" wrapText="1"/>
    </xf>
    <xf numFmtId="168" fontId="26" fillId="0" borderId="3" xfId="543" applyNumberFormat="1" applyFont="1" applyBorder="1" applyAlignment="1">
      <alignment horizontal="center" vertical="center"/>
    </xf>
    <xf numFmtId="168" fontId="26" fillId="0" borderId="4" xfId="543" applyNumberFormat="1" applyFont="1" applyBorder="1" applyAlignment="1">
      <alignment horizontal="center" vertical="center"/>
    </xf>
    <xf numFmtId="168" fontId="26" fillId="0" borderId="5" xfId="543" applyNumberFormat="1" applyFont="1" applyBorder="1" applyAlignment="1">
      <alignment horizontal="center" vertical="center"/>
    </xf>
    <xf numFmtId="0" fontId="19" fillId="5" borderId="3" xfId="543" applyFill="1" applyBorder="1" applyAlignment="1" applyProtection="1">
      <alignment horizontal="left" vertical="top" wrapText="1"/>
      <protection locked="0"/>
    </xf>
    <xf numFmtId="0" fontId="28" fillId="5" borderId="4" xfId="543" applyFont="1" applyFill="1" applyBorder="1" applyAlignment="1" applyProtection="1">
      <alignment horizontal="left" vertical="top" wrapText="1"/>
      <protection locked="0"/>
    </xf>
    <xf numFmtId="0" fontId="28" fillId="5" borderId="5" xfId="543" applyFont="1" applyFill="1" applyBorder="1" applyAlignment="1" applyProtection="1">
      <alignment horizontal="left" vertical="top" wrapText="1"/>
      <protection locked="0"/>
    </xf>
    <xf numFmtId="0" fontId="19" fillId="0" borderId="9" xfId="543" applyBorder="1" applyAlignment="1">
      <alignment horizontal="left" vertical="center" wrapText="1"/>
    </xf>
    <xf numFmtId="0" fontId="19" fillId="0" borderId="6" xfId="543" applyBorder="1" applyAlignment="1">
      <alignment horizontal="left" vertical="center" wrapText="1"/>
    </xf>
    <xf numFmtId="0" fontId="19" fillId="0" borderId="10" xfId="543" applyBorder="1" applyAlignment="1">
      <alignment horizontal="left" vertical="center" wrapText="1"/>
    </xf>
    <xf numFmtId="0" fontId="52" fillId="0" borderId="0" xfId="0" applyFont="1" applyAlignment="1">
      <alignment horizontal="center"/>
    </xf>
    <xf numFmtId="0" fontId="26" fillId="0" borderId="0" xfId="0" applyFont="1" applyAlignment="1">
      <alignment horizontal="center"/>
    </xf>
    <xf numFmtId="0" fontId="19" fillId="0" borderId="0" xfId="0" applyFont="1" applyAlignment="1">
      <alignment horizontal="center"/>
    </xf>
    <xf numFmtId="0" fontId="34" fillId="0" borderId="0" xfId="0" applyFont="1" applyAlignment="1">
      <alignment horizontal="center"/>
    </xf>
    <xf numFmtId="0" fontId="19" fillId="0" borderId="0" xfId="0" applyFont="1" applyAlignment="1">
      <alignment horizontal="center" vertical="top"/>
    </xf>
    <xf numFmtId="168" fontId="28" fillId="0" borderId="6" xfId="0" applyNumberFormat="1" applyFont="1" applyBorder="1" applyAlignment="1">
      <alignment horizontal="center"/>
    </xf>
    <xf numFmtId="168" fontId="28" fillId="5" borderId="3" xfId="0" applyNumberFormat="1" applyFont="1" applyFill="1" applyBorder="1" applyAlignment="1" applyProtection="1">
      <alignment horizontal="left" vertical="top"/>
      <protection locked="0"/>
    </xf>
    <xf numFmtId="168" fontId="28" fillId="5" borderId="4" xfId="0" applyNumberFormat="1" applyFont="1" applyFill="1" applyBorder="1" applyAlignment="1" applyProtection="1">
      <alignment horizontal="left" vertical="top"/>
      <protection locked="0"/>
    </xf>
    <xf numFmtId="168" fontId="28" fillId="5" borderId="5" xfId="0" applyNumberFormat="1" applyFont="1" applyFill="1" applyBorder="1" applyAlignment="1" applyProtection="1">
      <alignment horizontal="left" vertical="top"/>
      <protection locked="0"/>
    </xf>
    <xf numFmtId="0" fontId="26" fillId="0" borderId="11" xfId="0" applyFont="1" applyBorder="1" applyAlignment="1">
      <alignment horizontal="center" vertical="center"/>
    </xf>
    <xf numFmtId="0" fontId="56" fillId="0" borderId="1" xfId="0" applyFont="1" applyBorder="1" applyAlignment="1">
      <alignment horizontal="center" vertical="center" wrapText="1"/>
    </xf>
    <xf numFmtId="0" fontId="56" fillId="0" borderId="2" xfId="0" applyFont="1" applyBorder="1" applyAlignment="1">
      <alignment horizontal="center" vertical="center" wrapText="1"/>
    </xf>
    <xf numFmtId="0" fontId="56" fillId="0" borderId="7" xfId="0" applyFont="1" applyBorder="1" applyAlignment="1">
      <alignment horizontal="center" vertical="center" wrapText="1"/>
    </xf>
    <xf numFmtId="0" fontId="56" fillId="0" borderId="8" xfId="0" applyFont="1" applyBorder="1" applyAlignment="1">
      <alignment horizontal="center" vertical="center" wrapText="1"/>
    </xf>
    <xf numFmtId="0" fontId="56" fillId="0" borderId="0" xfId="0" applyFont="1" applyAlignment="1">
      <alignment horizontal="center" vertical="center" wrapText="1"/>
    </xf>
    <xf numFmtId="0" fontId="56" fillId="0" borderId="12" xfId="0" applyFont="1" applyBorder="1" applyAlignment="1">
      <alignment horizontal="center" vertical="center" wrapText="1"/>
    </xf>
    <xf numFmtId="0" fontId="56" fillId="0" borderId="9" xfId="0" applyFont="1" applyBorder="1" applyAlignment="1">
      <alignment horizontal="center" vertical="center" wrapText="1"/>
    </xf>
    <xf numFmtId="0" fontId="56" fillId="0" borderId="6" xfId="0" applyFont="1" applyBorder="1" applyAlignment="1">
      <alignment horizontal="center" vertical="center" wrapText="1"/>
    </xf>
    <xf numFmtId="0" fontId="56" fillId="0" borderId="10" xfId="0" applyFont="1" applyBorder="1" applyAlignment="1">
      <alignment horizontal="center" vertical="center" wrapText="1"/>
    </xf>
    <xf numFmtId="0" fontId="19"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7" fillId="5" borderId="3" xfId="543" applyFont="1"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27" fillId="0" borderId="0" xfId="0" applyFont="1" applyAlignment="1">
      <alignment horizontal="center"/>
    </xf>
    <xf numFmtId="0" fontId="160" fillId="0" borderId="8" xfId="543" applyFont="1" applyBorder="1" applyAlignment="1">
      <alignment horizontal="center" wrapText="1"/>
    </xf>
    <xf numFmtId="0" fontId="160" fillId="0" borderId="0" xfId="543" applyFont="1" applyAlignment="1">
      <alignment horizontal="center" wrapText="1"/>
    </xf>
    <xf numFmtId="0" fontId="160" fillId="0" borderId="12" xfId="543" applyFont="1" applyBorder="1" applyAlignment="1">
      <alignment horizontal="center" wrapText="1"/>
    </xf>
    <xf numFmtId="0" fontId="160" fillId="0" borderId="9" xfId="543" applyFont="1" applyBorder="1" applyAlignment="1">
      <alignment horizontal="center" wrapText="1"/>
    </xf>
    <xf numFmtId="0" fontId="160" fillId="0" borderId="6" xfId="543" applyFont="1" applyBorder="1" applyAlignment="1">
      <alignment horizontal="center" wrapText="1"/>
    </xf>
    <xf numFmtId="0" fontId="160" fillId="0" borderId="10" xfId="543" applyFont="1" applyBorder="1" applyAlignment="1">
      <alignment horizontal="center" wrapText="1"/>
    </xf>
    <xf numFmtId="0" fontId="160" fillId="0" borderId="8" xfId="543" applyFont="1" applyBorder="1" applyAlignment="1">
      <alignment horizontal="center" vertical="top" wrapText="1"/>
    </xf>
    <xf numFmtId="0" fontId="160" fillId="0" borderId="0" xfId="543" applyFont="1" applyAlignment="1">
      <alignment horizontal="center" vertical="top" wrapText="1"/>
    </xf>
    <xf numFmtId="0" fontId="160" fillId="0" borderId="12" xfId="543" applyFont="1" applyBorder="1" applyAlignment="1">
      <alignment horizontal="center" vertical="top" wrapText="1"/>
    </xf>
    <xf numFmtId="0" fontId="160" fillId="0" borderId="9" xfId="543" applyFont="1" applyBorder="1" applyAlignment="1">
      <alignment horizontal="center" vertical="top" wrapText="1"/>
    </xf>
    <xf numFmtId="0" fontId="160" fillId="0" borderId="6" xfId="543" applyFont="1" applyBorder="1" applyAlignment="1">
      <alignment horizontal="center" vertical="top" wrapText="1"/>
    </xf>
    <xf numFmtId="0" fontId="160" fillId="0" borderId="10" xfId="543" applyFont="1" applyBorder="1" applyAlignment="1">
      <alignment horizontal="center" vertical="top" wrapText="1"/>
    </xf>
    <xf numFmtId="0" fontId="157" fillId="0" borderId="0" xfId="0" applyFont="1" applyAlignment="1">
      <alignment horizontal="center" vertical="center" wrapText="1"/>
    </xf>
    <xf numFmtId="0" fontId="28" fillId="0" borderId="0" xfId="543" applyFont="1" applyAlignment="1">
      <alignment horizontal="center"/>
    </xf>
    <xf numFmtId="0" fontId="19" fillId="0" borderId="0" xfId="543" applyAlignment="1">
      <alignment wrapText="1"/>
    </xf>
    <xf numFmtId="0" fontId="28" fillId="0" borderId="2" xfId="0" applyFont="1" applyBorder="1" applyAlignment="1">
      <alignment horizontal="left" vertical="top" wrapText="1"/>
    </xf>
    <xf numFmtId="177" fontId="28" fillId="5" borderId="6" xfId="0" applyNumberFormat="1" applyFont="1" applyFill="1" applyBorder="1" applyAlignment="1" applyProtection="1">
      <alignment horizontal="left" vertical="top" wrapText="1"/>
      <protection locked="0"/>
    </xf>
    <xf numFmtId="0" fontId="56" fillId="0" borderId="0" xfId="0" applyFont="1" applyAlignment="1">
      <alignment vertical="top" wrapText="1"/>
    </xf>
    <xf numFmtId="0" fontId="28" fillId="0" borderId="0" xfId="0" applyFont="1" applyAlignment="1">
      <alignment vertical="top" wrapText="1"/>
    </xf>
    <xf numFmtId="0" fontId="28" fillId="0" borderId="6" xfId="0" applyFont="1" applyBorder="1" applyAlignment="1">
      <alignment horizontal="right" vertical="top" wrapText="1"/>
    </xf>
    <xf numFmtId="0" fontId="28" fillId="0" borderId="6" xfId="0" applyFont="1" applyBorder="1" applyAlignment="1">
      <alignment vertical="top" wrapText="1"/>
    </xf>
    <xf numFmtId="0" fontId="60" fillId="2" borderId="3" xfId="0" applyFont="1" applyFill="1" applyBorder="1" applyAlignment="1">
      <alignment horizontal="center" vertical="top"/>
    </xf>
    <xf numFmtId="0" fontId="60" fillId="2" borderId="4" xfId="0" applyFont="1" applyFill="1" applyBorder="1" applyAlignment="1">
      <alignment horizontal="center" vertical="top"/>
    </xf>
    <xf numFmtId="0" fontId="60" fillId="2" borderId="5" xfId="0" applyFont="1" applyFill="1" applyBorder="1" applyAlignment="1">
      <alignment horizontal="center" vertical="top"/>
    </xf>
    <xf numFmtId="0" fontId="28" fillId="0" borderId="2" xfId="0" applyFont="1" applyBorder="1" applyAlignment="1">
      <alignment vertical="top" wrapText="1"/>
    </xf>
    <xf numFmtId="0" fontId="55" fillId="0" borderId="0" xfId="0" applyFont="1" applyAlignment="1">
      <alignment vertical="top" wrapText="1"/>
    </xf>
    <xf numFmtId="0" fontId="56" fillId="0" borderId="0" xfId="569" applyFont="1" applyAlignment="1">
      <alignment vertical="top" wrapText="1"/>
    </xf>
    <xf numFmtId="0" fontId="19" fillId="0" borderId="0" xfId="569" applyAlignment="1">
      <alignment horizontal="right" vertical="top" wrapText="1"/>
    </xf>
    <xf numFmtId="0" fontId="25" fillId="3" borderId="3" xfId="0" applyFont="1" applyFill="1" applyBorder="1" applyAlignment="1">
      <alignment horizontal="left" vertical="top"/>
    </xf>
    <xf numFmtId="0" fontId="25" fillId="3" borderId="4" xfId="0" applyFont="1" applyFill="1" applyBorder="1" applyAlignment="1">
      <alignment horizontal="left" vertical="top"/>
    </xf>
    <xf numFmtId="0" fontId="25" fillId="3" borderId="5" xfId="0" applyFont="1" applyFill="1" applyBorder="1" applyAlignment="1">
      <alignment horizontal="left" vertical="top"/>
    </xf>
    <xf numFmtId="0" fontId="104" fillId="44" borderId="0" xfId="8736" applyFont="1" applyFill="1" applyAlignment="1">
      <alignment horizontal="left"/>
    </xf>
    <xf numFmtId="0" fontId="3" fillId="48" borderId="80" xfId="8736" applyFill="1" applyBorder="1" applyAlignment="1" applyProtection="1">
      <alignment horizontal="left"/>
      <protection locked="0"/>
    </xf>
    <xf numFmtId="0" fontId="3" fillId="48" borderId="79" xfId="8736" applyFill="1" applyBorder="1" applyAlignment="1" applyProtection="1">
      <alignment horizontal="left"/>
      <protection locked="0"/>
    </xf>
    <xf numFmtId="0" fontId="3" fillId="48" borderId="78" xfId="8736" applyFill="1" applyBorder="1" applyAlignment="1" applyProtection="1">
      <alignment horizontal="left"/>
      <protection locked="0"/>
    </xf>
    <xf numFmtId="0" fontId="166" fillId="44" borderId="0" xfId="8736" applyFont="1" applyFill="1" applyAlignment="1">
      <alignment horizontal="left" vertical="top"/>
    </xf>
    <xf numFmtId="0" fontId="104" fillId="44" borderId="0" xfId="8730" applyFont="1" applyFill="1" applyBorder="1" applyAlignment="1">
      <alignment horizontal="left" vertical="top"/>
    </xf>
    <xf numFmtId="14" fontId="3" fillId="48" borderId="80" xfId="8736" applyNumberFormat="1" applyFill="1" applyBorder="1" applyAlignment="1" applyProtection="1">
      <alignment horizontal="center"/>
      <protection locked="0"/>
    </xf>
    <xf numFmtId="14" fontId="3" fillId="48" borderId="79" xfId="8736" applyNumberFormat="1" applyFill="1" applyBorder="1" applyAlignment="1" applyProtection="1">
      <alignment horizontal="center"/>
      <protection locked="0"/>
    </xf>
    <xf numFmtId="14" fontId="3" fillId="48" borderId="78" xfId="8736" applyNumberFormat="1" applyFill="1" applyBorder="1" applyAlignment="1" applyProtection="1">
      <alignment horizontal="center"/>
      <protection locked="0"/>
    </xf>
    <xf numFmtId="0" fontId="167" fillId="47" borderId="0" xfId="8736" applyFont="1" applyFill="1" applyAlignment="1">
      <alignment horizontal="left" vertical="top" wrapText="1"/>
    </xf>
    <xf numFmtId="0" fontId="104" fillId="47" borderId="42" xfId="8736" applyFont="1" applyFill="1" applyBorder="1" applyAlignment="1">
      <alignment horizontal="center"/>
    </xf>
    <xf numFmtId="0" fontId="3" fillId="48" borderId="80" xfId="8736" applyFill="1" applyBorder="1" applyAlignment="1" applyProtection="1">
      <alignment horizontal="center"/>
      <protection locked="0"/>
    </xf>
    <xf numFmtId="0" fontId="3" fillId="48" borderId="79" xfId="8736" applyFill="1" applyBorder="1" applyAlignment="1" applyProtection="1">
      <alignment horizontal="center"/>
      <protection locked="0"/>
    </xf>
    <xf numFmtId="0" fontId="3" fillId="48" borderId="78" xfId="8736" applyFill="1" applyBorder="1" applyAlignment="1" applyProtection="1">
      <alignment horizontal="center"/>
      <protection locked="0"/>
    </xf>
    <xf numFmtId="0" fontId="168" fillId="47" borderId="65" xfId="8736" applyFont="1" applyFill="1" applyBorder="1" applyAlignment="1">
      <alignment horizontal="center"/>
    </xf>
    <xf numFmtId="0" fontId="168" fillId="47" borderId="29" xfId="8736" applyFont="1" applyFill="1" applyBorder="1" applyAlignment="1">
      <alignment horizontal="center"/>
    </xf>
    <xf numFmtId="0" fontId="168" fillId="47" borderId="31" xfId="8736" applyFont="1" applyFill="1" applyBorder="1" applyAlignment="1">
      <alignment horizontal="center"/>
    </xf>
    <xf numFmtId="0" fontId="3" fillId="47" borderId="66" xfId="8736" applyFill="1" applyBorder="1" applyAlignment="1">
      <alignment horizontal="center"/>
    </xf>
    <xf numFmtId="0" fontId="3" fillId="47" borderId="0" xfId="8736" applyFill="1" applyAlignment="1">
      <alignment horizontal="center"/>
    </xf>
    <xf numFmtId="0" fontId="3" fillId="47" borderId="41" xfId="8736" applyFill="1" applyBorder="1" applyAlignment="1">
      <alignment horizontal="center"/>
    </xf>
    <xf numFmtId="0" fontId="167" fillId="47" borderId="66" xfId="8736" applyFont="1" applyFill="1" applyBorder="1" applyAlignment="1">
      <alignment horizontal="center"/>
    </xf>
    <xf numFmtId="0" fontId="167" fillId="47" borderId="0" xfId="8736" applyFont="1" applyFill="1" applyAlignment="1">
      <alignment horizontal="center"/>
    </xf>
    <xf numFmtId="0" fontId="167" fillId="47" borderId="41" xfId="8736" applyFont="1" applyFill="1" applyBorder="1" applyAlignment="1">
      <alignment horizontal="center"/>
    </xf>
    <xf numFmtId="0" fontId="104" fillId="47" borderId="66" xfId="8736" applyFont="1" applyFill="1" applyBorder="1" applyAlignment="1">
      <alignment horizontal="center"/>
    </xf>
    <xf numFmtId="0" fontId="104" fillId="47" borderId="0" xfId="8736" applyFont="1" applyFill="1" applyAlignment="1">
      <alignment horizontal="center"/>
    </xf>
    <xf numFmtId="0" fontId="104" fillId="47" borderId="41" xfId="8736" applyFont="1" applyFill="1" applyBorder="1" applyAlignment="1">
      <alignment horizontal="center"/>
    </xf>
    <xf numFmtId="0" fontId="104" fillId="47" borderId="0" xfId="8736" applyFont="1" applyFill="1" applyAlignment="1">
      <alignment horizontal="left"/>
    </xf>
    <xf numFmtId="0" fontId="169" fillId="50" borderId="3" xfId="698" applyNumberFormat="1" applyFont="1" applyFill="1" applyBorder="1" applyAlignment="1" applyProtection="1">
      <alignment horizontal="center"/>
      <protection locked="0"/>
    </xf>
    <xf numFmtId="0" fontId="169" fillId="50" borderId="4" xfId="698" applyNumberFormat="1" applyFont="1" applyFill="1" applyBorder="1" applyAlignment="1" applyProtection="1">
      <alignment horizontal="center"/>
      <protection locked="0"/>
    </xf>
    <xf numFmtId="0" fontId="169" fillId="50" borderId="81" xfId="698" applyNumberFormat="1" applyFont="1" applyFill="1" applyBorder="1" applyAlignment="1" applyProtection="1">
      <alignment horizontal="center"/>
      <protection locked="0"/>
    </xf>
    <xf numFmtId="43" fontId="167" fillId="49" borderId="72" xfId="698" applyFont="1" applyFill="1" applyBorder="1" applyAlignment="1" applyProtection="1">
      <alignment horizontal="right"/>
      <protection hidden="1"/>
    </xf>
    <xf numFmtId="43" fontId="167" fillId="49" borderId="11" xfId="698" applyFont="1" applyFill="1" applyBorder="1" applyAlignment="1" applyProtection="1">
      <alignment horizontal="right"/>
      <protection hidden="1"/>
    </xf>
    <xf numFmtId="44" fontId="167" fillId="0" borderId="11" xfId="700" applyFont="1" applyBorder="1" applyAlignment="1" applyProtection="1">
      <alignment horizontal="center"/>
      <protection hidden="1"/>
    </xf>
    <xf numFmtId="168" fontId="167" fillId="0" borderId="11" xfId="700" applyNumberFormat="1" applyFont="1" applyBorder="1" applyAlignment="1" applyProtection="1">
      <alignment horizontal="center"/>
      <protection hidden="1"/>
    </xf>
    <xf numFmtId="9" fontId="167" fillId="0" borderId="11" xfId="1022" applyFont="1" applyBorder="1" applyAlignment="1" applyProtection="1">
      <alignment horizontal="center"/>
      <protection hidden="1"/>
    </xf>
    <xf numFmtId="43" fontId="167" fillId="49" borderId="3" xfId="698" applyFont="1" applyFill="1" applyBorder="1" applyAlignment="1" applyProtection="1">
      <alignment horizontal="center"/>
      <protection hidden="1"/>
    </xf>
    <xf numFmtId="43" fontId="167" fillId="49" borderId="4" xfId="698" applyFont="1" applyFill="1" applyBorder="1" applyAlignment="1" applyProtection="1">
      <alignment horizontal="center"/>
      <protection hidden="1"/>
    </xf>
    <xf numFmtId="43" fontId="167" fillId="49" borderId="81" xfId="698" applyFont="1" applyFill="1" applyBorder="1" applyAlignment="1" applyProtection="1">
      <alignment horizontal="center"/>
      <protection hidden="1"/>
    </xf>
    <xf numFmtId="0" fontId="170" fillId="49" borderId="72" xfId="698" applyNumberFormat="1" applyFont="1" applyFill="1" applyBorder="1" applyAlignment="1" applyProtection="1">
      <alignment horizontal="center"/>
      <protection hidden="1"/>
    </xf>
    <xf numFmtId="0" fontId="170" fillId="49" borderId="11" xfId="698" applyNumberFormat="1" applyFont="1" applyFill="1" applyBorder="1" applyAlignment="1" applyProtection="1">
      <alignment horizontal="center"/>
      <protection hidden="1"/>
    </xf>
    <xf numFmtId="0" fontId="170" fillId="48" borderId="11" xfId="569" applyFont="1" applyFill="1" applyBorder="1" applyAlignment="1" applyProtection="1">
      <alignment horizontal="center"/>
      <protection locked="0"/>
    </xf>
    <xf numFmtId="14" fontId="169" fillId="48" borderId="11" xfId="700" applyNumberFormat="1" applyFont="1" applyFill="1" applyBorder="1" applyAlignment="1" applyProtection="1">
      <alignment horizontal="center"/>
      <protection locked="0"/>
    </xf>
    <xf numFmtId="168" fontId="170" fillId="48" borderId="11" xfId="700" applyNumberFormat="1" applyFont="1" applyFill="1" applyBorder="1" applyAlignment="1" applyProtection="1">
      <alignment horizontal="center"/>
      <protection locked="0"/>
    </xf>
    <xf numFmtId="9" fontId="170" fillId="48" borderId="11" xfId="1022" applyFont="1" applyFill="1" applyBorder="1" applyAlignment="1" applyProtection="1">
      <alignment horizontal="center"/>
      <protection locked="0"/>
    </xf>
    <xf numFmtId="44" fontId="169" fillId="48" borderId="11" xfId="700" applyFont="1" applyFill="1" applyBorder="1" applyAlignment="1" applyProtection="1">
      <alignment horizontal="center"/>
      <protection locked="0"/>
    </xf>
    <xf numFmtId="0" fontId="172" fillId="45" borderId="11" xfId="8736" applyFont="1" applyFill="1" applyBorder="1" applyAlignment="1">
      <alignment horizontal="left" wrapText="1"/>
    </xf>
    <xf numFmtId="43" fontId="167" fillId="45" borderId="80" xfId="698" applyFont="1" applyFill="1" applyBorder="1" applyAlignment="1" applyProtection="1">
      <alignment horizontal="center"/>
      <protection hidden="1"/>
    </xf>
    <xf numFmtId="43" fontId="167" fillId="45" borderId="79" xfId="698" applyFont="1" applyFill="1" applyBorder="1" applyAlignment="1" applyProtection="1">
      <alignment horizontal="center"/>
      <protection hidden="1"/>
    </xf>
    <xf numFmtId="43" fontId="167" fillId="45" borderId="78" xfId="698" applyFont="1" applyFill="1" applyBorder="1" applyAlignment="1" applyProtection="1">
      <alignment horizontal="center"/>
      <protection hidden="1"/>
    </xf>
    <xf numFmtId="43" fontId="171" fillId="49" borderId="66" xfId="698" applyFont="1" applyFill="1" applyBorder="1" applyAlignment="1" applyProtection="1">
      <alignment horizontal="center" wrapText="1"/>
      <protection hidden="1"/>
    </xf>
    <xf numFmtId="43" fontId="171" fillId="49" borderId="0" xfId="698" applyFont="1" applyFill="1" applyBorder="1" applyAlignment="1" applyProtection="1">
      <alignment horizontal="center" wrapText="1"/>
      <protection hidden="1"/>
    </xf>
    <xf numFmtId="43" fontId="171" fillId="49" borderId="12" xfId="698" applyFont="1" applyFill="1" applyBorder="1" applyAlignment="1" applyProtection="1">
      <alignment horizontal="center" wrapText="1"/>
      <protection hidden="1"/>
    </xf>
    <xf numFmtId="43" fontId="171" fillId="49" borderId="83" xfId="698" applyFont="1" applyFill="1" applyBorder="1" applyAlignment="1" applyProtection="1">
      <alignment horizontal="center" wrapText="1"/>
      <protection hidden="1"/>
    </xf>
    <xf numFmtId="43" fontId="171" fillId="49" borderId="6" xfId="698" applyFont="1" applyFill="1" applyBorder="1" applyAlignment="1" applyProtection="1">
      <alignment horizontal="center" wrapText="1"/>
      <protection hidden="1"/>
    </xf>
    <xf numFmtId="43" fontId="171" fillId="49" borderId="10" xfId="698" applyFont="1" applyFill="1" applyBorder="1" applyAlignment="1" applyProtection="1">
      <alignment horizontal="center" wrapText="1"/>
      <protection hidden="1"/>
    </xf>
    <xf numFmtId="43" fontId="171" fillId="49" borderId="8" xfId="698" applyFont="1" applyFill="1" applyBorder="1" applyAlignment="1" applyProtection="1">
      <alignment horizontal="center" wrapText="1"/>
      <protection hidden="1"/>
    </xf>
    <xf numFmtId="43" fontId="171" fillId="49" borderId="9" xfId="698" applyFont="1" applyFill="1" applyBorder="1" applyAlignment="1" applyProtection="1">
      <alignment horizontal="center" wrapText="1"/>
      <protection hidden="1"/>
    </xf>
    <xf numFmtId="14" fontId="171" fillId="0" borderId="8" xfId="700" applyNumberFormat="1" applyFont="1" applyFill="1" applyBorder="1" applyAlignment="1" applyProtection="1">
      <alignment horizontal="center" wrapText="1"/>
      <protection hidden="1"/>
    </xf>
    <xf numFmtId="14" fontId="171" fillId="0" borderId="0" xfId="700" applyNumberFormat="1" applyFont="1" applyFill="1" applyBorder="1" applyAlignment="1" applyProtection="1">
      <alignment horizontal="center" wrapText="1"/>
      <protection hidden="1"/>
    </xf>
    <xf numFmtId="14" fontId="171" fillId="0" borderId="12" xfId="700" applyNumberFormat="1" applyFont="1" applyFill="1" applyBorder="1" applyAlignment="1" applyProtection="1">
      <alignment horizontal="center" wrapText="1"/>
      <protection hidden="1"/>
    </xf>
    <xf numFmtId="14" fontId="171" fillId="0" borderId="9" xfId="700" applyNumberFormat="1" applyFont="1" applyFill="1" applyBorder="1" applyAlignment="1" applyProtection="1">
      <alignment horizontal="center" wrapText="1"/>
      <protection hidden="1"/>
    </xf>
    <xf numFmtId="14" fontId="171" fillId="0" borderId="6" xfId="700" applyNumberFormat="1" applyFont="1" applyFill="1" applyBorder="1" applyAlignment="1" applyProtection="1">
      <alignment horizontal="center" wrapText="1"/>
      <protection hidden="1"/>
    </xf>
    <xf numFmtId="14" fontId="171" fillId="0" borderId="10" xfId="700" applyNumberFormat="1" applyFont="1" applyFill="1" applyBorder="1" applyAlignment="1" applyProtection="1">
      <alignment horizontal="center" wrapText="1"/>
      <protection hidden="1"/>
    </xf>
    <xf numFmtId="44" fontId="171" fillId="0" borderId="8" xfId="700" applyFont="1" applyBorder="1" applyAlignment="1" applyProtection="1">
      <alignment horizontal="center" wrapText="1"/>
      <protection hidden="1"/>
    </xf>
    <xf numFmtId="44" fontId="171" fillId="0" borderId="0" xfId="700" applyFont="1" applyBorder="1" applyAlignment="1" applyProtection="1">
      <alignment horizontal="center" wrapText="1"/>
      <protection hidden="1"/>
    </xf>
    <xf numFmtId="44" fontId="171" fillId="0" borderId="12" xfId="700" applyFont="1" applyBorder="1" applyAlignment="1" applyProtection="1">
      <alignment horizontal="center" wrapText="1"/>
      <protection hidden="1"/>
    </xf>
    <xf numFmtId="44" fontId="171" fillId="0" borderId="9" xfId="700" applyFont="1" applyBorder="1" applyAlignment="1" applyProtection="1">
      <alignment horizontal="center" wrapText="1"/>
      <protection hidden="1"/>
    </xf>
    <xf numFmtId="44" fontId="171" fillId="0" borderId="6" xfId="700" applyFont="1" applyBorder="1" applyAlignment="1" applyProtection="1">
      <alignment horizontal="center" wrapText="1"/>
      <protection hidden="1"/>
    </xf>
    <xf numFmtId="44" fontId="171" fillId="0" borderId="10" xfId="700" applyFont="1" applyBorder="1" applyAlignment="1" applyProtection="1">
      <alignment horizontal="center" wrapText="1"/>
      <protection hidden="1"/>
    </xf>
    <xf numFmtId="43" fontId="171" fillId="49" borderId="41" xfId="698" applyFont="1" applyFill="1" applyBorder="1" applyAlignment="1" applyProtection="1">
      <alignment horizontal="center" wrapText="1"/>
      <protection hidden="1"/>
    </xf>
    <xf numFmtId="43" fontId="171" fillId="49" borderId="82" xfId="698" applyFont="1" applyFill="1" applyBorder="1" applyAlignment="1" applyProtection="1">
      <alignment horizontal="center" wrapText="1"/>
      <protection hidden="1"/>
    </xf>
    <xf numFmtId="0" fontId="173" fillId="45" borderId="11" xfId="8736" applyFont="1" applyFill="1" applyBorder="1" applyAlignment="1">
      <alignment horizontal="left"/>
    </xf>
    <xf numFmtId="182" fontId="3" fillId="48" borderId="11" xfId="700" applyNumberFormat="1" applyFont="1" applyFill="1" applyBorder="1" applyAlignment="1" applyProtection="1">
      <alignment horizontal="center"/>
      <protection locked="0"/>
    </xf>
    <xf numFmtId="10" fontId="173" fillId="48" borderId="11" xfId="1022" applyNumberFormat="1" applyFont="1" applyFill="1" applyBorder="1" applyAlignment="1" applyProtection="1">
      <alignment horizontal="center"/>
      <protection locked="0"/>
    </xf>
    <xf numFmtId="182" fontId="3" fillId="0" borderId="13" xfId="8736" applyNumberFormat="1" applyBorder="1" applyAlignment="1">
      <alignment horizontal="center"/>
    </xf>
    <xf numFmtId="0" fontId="3" fillId="0" borderId="13" xfId="8736" applyBorder="1" applyAlignment="1">
      <alignment horizontal="center"/>
    </xf>
    <xf numFmtId="0" fontId="166" fillId="45" borderId="80" xfId="569" applyFont="1" applyFill="1" applyBorder="1" applyAlignment="1" applyProtection="1">
      <alignment horizontal="center" wrapText="1"/>
      <protection hidden="1"/>
    </xf>
    <xf numFmtId="0" fontId="166" fillId="45" borderId="79" xfId="569" applyFont="1" applyFill="1" applyBorder="1" applyAlignment="1" applyProtection="1">
      <alignment horizontal="center" wrapText="1"/>
      <protection hidden="1"/>
    </xf>
    <xf numFmtId="0" fontId="166" fillId="45" borderId="78" xfId="569" applyFont="1" applyFill="1" applyBorder="1" applyAlignment="1" applyProtection="1">
      <alignment horizontal="center" wrapText="1"/>
      <protection hidden="1"/>
    </xf>
    <xf numFmtId="0" fontId="166" fillId="45" borderId="13" xfId="569" applyFont="1" applyFill="1" applyBorder="1" applyAlignment="1" applyProtection="1">
      <alignment horizontal="left" wrapText="1"/>
      <protection hidden="1"/>
    </xf>
    <xf numFmtId="0" fontId="166" fillId="45" borderId="13" xfId="569" applyFont="1" applyFill="1" applyBorder="1" applyAlignment="1" applyProtection="1">
      <alignment horizontal="center" wrapText="1"/>
      <protection hidden="1"/>
    </xf>
    <xf numFmtId="0" fontId="175" fillId="45" borderId="67" xfId="8736" applyFont="1" applyFill="1" applyBorder="1" applyAlignment="1">
      <alignment horizontal="right"/>
    </xf>
    <xf numFmtId="0" fontId="175" fillId="45" borderId="68" xfId="8736" applyFont="1" applyFill="1" applyBorder="1" applyAlignment="1">
      <alignment horizontal="right"/>
    </xf>
    <xf numFmtId="168" fontId="170" fillId="44" borderId="68" xfId="700" applyNumberFormat="1" applyFont="1" applyFill="1" applyBorder="1" applyAlignment="1">
      <alignment horizontal="left"/>
    </xf>
    <xf numFmtId="168" fontId="170" fillId="44" borderId="71" xfId="700" applyNumberFormat="1" applyFont="1" applyFill="1" applyBorder="1" applyAlignment="1">
      <alignment horizontal="left"/>
    </xf>
    <xf numFmtId="0" fontId="172" fillId="48" borderId="66" xfId="8736" applyFont="1" applyFill="1" applyBorder="1" applyAlignment="1">
      <alignment horizontal="left" wrapText="1"/>
    </xf>
    <xf numFmtId="0" fontId="172" fillId="48" borderId="0" xfId="8736" applyFont="1" applyFill="1" applyAlignment="1">
      <alignment horizontal="left" wrapText="1"/>
    </xf>
    <xf numFmtId="0" fontId="172" fillId="48" borderId="41" xfId="8736" applyFont="1" applyFill="1" applyBorder="1" applyAlignment="1">
      <alignment horizontal="left" wrapText="1"/>
    </xf>
    <xf numFmtId="0" fontId="172" fillId="48" borderId="73" xfId="8736" applyFont="1" applyFill="1" applyBorder="1" applyAlignment="1">
      <alignment horizontal="left" wrapText="1"/>
    </xf>
    <xf numFmtId="0" fontId="172" fillId="48" borderId="42" xfId="8736" applyFont="1" applyFill="1" applyBorder="1" applyAlignment="1">
      <alignment horizontal="left" wrapText="1"/>
    </xf>
    <xf numFmtId="0" fontId="172" fillId="48" borderId="44" xfId="8736" applyFont="1" applyFill="1" applyBorder="1" applyAlignment="1">
      <alignment horizontal="left" wrapText="1"/>
    </xf>
    <xf numFmtId="0" fontId="174" fillId="45" borderId="69" xfId="8736" applyFont="1" applyFill="1" applyBorder="1" applyAlignment="1">
      <alignment horizontal="right"/>
    </xf>
    <xf numFmtId="0" fontId="174" fillId="45" borderId="70" xfId="8736" applyFont="1" applyFill="1" applyBorder="1" applyAlignment="1">
      <alignment horizontal="right"/>
    </xf>
    <xf numFmtId="0" fontId="166" fillId="44" borderId="70" xfId="700" applyNumberFormat="1" applyFont="1" applyFill="1" applyBorder="1" applyAlignment="1">
      <alignment horizontal="left"/>
    </xf>
    <xf numFmtId="168" fontId="166" fillId="44" borderId="70" xfId="700" applyNumberFormat="1" applyFont="1" applyFill="1" applyBorder="1" applyAlignment="1">
      <alignment horizontal="left"/>
    </xf>
    <xf numFmtId="168" fontId="166" fillId="44" borderId="77" xfId="700" applyNumberFormat="1" applyFont="1" applyFill="1" applyBorder="1" applyAlignment="1">
      <alignment horizontal="left"/>
    </xf>
    <xf numFmtId="0" fontId="167" fillId="47" borderId="0" xfId="8736" applyFont="1" applyFill="1" applyAlignment="1">
      <alignment horizontal="right"/>
    </xf>
    <xf numFmtId="168" fontId="171" fillId="47" borderId="0" xfId="700" applyNumberFormat="1" applyFont="1" applyFill="1" applyBorder="1" applyAlignment="1" applyProtection="1">
      <alignment horizontal="left"/>
      <protection locked="0"/>
    </xf>
    <xf numFmtId="0" fontId="173" fillId="48" borderId="87" xfId="8736" applyFont="1" applyFill="1" applyBorder="1" applyAlignment="1" applyProtection="1">
      <alignment horizontal="center"/>
      <protection locked="0"/>
    </xf>
    <xf numFmtId="0" fontId="173" fillId="48" borderId="86" xfId="8736" applyFont="1" applyFill="1" applyBorder="1" applyAlignment="1" applyProtection="1">
      <alignment horizontal="center"/>
      <protection locked="0"/>
    </xf>
    <xf numFmtId="0" fontId="175" fillId="48" borderId="70" xfId="8736" applyFont="1" applyFill="1" applyBorder="1" applyAlignment="1" applyProtection="1">
      <alignment horizontal="left"/>
      <protection locked="0"/>
    </xf>
    <xf numFmtId="0" fontId="175" fillId="48" borderId="77" xfId="8736" applyFont="1" applyFill="1" applyBorder="1" applyAlignment="1" applyProtection="1">
      <alignment horizontal="left"/>
      <protection locked="0"/>
    </xf>
    <xf numFmtId="168" fontId="173" fillId="48" borderId="86" xfId="700" applyNumberFormat="1" applyFont="1" applyFill="1" applyBorder="1" applyAlignment="1" applyProtection="1">
      <alignment horizontal="left"/>
      <protection locked="0"/>
    </xf>
    <xf numFmtId="168" fontId="173" fillId="48" borderId="85" xfId="700" applyNumberFormat="1" applyFont="1" applyFill="1" applyBorder="1" applyAlignment="1" applyProtection="1">
      <alignment horizontal="left"/>
      <protection locked="0"/>
    </xf>
    <xf numFmtId="0" fontId="173" fillId="48" borderId="87" xfId="8736" applyFont="1" applyFill="1" applyBorder="1" applyAlignment="1" applyProtection="1">
      <alignment horizontal="left"/>
      <protection locked="0"/>
    </xf>
    <xf numFmtId="0" fontId="173" fillId="48" borderId="86" xfId="8736" applyFont="1" applyFill="1" applyBorder="1" applyAlignment="1" applyProtection="1">
      <alignment horizontal="left"/>
      <protection locked="0"/>
    </xf>
    <xf numFmtId="0" fontId="173" fillId="48" borderId="85" xfId="8736" applyFont="1" applyFill="1" applyBorder="1" applyAlignment="1" applyProtection="1">
      <alignment horizontal="left"/>
      <protection locked="0"/>
    </xf>
    <xf numFmtId="0" fontId="104" fillId="48" borderId="80" xfId="8736" applyFont="1" applyFill="1" applyBorder="1" applyAlignment="1">
      <alignment horizontal="left"/>
    </xf>
    <xf numFmtId="0" fontId="104" fillId="48" borderId="79" xfId="8736" applyFont="1" applyFill="1" applyBorder="1" applyAlignment="1">
      <alignment horizontal="left"/>
    </xf>
    <xf numFmtId="44" fontId="3" fillId="48" borderId="84" xfId="700" applyFont="1" applyFill="1" applyBorder="1" applyAlignment="1" applyProtection="1">
      <alignment horizontal="center"/>
      <protection locked="0"/>
    </xf>
    <xf numFmtId="0" fontId="173" fillId="48" borderId="72" xfId="8736" applyFont="1" applyFill="1" applyBorder="1" applyAlignment="1" applyProtection="1">
      <alignment horizontal="center"/>
      <protection locked="0"/>
    </xf>
    <xf numFmtId="0" fontId="173" fillId="48" borderId="11" xfId="8736"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0" fontId="173" fillId="48" borderId="11" xfId="8736" applyFont="1" applyFill="1" applyBorder="1" applyAlignment="1" applyProtection="1">
      <alignment horizontal="left"/>
      <protection locked="0"/>
    </xf>
    <xf numFmtId="0" fontId="173" fillId="48" borderId="76" xfId="8736" applyFont="1" applyFill="1" applyBorder="1" applyAlignment="1" applyProtection="1">
      <alignment horizontal="left"/>
      <protection locked="0"/>
    </xf>
    <xf numFmtId="0" fontId="3" fillId="48" borderId="1" xfId="8736" applyFill="1" applyBorder="1" applyAlignment="1">
      <alignment horizontal="center"/>
    </xf>
    <xf numFmtId="0" fontId="3" fillId="48" borderId="2" xfId="8736" applyFill="1" applyBorder="1" applyAlignment="1">
      <alignment horizontal="center"/>
    </xf>
    <xf numFmtId="0" fontId="3" fillId="48" borderId="112" xfId="8736" applyFill="1" applyBorder="1" applyAlignment="1">
      <alignment horizontal="center"/>
    </xf>
    <xf numFmtId="0" fontId="175" fillId="48" borderId="72" xfId="8736" applyFont="1" applyFill="1" applyBorder="1" applyAlignment="1" applyProtection="1">
      <alignment horizontal="center"/>
      <protection locked="0"/>
    </xf>
    <xf numFmtId="0" fontId="175" fillId="48" borderId="11" xfId="8736" applyFont="1" applyFill="1" applyBorder="1" applyAlignment="1" applyProtection="1">
      <alignment horizontal="center"/>
      <protection locked="0"/>
    </xf>
    <xf numFmtId="43" fontId="170" fillId="50" borderId="72" xfId="698" applyFont="1" applyFill="1" applyBorder="1" applyAlignment="1" applyProtection="1">
      <alignment horizontal="left" wrapText="1"/>
      <protection hidden="1"/>
    </xf>
    <xf numFmtId="43" fontId="170" fillId="50" borderId="11" xfId="698" applyFont="1" applyFill="1" applyBorder="1" applyAlignment="1" applyProtection="1">
      <alignment horizontal="left" wrapText="1"/>
      <protection hidden="1"/>
    </xf>
    <xf numFmtId="44" fontId="3" fillId="48" borderId="11" xfId="700" applyFont="1" applyFill="1" applyBorder="1" applyAlignment="1" applyProtection="1">
      <alignment horizontal="center"/>
      <protection hidden="1"/>
    </xf>
    <xf numFmtId="43" fontId="167" fillId="50" borderId="111" xfId="698" applyFont="1" applyFill="1" applyBorder="1" applyAlignment="1" applyProtection="1">
      <alignment horizontal="center"/>
      <protection hidden="1"/>
    </xf>
    <xf numFmtId="43" fontId="167" fillId="50" borderId="84" xfId="698" applyFont="1" applyFill="1" applyBorder="1" applyAlignment="1" applyProtection="1">
      <alignment horizontal="center"/>
      <protection hidden="1"/>
    </xf>
    <xf numFmtId="43" fontId="167" fillId="50" borderId="102" xfId="698" applyFont="1" applyFill="1" applyBorder="1" applyAlignment="1" applyProtection="1">
      <alignment horizontal="center"/>
      <protection hidden="1"/>
    </xf>
    <xf numFmtId="0" fontId="173" fillId="45" borderId="72" xfId="8736" applyFont="1" applyFill="1" applyBorder="1" applyAlignment="1">
      <alignment horizontal="right"/>
    </xf>
    <xf numFmtId="0" fontId="173" fillId="45" borderId="11" xfId="8736" applyFont="1" applyFill="1" applyBorder="1" applyAlignment="1">
      <alignment horizontal="right"/>
    </xf>
    <xf numFmtId="43" fontId="170" fillId="50" borderId="98" xfId="698" applyFont="1" applyFill="1" applyBorder="1" applyAlignment="1" applyProtection="1">
      <alignment horizontal="left"/>
      <protection hidden="1"/>
    </xf>
    <xf numFmtId="43" fontId="170" fillId="50" borderId="13" xfId="698" applyFont="1" applyFill="1" applyBorder="1" applyAlignment="1" applyProtection="1">
      <alignment horizontal="left"/>
      <protection hidden="1"/>
    </xf>
    <xf numFmtId="44" fontId="3" fillId="48" borderId="13" xfId="700" applyFont="1" applyFill="1" applyBorder="1" applyAlignment="1" applyProtection="1">
      <alignment horizontal="center"/>
      <protection locked="0"/>
    </xf>
    <xf numFmtId="0" fontId="173" fillId="48" borderId="9" xfId="8736" applyFont="1" applyFill="1" applyBorder="1" applyAlignment="1">
      <alignment horizontal="center"/>
    </xf>
    <xf numFmtId="0" fontId="173" fillId="48" borderId="6" xfId="8736" applyFont="1" applyFill="1" applyBorder="1" applyAlignment="1">
      <alignment horizontal="center"/>
    </xf>
    <xf numFmtId="0" fontId="173" fillId="48" borderId="82" xfId="8736" applyFont="1" applyFill="1" applyBorder="1" applyAlignment="1">
      <alignment horizontal="center"/>
    </xf>
    <xf numFmtId="0" fontId="3" fillId="48" borderId="3" xfId="8736" applyFill="1" applyBorder="1" applyAlignment="1">
      <alignment horizontal="center"/>
    </xf>
    <xf numFmtId="0" fontId="3" fillId="48" borderId="4" xfId="8736" applyFill="1" applyBorder="1" applyAlignment="1">
      <alignment horizontal="center"/>
    </xf>
    <xf numFmtId="0" fontId="3" fillId="48" borderId="81" xfId="8736" applyFill="1" applyBorder="1" applyAlignment="1">
      <alignment horizontal="center"/>
    </xf>
    <xf numFmtId="168" fontId="175" fillId="44" borderId="11" xfId="700" applyNumberFormat="1" applyFont="1" applyFill="1" applyBorder="1" applyAlignment="1">
      <alignment horizontal="left"/>
    </xf>
    <xf numFmtId="0" fontId="104" fillId="45" borderId="65" xfId="8736" applyFont="1" applyFill="1" applyBorder="1" applyAlignment="1">
      <alignment horizontal="left" wrapText="1"/>
    </xf>
    <xf numFmtId="0" fontId="104" fillId="45" borderId="29" xfId="8736" applyFont="1" applyFill="1" applyBorder="1" applyAlignment="1">
      <alignment horizontal="left" wrapText="1"/>
    </xf>
    <xf numFmtId="0" fontId="104" fillId="45" borderId="31" xfId="8736" applyFont="1" applyFill="1" applyBorder="1" applyAlignment="1">
      <alignment horizontal="left" wrapText="1"/>
    </xf>
    <xf numFmtId="0" fontId="104" fillId="45" borderId="73" xfId="8736" applyFont="1" applyFill="1" applyBorder="1" applyAlignment="1">
      <alignment horizontal="left" wrapText="1"/>
    </xf>
    <xf numFmtId="0" fontId="104" fillId="45" borderId="42" xfId="8736" applyFont="1" applyFill="1" applyBorder="1" applyAlignment="1">
      <alignment horizontal="left" wrapText="1"/>
    </xf>
    <xf numFmtId="0" fontId="104" fillId="45" borderId="44" xfId="8736" applyFont="1" applyFill="1" applyBorder="1" applyAlignment="1">
      <alignment horizontal="left" wrapText="1"/>
    </xf>
    <xf numFmtId="43" fontId="170" fillId="50" borderId="72" xfId="698" applyFont="1" applyFill="1" applyBorder="1" applyAlignment="1" applyProtection="1">
      <alignment horizontal="left"/>
      <protection hidden="1"/>
    </xf>
    <xf numFmtId="43" fontId="170" fillId="50" borderId="11" xfId="698" applyFont="1" applyFill="1" applyBorder="1" applyAlignment="1" applyProtection="1">
      <alignment horizontal="left"/>
      <protection hidden="1"/>
    </xf>
    <xf numFmtId="44" fontId="3" fillId="48" borderId="11" xfId="700" applyFont="1" applyFill="1" applyBorder="1" applyAlignment="1" applyProtection="1">
      <alignment horizontal="center"/>
      <protection locked="0"/>
    </xf>
    <xf numFmtId="0" fontId="104" fillId="45" borderId="67" xfId="8736" applyFont="1" applyFill="1" applyBorder="1" applyAlignment="1">
      <alignment horizontal="center"/>
    </xf>
    <xf numFmtId="0" fontId="104" fillId="45" borderId="68" xfId="8736" applyFont="1" applyFill="1" applyBorder="1" applyAlignment="1">
      <alignment horizontal="center"/>
    </xf>
    <xf numFmtId="0" fontId="167" fillId="45" borderId="68" xfId="8736" applyFont="1" applyFill="1" applyBorder="1" applyAlignment="1">
      <alignment horizontal="center"/>
    </xf>
    <xf numFmtId="0" fontId="167" fillId="45" borderId="71" xfId="8736" applyFont="1" applyFill="1" applyBorder="1" applyAlignment="1">
      <alignment horizontal="center"/>
    </xf>
    <xf numFmtId="0" fontId="174" fillId="51" borderId="11" xfId="8736" applyFont="1" applyFill="1" applyBorder="1" applyAlignment="1">
      <alignment horizontal="center"/>
    </xf>
    <xf numFmtId="0" fontId="174" fillId="51" borderId="76" xfId="8736" applyFont="1" applyFill="1" applyBorder="1" applyAlignment="1">
      <alignment horizontal="center"/>
    </xf>
    <xf numFmtId="0" fontId="175" fillId="45" borderId="72" xfId="8736" applyFont="1" applyFill="1" applyBorder="1" applyAlignment="1">
      <alignment horizontal="right"/>
    </xf>
    <xf numFmtId="0" fontId="175" fillId="45" borderId="11" xfId="8736" applyFont="1" applyFill="1" applyBorder="1" applyAlignment="1">
      <alignment horizontal="right"/>
    </xf>
    <xf numFmtId="168" fontId="175" fillId="48" borderId="11" xfId="700" applyNumberFormat="1" applyFont="1" applyFill="1" applyBorder="1" applyAlignment="1" applyProtection="1">
      <alignment horizontal="left"/>
      <protection locked="0"/>
    </xf>
    <xf numFmtId="168" fontId="173" fillId="44" borderId="11" xfId="700" applyNumberFormat="1" applyFont="1" applyFill="1" applyBorder="1" applyAlignment="1" applyProtection="1">
      <alignment horizontal="left"/>
      <protection locked="0"/>
    </xf>
    <xf numFmtId="0" fontId="104" fillId="45" borderId="71" xfId="8736" applyFont="1" applyFill="1" applyBorder="1" applyAlignment="1">
      <alignment horizontal="center"/>
    </xf>
    <xf numFmtId="0" fontId="167" fillId="45" borderId="67" xfId="8736" applyFont="1" applyFill="1" applyBorder="1" applyAlignment="1">
      <alignment horizontal="left"/>
    </xf>
    <xf numFmtId="0" fontId="167" fillId="45" borderId="68" xfId="8736" applyFont="1" applyFill="1" applyBorder="1" applyAlignment="1">
      <alignment horizontal="left"/>
    </xf>
    <xf numFmtId="0" fontId="167" fillId="45" borderId="71" xfId="8736" applyFont="1" applyFill="1" applyBorder="1" applyAlignment="1">
      <alignment horizontal="left"/>
    </xf>
    <xf numFmtId="0" fontId="104" fillId="45" borderId="72" xfId="8736" applyFont="1" applyFill="1" applyBorder="1" applyAlignment="1">
      <alignment horizontal="center"/>
    </xf>
    <xf numFmtId="0" fontId="104" fillId="45" borderId="11" xfId="8736" applyFont="1" applyFill="1" applyBorder="1" applyAlignment="1">
      <alignment horizontal="center"/>
    </xf>
    <xf numFmtId="0" fontId="104" fillId="45" borderId="76" xfId="8736" applyFont="1" applyFill="1" applyBorder="1" applyAlignment="1">
      <alignment horizontal="center"/>
    </xf>
    <xf numFmtId="0" fontId="173" fillId="48" borderId="72" xfId="8736" applyFont="1" applyFill="1" applyBorder="1" applyAlignment="1" applyProtection="1">
      <alignment horizontal="left" vertical="top"/>
      <protection locked="0"/>
    </xf>
    <xf numFmtId="0" fontId="173" fillId="48" borderId="11" xfId="8736" applyFont="1" applyFill="1" applyBorder="1" applyAlignment="1" applyProtection="1">
      <alignment horizontal="left" vertical="top"/>
      <protection locked="0"/>
    </xf>
    <xf numFmtId="0" fontId="173" fillId="48" borderId="76" xfId="8736" applyFont="1" applyFill="1" applyBorder="1" applyAlignment="1" applyProtection="1">
      <alignment horizontal="left" vertical="top"/>
      <protection locked="0"/>
    </xf>
    <xf numFmtId="0" fontId="173" fillId="48" borderId="69" xfId="8736" applyFont="1" applyFill="1" applyBorder="1" applyAlignment="1" applyProtection="1">
      <alignment horizontal="left" vertical="top"/>
      <protection locked="0"/>
    </xf>
    <xf numFmtId="0" fontId="173" fillId="48" borderId="70" xfId="8736" applyFont="1" applyFill="1" applyBorder="1" applyAlignment="1" applyProtection="1">
      <alignment horizontal="left" vertical="top"/>
      <protection locked="0"/>
    </xf>
    <xf numFmtId="0" fontId="173" fillId="48" borderId="77" xfId="8736" applyFont="1" applyFill="1" applyBorder="1" applyAlignment="1" applyProtection="1">
      <alignment horizontal="left" vertical="top"/>
      <protection locked="0"/>
    </xf>
    <xf numFmtId="14" fontId="173" fillId="48" borderId="11" xfId="8736" applyNumberFormat="1" applyFont="1" applyFill="1" applyBorder="1" applyAlignment="1" applyProtection="1">
      <alignment horizontal="center"/>
      <protection locked="0"/>
    </xf>
    <xf numFmtId="14" fontId="173" fillId="48" borderId="76" xfId="8736" applyNumberFormat="1" applyFont="1" applyFill="1" applyBorder="1" applyAlignment="1" applyProtection="1">
      <alignment horizontal="center"/>
      <protection locked="0"/>
    </xf>
    <xf numFmtId="0" fontId="173" fillId="48" borderId="69" xfId="8736" applyFont="1" applyFill="1" applyBorder="1" applyAlignment="1" applyProtection="1">
      <alignment horizontal="center"/>
      <protection locked="0"/>
    </xf>
    <xf numFmtId="0" fontId="173" fillId="48" borderId="70" xfId="8736" applyFont="1" applyFill="1" applyBorder="1" applyAlignment="1" applyProtection="1">
      <alignment horizontal="center"/>
      <protection locked="0"/>
    </xf>
    <xf numFmtId="14" fontId="173" fillId="48" borderId="70" xfId="8736" applyNumberFormat="1" applyFont="1" applyFill="1" applyBorder="1" applyAlignment="1" applyProtection="1">
      <alignment horizontal="center"/>
      <protection locked="0"/>
    </xf>
    <xf numFmtId="14" fontId="173"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center"/>
    </xf>
    <xf numFmtId="0" fontId="172" fillId="45" borderId="11" xfId="8736" applyFont="1" applyFill="1" applyBorder="1" applyAlignment="1">
      <alignment horizontal="center"/>
    </xf>
    <xf numFmtId="0" fontId="176" fillId="48" borderId="11" xfId="8736" applyFont="1" applyFill="1" applyBorder="1" applyAlignment="1" applyProtection="1">
      <alignment horizontal="left"/>
      <protection locked="0"/>
    </xf>
    <xf numFmtId="14" fontId="175" fillId="48" borderId="11" xfId="8736" applyNumberFormat="1" applyFont="1" applyFill="1" applyBorder="1" applyAlignment="1" applyProtection="1">
      <alignment horizontal="center"/>
      <protection locked="0"/>
    </xf>
    <xf numFmtId="168" fontId="175" fillId="48" borderId="11" xfId="8737" applyNumberFormat="1" applyFont="1" applyFill="1" applyBorder="1" applyAlignment="1" applyProtection="1">
      <alignment horizontal="center"/>
      <protection locked="0"/>
    </xf>
    <xf numFmtId="168" fontId="175" fillId="48" borderId="76" xfId="8737" applyNumberFormat="1" applyFont="1" applyFill="1" applyBorder="1" applyAlignment="1" applyProtection="1">
      <alignment horizontal="center"/>
      <protection locked="0"/>
    </xf>
    <xf numFmtId="0" fontId="172" fillId="45" borderId="69" xfId="8736" applyFont="1" applyFill="1" applyBorder="1" applyAlignment="1">
      <alignment horizontal="center"/>
    </xf>
    <xf numFmtId="0" fontId="172" fillId="45" borderId="70" xfId="8736" applyFont="1" applyFill="1" applyBorder="1" applyAlignment="1">
      <alignment horizontal="center"/>
    </xf>
    <xf numFmtId="0" fontId="176" fillId="48" borderId="70" xfId="8736" applyFont="1" applyFill="1" applyBorder="1" applyAlignment="1" applyProtection="1">
      <alignment horizontal="left"/>
      <protection locked="0"/>
    </xf>
    <xf numFmtId="0" fontId="175" fillId="48" borderId="70" xfId="8736" applyFont="1" applyFill="1" applyBorder="1" applyAlignment="1" applyProtection="1">
      <alignment horizontal="center"/>
      <protection locked="0"/>
    </xf>
    <xf numFmtId="14" fontId="175" fillId="48" borderId="70" xfId="8736" applyNumberFormat="1" applyFont="1" applyFill="1" applyBorder="1" applyAlignment="1" applyProtection="1">
      <alignment horizontal="center"/>
      <protection locked="0"/>
    </xf>
    <xf numFmtId="168" fontId="175" fillId="48" borderId="70" xfId="8737" applyNumberFormat="1" applyFont="1" applyFill="1" applyBorder="1" applyAlignment="1" applyProtection="1">
      <alignment horizontal="center"/>
      <protection locked="0"/>
    </xf>
    <xf numFmtId="168" fontId="175" fillId="48" borderId="77" xfId="8737" applyNumberFormat="1" applyFont="1" applyFill="1" applyBorder="1" applyAlignment="1" applyProtection="1">
      <alignment horizontal="center"/>
      <protection locked="0"/>
    </xf>
    <xf numFmtId="0" fontId="177" fillId="45" borderId="69" xfId="8736" applyFont="1" applyFill="1" applyBorder="1" applyAlignment="1">
      <alignment horizontal="left"/>
    </xf>
    <xf numFmtId="0" fontId="177" fillId="45" borderId="70" xfId="8736" applyFont="1" applyFill="1" applyBorder="1" applyAlignment="1">
      <alignment horizontal="left"/>
    </xf>
    <xf numFmtId="0" fontId="3" fillId="48" borderId="70" xfId="8736" applyFill="1" applyBorder="1" applyAlignment="1" applyProtection="1">
      <alignment horizontal="center"/>
      <protection locked="0"/>
    </xf>
    <xf numFmtId="0" fontId="3" fillId="48" borderId="77" xfId="8736" applyFill="1" applyBorder="1" applyAlignment="1" applyProtection="1">
      <alignment horizontal="center"/>
      <protection locked="0"/>
    </xf>
    <xf numFmtId="0" fontId="167" fillId="45" borderId="67" xfId="8736" applyFont="1" applyFill="1" applyBorder="1" applyAlignment="1">
      <alignment horizontal="center"/>
    </xf>
    <xf numFmtId="0" fontId="166" fillId="45" borderId="11" xfId="8736" applyFont="1" applyFill="1" applyBorder="1" applyAlignment="1">
      <alignment horizontal="center"/>
    </xf>
    <xf numFmtId="0" fontId="177" fillId="45" borderId="72" xfId="8736" applyFont="1" applyFill="1" applyBorder="1" applyAlignment="1">
      <alignment horizontal="left"/>
    </xf>
    <xf numFmtId="0" fontId="177" fillId="45" borderId="11" xfId="8736" applyFont="1" applyFill="1" applyBorder="1" applyAlignment="1">
      <alignment horizontal="left"/>
    </xf>
    <xf numFmtId="0" fontId="3" fillId="48" borderId="11" xfId="8736" applyFill="1" applyBorder="1" applyAlignment="1" applyProtection="1">
      <alignment horizontal="center"/>
      <protection locked="0"/>
    </xf>
    <xf numFmtId="0" fontId="3" fillId="48" borderId="76" xfId="8736" applyFill="1" applyBorder="1" applyAlignment="1" applyProtection="1">
      <alignment horizontal="center"/>
      <protection locked="0"/>
    </xf>
    <xf numFmtId="0" fontId="166" fillId="45" borderId="11" xfId="8736" applyFont="1" applyFill="1" applyBorder="1" applyAlignment="1">
      <alignment horizontal="center" wrapText="1"/>
    </xf>
    <xf numFmtId="0" fontId="166" fillId="45" borderId="76" xfId="8736" applyFont="1" applyFill="1" applyBorder="1" applyAlignment="1">
      <alignment horizontal="center" wrapText="1"/>
    </xf>
    <xf numFmtId="0" fontId="166" fillId="48" borderId="90" xfId="8736" applyFont="1" applyFill="1" applyBorder="1" applyAlignment="1">
      <alignment horizontal="left"/>
    </xf>
    <xf numFmtId="0" fontId="166" fillId="48" borderId="4" xfId="8736" applyFont="1" applyFill="1" applyBorder="1" applyAlignment="1">
      <alignment horizontal="left"/>
    </xf>
    <xf numFmtId="0" fontId="166" fillId="48" borderId="5" xfId="8736" applyFont="1" applyFill="1" applyBorder="1" applyAlignment="1">
      <alignment horizontal="left"/>
    </xf>
    <xf numFmtId="0" fontId="170" fillId="48" borderId="68" xfId="8736" applyFont="1" applyFill="1" applyBorder="1" applyAlignment="1" applyProtection="1">
      <alignment horizontal="left"/>
      <protection locked="0"/>
    </xf>
    <xf numFmtId="0" fontId="170" fillId="48" borderId="71" xfId="8736" applyFont="1" applyFill="1" applyBorder="1" applyAlignment="1" applyProtection="1">
      <alignment horizontal="left"/>
      <protection locked="0"/>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178" fillId="48" borderId="11" xfId="8736" applyFont="1" applyFill="1" applyBorder="1" applyAlignment="1" applyProtection="1">
      <alignment horizontal="left"/>
      <protection locked="0"/>
    </xf>
    <xf numFmtId="0" fontId="178" fillId="48" borderId="76" xfId="8736" applyFont="1" applyFill="1" applyBorder="1" applyAlignment="1" applyProtection="1">
      <alignment horizontal="left"/>
      <protection locked="0"/>
    </xf>
    <xf numFmtId="0" fontId="175" fillId="48" borderId="72" xfId="8736" applyFont="1" applyFill="1" applyBorder="1" applyAlignment="1" applyProtection="1">
      <alignment horizontal="left" vertical="top"/>
      <protection locked="0"/>
    </xf>
    <xf numFmtId="0" fontId="175" fillId="48" borderId="11" xfId="8736" applyFont="1" applyFill="1" applyBorder="1" applyAlignment="1" applyProtection="1">
      <alignment horizontal="left" vertical="top"/>
      <protection locked="0"/>
    </xf>
    <xf numFmtId="0" fontId="175" fillId="48" borderId="76" xfId="8736" applyFont="1" applyFill="1" applyBorder="1" applyAlignment="1" applyProtection="1">
      <alignment horizontal="left" vertical="top"/>
      <protection locked="0"/>
    </xf>
    <xf numFmtId="0" fontId="175" fillId="48" borderId="69" xfId="8736" applyFont="1" applyFill="1" applyBorder="1" applyAlignment="1" applyProtection="1">
      <alignment horizontal="left" vertical="top"/>
      <protection locked="0"/>
    </xf>
    <xf numFmtId="0" fontId="175" fillId="48" borderId="70" xfId="8736" applyFont="1" applyFill="1" applyBorder="1" applyAlignment="1" applyProtection="1">
      <alignment horizontal="left" vertical="top"/>
      <protection locked="0"/>
    </xf>
    <xf numFmtId="0" fontId="175" fillId="48" borderId="77" xfId="8736" applyFont="1" applyFill="1" applyBorder="1" applyAlignment="1" applyProtection="1">
      <alignment horizontal="left" vertical="top"/>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70" fillId="48" borderId="3" xfId="8736" applyFont="1" applyFill="1" applyBorder="1" applyAlignment="1" applyProtection="1">
      <alignment horizontal="center"/>
      <protection locked="0"/>
    </xf>
    <xf numFmtId="0" fontId="170" fillId="48" borderId="4" xfId="8736" applyFont="1" applyFill="1" applyBorder="1" applyAlignment="1" applyProtection="1">
      <alignment horizontal="center"/>
      <protection locked="0"/>
    </xf>
    <xf numFmtId="0" fontId="170" fillId="48" borderId="81" xfId="8736" applyFont="1" applyFill="1" applyBorder="1" applyAlignment="1" applyProtection="1">
      <alignment horizontal="center"/>
      <protection locked="0"/>
    </xf>
    <xf numFmtId="0" fontId="174" fillId="45" borderId="11" xfId="8736" applyFont="1" applyFill="1" applyBorder="1" applyAlignment="1">
      <alignment horizontal="center"/>
    </xf>
    <xf numFmtId="0" fontId="180" fillId="45" borderId="11" xfId="8736" applyFont="1" applyFill="1" applyBorder="1" applyAlignment="1">
      <alignment horizontal="left"/>
    </xf>
    <xf numFmtId="0" fontId="180" fillId="45" borderId="76" xfId="8736" applyFont="1" applyFill="1" applyBorder="1" applyAlignment="1">
      <alignment horizontal="left"/>
    </xf>
    <xf numFmtId="0" fontId="167" fillId="45" borderId="93" xfId="8736" applyFont="1" applyFill="1" applyBorder="1" applyAlignment="1">
      <alignment horizontal="center"/>
    </xf>
    <xf numFmtId="0" fontId="167" fillId="45" borderId="92" xfId="8736" applyFont="1" applyFill="1" applyBorder="1" applyAlignment="1">
      <alignment horizontal="center"/>
    </xf>
    <xf numFmtId="0" fontId="167" fillId="45" borderId="91" xfId="8736" applyFont="1" applyFill="1" applyBorder="1" applyAlignment="1">
      <alignment horizontal="center"/>
    </xf>
    <xf numFmtId="0" fontId="174" fillId="45" borderId="72" xfId="8736" applyFont="1" applyFill="1" applyBorder="1" applyAlignment="1">
      <alignment horizontal="center"/>
    </xf>
    <xf numFmtId="0" fontId="104" fillId="45" borderId="67" xfId="8736" applyFont="1" applyFill="1" applyBorder="1" applyAlignment="1" applyProtection="1">
      <alignment horizontal="left" vertical="center" wrapText="1"/>
      <protection locked="0"/>
    </xf>
    <xf numFmtId="0" fontId="104" fillId="45" borderId="68" xfId="8736" applyFont="1" applyFill="1" applyBorder="1" applyAlignment="1" applyProtection="1">
      <alignment horizontal="left" vertical="center" wrapText="1"/>
      <protection locked="0"/>
    </xf>
    <xf numFmtId="0" fontId="104" fillId="45" borderId="72" xfId="8736" applyFont="1" applyFill="1" applyBorder="1" applyAlignment="1" applyProtection="1">
      <alignment horizontal="left" vertical="center" wrapText="1"/>
      <protection locked="0"/>
    </xf>
    <xf numFmtId="0" fontId="104" fillId="45" borderId="11" xfId="8736" applyFont="1" applyFill="1" applyBorder="1" applyAlignment="1" applyProtection="1">
      <alignment horizontal="left" vertical="center" wrapText="1"/>
      <protection locked="0"/>
    </xf>
    <xf numFmtId="0" fontId="170" fillId="48" borderId="68" xfId="8736" applyFont="1" applyFill="1" applyBorder="1" applyAlignment="1" applyProtection="1">
      <alignment horizontal="left" vertical="center" wrapText="1"/>
      <protection locked="0"/>
    </xf>
    <xf numFmtId="0" fontId="170" fillId="48" borderId="71" xfId="8736" applyFont="1" applyFill="1" applyBorder="1" applyAlignment="1" applyProtection="1">
      <alignment horizontal="left" vertical="center" wrapText="1"/>
      <protection locked="0"/>
    </xf>
    <xf numFmtId="0" fontId="170" fillId="48" borderId="11" xfId="8736" applyFont="1" applyFill="1" applyBorder="1" applyAlignment="1" applyProtection="1">
      <alignment horizontal="left" vertical="center" wrapText="1"/>
      <protection locked="0"/>
    </xf>
    <xf numFmtId="0" fontId="170" fillId="48" borderId="76" xfId="8736" applyFont="1" applyFill="1" applyBorder="1" applyAlignment="1" applyProtection="1">
      <alignment horizontal="left" vertical="center" wrapText="1"/>
      <protection locked="0"/>
    </xf>
    <xf numFmtId="0" fontId="173" fillId="48" borderId="72" xfId="8736" applyFont="1" applyFill="1" applyBorder="1" applyAlignment="1" applyProtection="1">
      <alignment horizontal="left" vertical="top" wrapText="1"/>
      <protection locked="0"/>
    </xf>
    <xf numFmtId="0" fontId="173" fillId="48" borderId="11" xfId="8736" applyFont="1" applyFill="1" applyBorder="1" applyAlignment="1" applyProtection="1">
      <alignment horizontal="left" vertical="top" wrapText="1"/>
      <protection locked="0"/>
    </xf>
    <xf numFmtId="0" fontId="173" fillId="48" borderId="69" xfId="8736" applyFont="1" applyFill="1" applyBorder="1" applyAlignment="1" applyProtection="1">
      <alignment horizontal="left" vertical="top" wrapText="1"/>
      <protection locked="0"/>
    </xf>
    <xf numFmtId="0" fontId="173" fillId="48" borderId="70" xfId="8736" applyFont="1" applyFill="1" applyBorder="1" applyAlignment="1" applyProtection="1">
      <alignment horizontal="left" vertical="top" wrapText="1"/>
      <protection locked="0"/>
    </xf>
    <xf numFmtId="0" fontId="170" fillId="48" borderId="11" xfId="8736" applyFont="1" applyFill="1" applyBorder="1" applyAlignment="1" applyProtection="1">
      <alignment horizontal="center" vertical="center" wrapText="1"/>
      <protection locked="0"/>
    </xf>
    <xf numFmtId="0" fontId="170" fillId="48" borderId="76" xfId="8736" applyFont="1" applyFill="1" applyBorder="1" applyAlignment="1" applyProtection="1">
      <alignment horizontal="center" vertical="center" wrapText="1"/>
      <protection locked="0"/>
    </xf>
    <xf numFmtId="0" fontId="170" fillId="48" borderId="70" xfId="8736" applyFont="1" applyFill="1" applyBorder="1" applyAlignment="1" applyProtection="1">
      <alignment horizontal="center" vertical="center" wrapText="1"/>
      <protection locked="0"/>
    </xf>
    <xf numFmtId="0" fontId="170" fillId="48" borderId="77" xfId="8736" applyFont="1" applyFill="1" applyBorder="1" applyAlignment="1" applyProtection="1">
      <alignment horizontal="center" vertical="center" wrapText="1"/>
      <protection locked="0"/>
    </xf>
    <xf numFmtId="0" fontId="3" fillId="51" borderId="70" xfId="8736" applyFill="1" applyBorder="1" applyAlignment="1" applyProtection="1">
      <alignment horizontal="center"/>
      <protection locked="0"/>
    </xf>
    <xf numFmtId="0" fontId="3" fillId="51" borderId="77" xfId="8736" applyFill="1" applyBorder="1" applyAlignment="1" applyProtection="1">
      <alignment horizontal="center"/>
      <protection locked="0"/>
    </xf>
    <xf numFmtId="0" fontId="104" fillId="45" borderId="67" xfId="8736" applyFont="1" applyFill="1" applyBorder="1" applyAlignment="1">
      <alignment horizontal="left" wrapText="1"/>
    </xf>
    <xf numFmtId="0" fontId="104" fillId="45" borderId="68" xfId="8736" applyFont="1" applyFill="1" applyBorder="1" applyAlignment="1">
      <alignment horizontal="left" wrapText="1"/>
    </xf>
    <xf numFmtId="0" fontId="104" fillId="45" borderId="71" xfId="8736" applyFont="1" applyFill="1" applyBorder="1" applyAlignment="1">
      <alignment horizontal="left" wrapText="1"/>
    </xf>
    <xf numFmtId="0" fontId="104" fillId="45" borderId="72" xfId="8736" applyFont="1" applyFill="1" applyBorder="1" applyAlignment="1">
      <alignment horizontal="left" wrapText="1"/>
    </xf>
    <xf numFmtId="0" fontId="104" fillId="45" borderId="11" xfId="8736" applyFont="1" applyFill="1" applyBorder="1" applyAlignment="1">
      <alignment horizontal="left" wrapText="1"/>
    </xf>
    <xf numFmtId="0" fontId="104" fillId="45" borderId="76" xfId="8736" applyFont="1" applyFill="1" applyBorder="1" applyAlignment="1">
      <alignment horizontal="left" wrapText="1"/>
    </xf>
    <xf numFmtId="0" fontId="104" fillId="45" borderId="65" xfId="8736" applyFont="1" applyFill="1" applyBorder="1" applyAlignment="1">
      <alignment horizontal="center"/>
    </xf>
    <xf numFmtId="0" fontId="104" fillId="45" borderId="29" xfId="8736" applyFont="1" applyFill="1" applyBorder="1" applyAlignment="1">
      <alignment horizontal="center"/>
    </xf>
    <xf numFmtId="0" fontId="104" fillId="45" borderId="31" xfId="8736" applyFont="1" applyFill="1" applyBorder="1" applyAlignment="1">
      <alignment horizontal="center"/>
    </xf>
    <xf numFmtId="0" fontId="174" fillId="45" borderId="69" xfId="8736" applyFont="1" applyFill="1" applyBorder="1" applyAlignment="1">
      <alignment horizontal="center"/>
    </xf>
    <xf numFmtId="0" fontId="174" fillId="45" borderId="70" xfId="8736" applyFont="1" applyFill="1" applyBorder="1" applyAlignment="1">
      <alignment horizontal="center"/>
    </xf>
    <xf numFmtId="0" fontId="174" fillId="45" borderId="11" xfId="8736" applyFont="1" applyFill="1" applyBorder="1" applyAlignment="1">
      <alignment horizontal="center" wrapText="1"/>
    </xf>
    <xf numFmtId="0" fontId="166" fillId="45" borderId="76" xfId="8736" applyFont="1" applyFill="1" applyBorder="1" applyAlignment="1">
      <alignment horizontal="center"/>
    </xf>
    <xf numFmtId="0" fontId="3" fillId="48" borderId="9" xfId="8736" applyFill="1" applyBorder="1" applyAlignment="1" applyProtection="1">
      <alignment horizontal="center"/>
      <protection locked="0"/>
    </xf>
    <xf numFmtId="0" fontId="3" fillId="48" borderId="6" xfId="8736" applyFill="1" applyBorder="1" applyAlignment="1" applyProtection="1">
      <alignment horizontal="center"/>
      <protection locked="0"/>
    </xf>
    <xf numFmtId="0" fontId="3" fillId="48" borderId="82" xfId="8736" applyFill="1" applyBorder="1" applyAlignment="1" applyProtection="1">
      <alignment horizontal="center"/>
      <protection locked="0"/>
    </xf>
    <xf numFmtId="0" fontId="104" fillId="45" borderId="67" xfId="8736" applyFont="1" applyFill="1" applyBorder="1" applyAlignment="1">
      <alignment horizontal="center" wrapText="1"/>
    </xf>
    <xf numFmtId="0" fontId="104" fillId="45" borderId="68" xfId="8736" applyFont="1" applyFill="1" applyBorder="1" applyAlignment="1">
      <alignment horizontal="center" wrapText="1"/>
    </xf>
    <xf numFmtId="0" fontId="104" fillId="45" borderId="71" xfId="8736" applyFont="1" applyFill="1" applyBorder="1" applyAlignment="1">
      <alignment horizontal="center" wrapText="1"/>
    </xf>
    <xf numFmtId="0" fontId="170" fillId="48" borderId="68" xfId="8736" applyFont="1" applyFill="1" applyBorder="1" applyAlignment="1" applyProtection="1">
      <alignment horizontal="left" wrapText="1"/>
      <protection locked="0"/>
    </xf>
    <xf numFmtId="0" fontId="170" fillId="48" borderId="71" xfId="8736" applyFont="1" applyFill="1" applyBorder="1" applyAlignment="1" applyProtection="1">
      <alignment horizontal="left" wrapText="1"/>
      <protection locked="0"/>
    </xf>
    <xf numFmtId="0" fontId="170" fillId="48" borderId="11" xfId="8736" applyFont="1" applyFill="1" applyBorder="1" applyAlignment="1" applyProtection="1">
      <alignment horizontal="left" wrapText="1"/>
      <protection locked="0"/>
    </xf>
    <xf numFmtId="0" fontId="170" fillId="48" borderId="76" xfId="8736" applyFont="1" applyFill="1" applyBorder="1" applyAlignment="1" applyProtection="1">
      <alignment horizontal="left" wrapText="1"/>
      <protection locked="0"/>
    </xf>
    <xf numFmtId="0" fontId="175" fillId="48" borderId="72" xfId="8736" applyFont="1" applyFill="1" applyBorder="1" applyAlignment="1" applyProtection="1">
      <alignment horizontal="right"/>
      <protection locked="0"/>
    </xf>
    <xf numFmtId="0" fontId="175" fillId="48" borderId="11" xfId="8736" applyFont="1" applyFill="1" applyBorder="1" applyAlignment="1" applyProtection="1">
      <alignment horizontal="right"/>
      <protection locked="0"/>
    </xf>
    <xf numFmtId="168" fontId="175" fillId="48" borderId="76" xfId="700" applyNumberFormat="1" applyFont="1" applyFill="1" applyBorder="1" applyAlignment="1" applyProtection="1">
      <alignment horizontal="left"/>
      <protection locked="0"/>
    </xf>
    <xf numFmtId="0" fontId="167" fillId="45" borderId="98" xfId="8736" applyFont="1" applyFill="1" applyBorder="1" applyAlignment="1">
      <alignment horizontal="center"/>
    </xf>
    <xf numFmtId="0" fontId="167" fillId="45" borderId="13" xfId="8736" applyFont="1" applyFill="1" applyBorder="1" applyAlignment="1">
      <alignment horizontal="center"/>
    </xf>
    <xf numFmtId="0" fontId="173" fillId="48" borderId="72" xfId="8736" applyFont="1" applyFill="1" applyBorder="1" applyAlignment="1" applyProtection="1">
      <alignment horizontal="right"/>
      <protection locked="0"/>
    </xf>
    <xf numFmtId="0" fontId="173" fillId="48" borderId="11" xfId="8736" applyFont="1" applyFill="1" applyBorder="1" applyAlignment="1" applyProtection="1">
      <alignment horizontal="right"/>
      <protection locked="0"/>
    </xf>
    <xf numFmtId="0" fontId="167" fillId="45" borderId="89" xfId="8736" applyFont="1" applyFill="1" applyBorder="1" applyAlignment="1">
      <alignment horizontal="right"/>
    </xf>
    <xf numFmtId="0" fontId="167" fillId="45" borderId="43" xfId="8736" applyFont="1" applyFill="1" applyBorder="1" applyAlignment="1">
      <alignment horizontal="right"/>
    </xf>
    <xf numFmtId="168" fontId="167" fillId="45" borderId="43" xfId="8736" applyNumberFormat="1" applyFont="1" applyFill="1" applyBorder="1" applyAlignment="1">
      <alignment horizontal="left"/>
    </xf>
    <xf numFmtId="168" fontId="167" fillId="45" borderId="88" xfId="8736" applyNumberFormat="1" applyFont="1" applyFill="1" applyBorder="1" applyAlignment="1">
      <alignment horizontal="left"/>
    </xf>
    <xf numFmtId="0" fontId="173" fillId="48" borderId="68" xfId="8736" applyFont="1" applyFill="1" applyBorder="1" applyAlignment="1" applyProtection="1">
      <alignment horizontal="left"/>
      <protection locked="0"/>
    </xf>
    <xf numFmtId="0" fontId="173" fillId="48" borderId="71" xfId="8736" applyFont="1" applyFill="1" applyBorder="1" applyAlignment="1" applyProtection="1">
      <alignment horizontal="left"/>
      <protection locked="0"/>
    </xf>
    <xf numFmtId="0" fontId="167" fillId="45" borderId="69" xfId="8736" applyFont="1" applyFill="1" applyBorder="1" applyAlignment="1">
      <alignment horizontal="center"/>
    </xf>
    <xf numFmtId="0" fontId="167" fillId="45" borderId="70" xfId="8736" applyFont="1" applyFill="1" applyBorder="1" applyAlignment="1">
      <alignment horizontal="center"/>
    </xf>
    <xf numFmtId="0" fontId="173" fillId="48" borderId="70" xfId="8736" applyFont="1" applyFill="1" applyBorder="1" applyAlignment="1" applyProtection="1">
      <alignment horizontal="left"/>
      <protection locked="0"/>
    </xf>
    <xf numFmtId="0" fontId="173" fillId="48" borderId="77" xfId="8736" applyFont="1" applyFill="1" applyBorder="1" applyAlignment="1" applyProtection="1">
      <alignment horizontal="left"/>
      <protection locked="0"/>
    </xf>
    <xf numFmtId="0" fontId="170" fillId="48" borderId="74" xfId="8736" applyFont="1" applyFill="1" applyBorder="1" applyAlignment="1" applyProtection="1">
      <alignment horizontal="left"/>
      <protection locked="0"/>
    </xf>
    <xf numFmtId="0" fontId="167" fillId="45" borderId="72" xfId="8736" applyFont="1" applyFill="1" applyBorder="1" applyAlignment="1">
      <alignment horizontal="center"/>
    </xf>
    <xf numFmtId="0" fontId="167" fillId="45" borderId="11" xfId="8736" applyFont="1" applyFill="1" applyBorder="1" applyAlignment="1">
      <alignment horizontal="center"/>
    </xf>
    <xf numFmtId="0" fontId="167" fillId="45" borderId="3" xfId="8736" applyFont="1" applyFill="1" applyBorder="1" applyAlignment="1">
      <alignment horizontal="center"/>
    </xf>
    <xf numFmtId="0" fontId="167" fillId="45" borderId="4" xfId="8736" applyFont="1" applyFill="1" applyBorder="1" applyAlignment="1">
      <alignment horizontal="center"/>
    </xf>
    <xf numFmtId="0" fontId="167" fillId="45" borderId="81" xfId="8736" applyFont="1" applyFill="1" applyBorder="1" applyAlignment="1">
      <alignment horizontal="center"/>
    </xf>
    <xf numFmtId="0" fontId="104" fillId="45" borderId="69" xfId="8736" applyFont="1" applyFill="1" applyBorder="1" applyAlignment="1">
      <alignment horizontal="center"/>
    </xf>
    <xf numFmtId="0" fontId="104" fillId="45" borderId="70" xfId="8736" applyFont="1" applyFill="1" applyBorder="1" applyAlignment="1">
      <alignment horizontal="center"/>
    </xf>
    <xf numFmtId="0" fontId="173" fillId="44" borderId="72" xfId="8736" applyFont="1" applyFill="1" applyBorder="1" applyAlignment="1" applyProtection="1">
      <alignment horizontal="right"/>
      <protection locked="0"/>
    </xf>
    <xf numFmtId="0" fontId="173" fillId="44" borderId="11" xfId="8736" applyFont="1" applyFill="1" applyBorder="1" applyAlignment="1" applyProtection="1">
      <alignment horizontal="right"/>
      <protection locked="0"/>
    </xf>
    <xf numFmtId="0" fontId="173" fillId="44" borderId="76" xfId="8736" applyFont="1" applyFill="1" applyBorder="1" applyAlignment="1" applyProtection="1">
      <alignment horizontal="right"/>
      <protection locked="0"/>
    </xf>
    <xf numFmtId="0" fontId="173" fillId="48" borderId="5" xfId="8736" applyFont="1" applyFill="1" applyBorder="1" applyAlignment="1" applyProtection="1">
      <alignment horizontal="left"/>
      <protection locked="0"/>
    </xf>
    <xf numFmtId="0" fontId="173" fillId="44" borderId="69" xfId="8736" applyFont="1" applyFill="1" applyBorder="1" applyAlignment="1" applyProtection="1">
      <alignment horizontal="right"/>
      <protection locked="0"/>
    </xf>
    <xf numFmtId="0" fontId="173" fillId="44" borderId="70" xfId="8736" applyFont="1" applyFill="1" applyBorder="1" applyAlignment="1" applyProtection="1">
      <alignment horizontal="right"/>
      <protection locked="0"/>
    </xf>
    <xf numFmtId="0" fontId="173" fillId="44" borderId="77" xfId="8736" applyFont="1" applyFill="1" applyBorder="1" applyAlignment="1" applyProtection="1">
      <alignment horizontal="right"/>
      <protection locked="0"/>
    </xf>
    <xf numFmtId="0" fontId="173" fillId="48" borderId="95" xfId="8736" applyFont="1" applyFill="1" applyBorder="1" applyAlignment="1" applyProtection="1">
      <alignment horizontal="left"/>
      <protection locked="0"/>
    </xf>
    <xf numFmtId="0" fontId="167" fillId="45" borderId="65" xfId="8736" applyFont="1" applyFill="1" applyBorder="1" applyAlignment="1">
      <alignment horizontal="center"/>
    </xf>
    <xf numFmtId="0" fontId="167" fillId="45" borderId="29" xfId="8736" applyFont="1" applyFill="1" applyBorder="1" applyAlignment="1">
      <alignment horizontal="center"/>
    </xf>
    <xf numFmtId="0" fontId="167" fillId="45" borderId="31" xfId="8736" applyFont="1" applyFill="1" applyBorder="1" applyAlignment="1">
      <alignment horizontal="center"/>
    </xf>
    <xf numFmtId="168" fontId="173" fillId="48" borderId="11" xfId="8737" applyNumberFormat="1" applyFont="1" applyFill="1" applyBorder="1" applyAlignment="1" applyProtection="1">
      <alignment horizontal="center"/>
      <protection locked="0"/>
    </xf>
    <xf numFmtId="1" fontId="173" fillId="48" borderId="11" xfId="8736" applyNumberFormat="1" applyFont="1" applyFill="1" applyBorder="1" applyAlignment="1" applyProtection="1">
      <alignment horizontal="center"/>
      <protection locked="0"/>
    </xf>
    <xf numFmtId="0" fontId="173" fillId="48" borderId="11" xfId="700" applyNumberFormat="1" applyFont="1" applyFill="1" applyBorder="1" applyAlignment="1" applyProtection="1">
      <alignment horizontal="left"/>
      <protection locked="0"/>
    </xf>
    <xf numFmtId="0" fontId="173" fillId="48" borderId="76" xfId="700" applyNumberFormat="1" applyFont="1" applyFill="1" applyBorder="1" applyAlignment="1" applyProtection="1">
      <alignment horizontal="left"/>
      <protection locked="0"/>
    </xf>
    <xf numFmtId="168" fontId="174" fillId="45" borderId="70" xfId="8737" applyNumberFormat="1" applyFont="1" applyFill="1" applyBorder="1" applyAlignment="1">
      <alignment horizontal="center"/>
    </xf>
    <xf numFmtId="1" fontId="174" fillId="45" borderId="70" xfId="8737" applyNumberFormat="1" applyFont="1" applyFill="1" applyBorder="1" applyAlignment="1">
      <alignment horizontal="center"/>
    </xf>
    <xf numFmtId="0" fontId="174" fillId="45" borderId="70" xfId="8737" applyNumberFormat="1" applyFont="1" applyFill="1" applyBorder="1" applyAlignment="1">
      <alignment horizontal="center"/>
    </xf>
    <xf numFmtId="0" fontId="174" fillId="45" borderId="77" xfId="8737" applyNumberFormat="1" applyFont="1" applyFill="1" applyBorder="1" applyAlignment="1">
      <alignment horizontal="center"/>
    </xf>
    <xf numFmtId="0" fontId="166" fillId="45" borderId="11" xfId="8736" applyFont="1" applyFill="1" applyBorder="1" applyAlignment="1">
      <alignment horizontal="center" vertical="center" wrapText="1"/>
    </xf>
    <xf numFmtId="0" fontId="166" fillId="45" borderId="76" xfId="8736" applyFont="1" applyFill="1" applyBorder="1" applyAlignment="1">
      <alignment horizontal="center" vertical="center" wrapText="1"/>
    </xf>
    <xf numFmtId="1" fontId="178" fillId="48" borderId="70" xfId="8736" applyNumberFormat="1" applyFont="1" applyFill="1" applyBorder="1" applyAlignment="1" applyProtection="1">
      <alignment horizontal="center"/>
      <protection locked="0"/>
    </xf>
    <xf numFmtId="1" fontId="178" fillId="48" borderId="94" xfId="8736" applyNumberFormat="1" applyFont="1" applyFill="1" applyBorder="1" applyAlignment="1" applyProtection="1">
      <alignment horizontal="center"/>
      <protection locked="0"/>
    </xf>
    <xf numFmtId="1" fontId="178" fillId="48" borderId="86" xfId="8736" applyNumberFormat="1" applyFont="1" applyFill="1" applyBorder="1" applyAlignment="1" applyProtection="1">
      <alignment horizontal="center"/>
      <protection locked="0"/>
    </xf>
    <xf numFmtId="1" fontId="178" fillId="48" borderId="95" xfId="8736" applyNumberFormat="1" applyFont="1" applyFill="1" applyBorder="1" applyAlignment="1" applyProtection="1">
      <alignment horizontal="center"/>
      <protection locked="0"/>
    </xf>
    <xf numFmtId="1" fontId="178" fillId="48" borderId="3" xfId="8736" applyNumberFormat="1" applyFont="1" applyFill="1" applyBorder="1" applyAlignment="1" applyProtection="1">
      <alignment horizontal="center"/>
      <protection locked="0"/>
    </xf>
    <xf numFmtId="1" fontId="178" fillId="48" borderId="4" xfId="8736" applyNumberFormat="1" applyFont="1" applyFill="1" applyBorder="1" applyAlignment="1" applyProtection="1">
      <alignment horizontal="center"/>
      <protection locked="0"/>
    </xf>
    <xf numFmtId="1" fontId="178" fillId="48" borderId="5" xfId="8736" applyNumberFormat="1" applyFont="1" applyFill="1" applyBorder="1" applyAlignment="1" applyProtection="1">
      <alignment horizontal="center"/>
      <protection locked="0"/>
    </xf>
    <xf numFmtId="1" fontId="166" fillId="44" borderId="3" xfId="8736" applyNumberFormat="1" applyFont="1" applyFill="1" applyBorder="1" applyAlignment="1">
      <alignment horizontal="center"/>
    </xf>
    <xf numFmtId="1" fontId="166" fillId="44" borderId="4" xfId="8736" applyNumberFormat="1" applyFont="1" applyFill="1" applyBorder="1" applyAlignment="1">
      <alignment horizontal="center"/>
    </xf>
    <xf numFmtId="1" fontId="166" fillId="44" borderId="5" xfId="8736" applyNumberFormat="1" applyFont="1" applyFill="1" applyBorder="1" applyAlignment="1">
      <alignment horizontal="center"/>
    </xf>
    <xf numFmtId="9" fontId="166" fillId="44" borderId="3" xfId="8738" applyFont="1" applyFill="1" applyBorder="1" applyAlignment="1">
      <alignment horizontal="center"/>
    </xf>
    <xf numFmtId="9" fontId="166" fillId="44" borderId="4" xfId="8738" applyFont="1" applyFill="1" applyBorder="1" applyAlignment="1">
      <alignment horizontal="center"/>
    </xf>
    <xf numFmtId="9" fontId="166" fillId="44" borderId="81" xfId="8738" applyFont="1" applyFill="1" applyBorder="1" applyAlignment="1">
      <alignment horizontal="center"/>
    </xf>
    <xf numFmtId="0" fontId="173" fillId="48" borderId="69" xfId="8736" applyFont="1" applyFill="1" applyBorder="1" applyAlignment="1" applyProtection="1">
      <alignment horizontal="right"/>
      <protection locked="0"/>
    </xf>
    <xf numFmtId="0" fontId="173" fillId="48" borderId="70" xfId="8736" applyFont="1" applyFill="1" applyBorder="1" applyAlignment="1" applyProtection="1">
      <alignment horizontal="right"/>
      <protection locked="0"/>
    </xf>
    <xf numFmtId="0" fontId="178" fillId="48" borderId="70" xfId="8736" applyFont="1" applyFill="1" applyBorder="1" applyAlignment="1" applyProtection="1">
      <alignment horizontal="center"/>
      <protection locked="0"/>
    </xf>
    <xf numFmtId="9" fontId="166" fillId="44" borderId="94" xfId="8738" applyFont="1" applyFill="1" applyBorder="1" applyAlignment="1">
      <alignment horizontal="center"/>
    </xf>
    <xf numFmtId="9" fontId="166" fillId="44" borderId="86" xfId="8738" applyFont="1" applyFill="1" applyBorder="1" applyAlignment="1">
      <alignment horizontal="center"/>
    </xf>
    <xf numFmtId="9" fontId="166" fillId="44" borderId="85" xfId="8738" applyFont="1" applyFill="1" applyBorder="1" applyAlignment="1">
      <alignment horizontal="center"/>
    </xf>
    <xf numFmtId="0" fontId="178" fillId="48" borderId="11" xfId="8736" applyFont="1" applyFill="1" applyBorder="1" applyAlignment="1" applyProtection="1">
      <alignment horizontal="center"/>
      <protection locked="0"/>
    </xf>
    <xf numFmtId="1" fontId="178" fillId="48" borderId="11" xfId="8736" applyNumberFormat="1" applyFont="1" applyFill="1" applyBorder="1" applyAlignment="1" applyProtection="1">
      <alignment horizontal="center"/>
      <protection locked="0"/>
    </xf>
    <xf numFmtId="0" fontId="174" fillId="44" borderId="101" xfId="8736" applyFont="1" applyFill="1" applyBorder="1" applyAlignment="1">
      <alignment horizontal="center"/>
    </xf>
    <xf numFmtId="0" fontId="174" fillId="44" borderId="42" xfId="8736" applyFont="1" applyFill="1" applyBorder="1" applyAlignment="1">
      <alignment horizontal="center"/>
    </xf>
    <xf numFmtId="0" fontId="174" fillId="44" borderId="96" xfId="8736" applyFont="1" applyFill="1" applyBorder="1" applyAlignment="1">
      <alignment horizontal="center"/>
    </xf>
    <xf numFmtId="9" fontId="174" fillId="44" borderId="101" xfId="1022" applyFont="1" applyFill="1" applyBorder="1" applyAlignment="1">
      <alignment horizontal="center"/>
    </xf>
    <xf numFmtId="9" fontId="174" fillId="44" borderId="42" xfId="1022" applyFont="1" applyFill="1" applyBorder="1" applyAlignment="1">
      <alignment horizontal="center"/>
    </xf>
    <xf numFmtId="9" fontId="174" fillId="44" borderId="44" xfId="1022" applyFont="1" applyFill="1" applyBorder="1" applyAlignment="1">
      <alignment horizontal="center"/>
    </xf>
    <xf numFmtId="0" fontId="167" fillId="45" borderId="80" xfId="8736" applyFont="1" applyFill="1" applyBorder="1" applyAlignment="1">
      <alignment horizontal="center"/>
    </xf>
    <xf numFmtId="0" fontId="167" fillId="45" borderId="79" xfId="8736" applyFont="1" applyFill="1" applyBorder="1" applyAlignment="1">
      <alignment horizontal="center"/>
    </xf>
    <xf numFmtId="0" fontId="167" fillId="45" borderId="78" xfId="8736" applyFont="1" applyFill="1" applyBorder="1" applyAlignment="1">
      <alignment horizontal="center"/>
    </xf>
    <xf numFmtId="0" fontId="166" fillId="45" borderId="98" xfId="8736" applyFont="1" applyFill="1" applyBorder="1" applyAlignment="1">
      <alignment horizontal="center" vertical="center" wrapText="1"/>
    </xf>
    <xf numFmtId="0" fontId="166" fillId="45" borderId="13" xfId="8736" applyFont="1" applyFill="1" applyBorder="1" applyAlignment="1">
      <alignment horizontal="center" vertical="center"/>
    </xf>
    <xf numFmtId="0" fontId="166" fillId="45" borderId="72" xfId="8736" applyFont="1" applyFill="1" applyBorder="1" applyAlignment="1">
      <alignment horizontal="center" vertical="center"/>
    </xf>
    <xf numFmtId="0" fontId="166" fillId="45" borderId="11" xfId="8736" applyFont="1" applyFill="1" applyBorder="1" applyAlignment="1">
      <alignment horizontal="center" vertical="center"/>
    </xf>
    <xf numFmtId="0" fontId="174" fillId="45" borderId="13" xfId="8736" applyFont="1" applyFill="1" applyBorder="1" applyAlignment="1">
      <alignment horizontal="center" vertical="center" wrapText="1"/>
    </xf>
    <xf numFmtId="0" fontId="174" fillId="45" borderId="13" xfId="8736" applyFont="1" applyFill="1" applyBorder="1" applyAlignment="1">
      <alignment horizontal="center" vertical="center"/>
    </xf>
    <xf numFmtId="0" fontId="174" fillId="45" borderId="11" xfId="8736" applyFont="1" applyFill="1" applyBorder="1" applyAlignment="1">
      <alignment horizontal="center" vertical="center"/>
    </xf>
    <xf numFmtId="0" fontId="174" fillId="45" borderId="9" xfId="8736" applyFont="1" applyFill="1" applyBorder="1" applyAlignment="1">
      <alignment horizontal="center" vertical="center"/>
    </xf>
    <xf numFmtId="0" fontId="174" fillId="45" borderId="3" xfId="8736" applyFont="1" applyFill="1" applyBorder="1" applyAlignment="1">
      <alignment horizontal="center" vertic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6" fillId="45" borderId="65" xfId="8736" applyFont="1" applyFill="1" applyBorder="1" applyAlignment="1">
      <alignment horizontal="center" vertical="center" wrapText="1"/>
    </xf>
    <xf numFmtId="0" fontId="166" fillId="45" borderId="29" xfId="8736" applyFont="1" applyFill="1" applyBorder="1" applyAlignment="1">
      <alignment horizontal="center" vertical="center" wrapText="1"/>
    </xf>
    <xf numFmtId="0" fontId="166" fillId="45" borderId="31" xfId="8736" applyFont="1" applyFill="1" applyBorder="1" applyAlignment="1">
      <alignment horizontal="center" vertical="center" wrapText="1"/>
    </xf>
    <xf numFmtId="0" fontId="166" fillId="45" borderId="73" xfId="8736" applyFont="1" applyFill="1" applyBorder="1" applyAlignment="1">
      <alignment horizontal="center" vertical="center" wrapText="1"/>
    </xf>
    <xf numFmtId="0" fontId="166" fillId="45" borderId="42" xfId="8736" applyFont="1" applyFill="1" applyBorder="1" applyAlignment="1">
      <alignment horizontal="center" vertical="center" wrapText="1"/>
    </xf>
    <xf numFmtId="0" fontId="166" fillId="45" borderId="44" xfId="8736" applyFont="1" applyFill="1" applyBorder="1" applyAlignment="1">
      <alignment horizontal="center" vertical="center" wrapText="1"/>
    </xf>
    <xf numFmtId="9" fontId="174" fillId="48" borderId="13" xfId="8736" applyNumberFormat="1" applyFont="1" applyFill="1" applyBorder="1" applyAlignment="1" applyProtection="1">
      <alignment horizontal="center"/>
      <protection locked="0"/>
    </xf>
    <xf numFmtId="0" fontId="174" fillId="44" borderId="73" xfId="8736" applyFont="1" applyFill="1" applyBorder="1" applyAlignment="1">
      <alignment horizontal="center"/>
    </xf>
    <xf numFmtId="0" fontId="166" fillId="44" borderId="9" xfId="8736" applyFont="1" applyFill="1" applyBorder="1" applyAlignment="1">
      <alignment horizontal="center"/>
    </xf>
    <xf numFmtId="0" fontId="166" fillId="44" borderId="6" xfId="8736" applyFont="1" applyFill="1" applyBorder="1" applyAlignment="1">
      <alignment horizontal="center"/>
    </xf>
    <xf numFmtId="0" fontId="166" fillId="44" borderId="82" xfId="8736" applyFont="1" applyFill="1" applyBorder="1" applyAlignment="1">
      <alignment horizontal="center"/>
    </xf>
    <xf numFmtId="9" fontId="174" fillId="48" borderId="9" xfId="8736" applyNumberFormat="1" applyFont="1" applyFill="1" applyBorder="1" applyAlignment="1" applyProtection="1">
      <alignment horizontal="center"/>
      <protection locked="0"/>
    </xf>
    <xf numFmtId="9" fontId="174" fillId="48" borderId="6" xfId="8736" applyNumberFormat="1" applyFont="1" applyFill="1" applyBorder="1" applyAlignment="1" applyProtection="1">
      <alignment horizontal="center"/>
      <protection locked="0"/>
    </xf>
    <xf numFmtId="9" fontId="174" fillId="48" borderId="10" xfId="8736" applyNumberFormat="1" applyFont="1" applyFill="1" applyBorder="1" applyAlignment="1" applyProtection="1">
      <alignment horizontal="center"/>
      <protection locked="0"/>
    </xf>
    <xf numFmtId="9" fontId="166" fillId="48" borderId="9" xfId="8736" applyNumberFormat="1" applyFont="1" applyFill="1" applyBorder="1" applyAlignment="1" applyProtection="1">
      <alignment horizontal="center"/>
      <protection locked="0"/>
    </xf>
    <xf numFmtId="9" fontId="166" fillId="48" borderId="6" xfId="8736" applyNumberFormat="1" applyFont="1" applyFill="1" applyBorder="1" applyAlignment="1" applyProtection="1">
      <alignment horizontal="center"/>
      <protection locked="0"/>
    </xf>
    <xf numFmtId="9" fontId="166" fillId="48" borderId="10" xfId="8736" applyNumberFormat="1" applyFont="1" applyFill="1" applyBorder="1" applyAlignment="1" applyProtection="1">
      <alignment horizontal="center"/>
      <protection locked="0"/>
    </xf>
    <xf numFmtId="0" fontId="166" fillId="44" borderId="10" xfId="8736" applyFont="1" applyFill="1" applyBorder="1" applyAlignment="1">
      <alignment horizontal="center"/>
    </xf>
    <xf numFmtId="0" fontId="173" fillId="48" borderId="3" xfId="8736" applyFont="1" applyFill="1" applyBorder="1" applyAlignment="1" applyProtection="1">
      <alignment horizontal="center"/>
      <protection locked="0"/>
    </xf>
    <xf numFmtId="0" fontId="173" fillId="48" borderId="4" xfId="8736" applyFont="1" applyFill="1" applyBorder="1" applyAlignment="1" applyProtection="1">
      <alignment horizontal="center"/>
      <protection locked="0"/>
    </xf>
    <xf numFmtId="0" fontId="173" fillId="48" borderId="5" xfId="8736" applyFont="1" applyFill="1" applyBorder="1" applyAlignment="1" applyProtection="1">
      <alignment horizontal="center"/>
      <protection locked="0"/>
    </xf>
    <xf numFmtId="10" fontId="174" fillId="44" borderId="3" xfId="8736" applyNumberFormat="1" applyFont="1" applyFill="1" applyBorder="1" applyAlignment="1">
      <alignment horizontal="center"/>
    </xf>
    <xf numFmtId="10" fontId="174" fillId="44" borderId="4" xfId="8736" applyNumberFormat="1" applyFont="1" applyFill="1" applyBorder="1" applyAlignment="1">
      <alignment horizontal="center"/>
    </xf>
    <xf numFmtId="10" fontId="174" fillId="44" borderId="81" xfId="8736" applyNumberFormat="1" applyFont="1" applyFill="1" applyBorder="1" applyAlignment="1">
      <alignment horizontal="center"/>
    </xf>
    <xf numFmtId="0" fontId="174" fillId="44" borderId="87" xfId="8736" applyFont="1" applyFill="1" applyBorder="1" applyAlignment="1">
      <alignment horizontal="center"/>
    </xf>
    <xf numFmtId="0" fontId="174" fillId="44" borderId="86" xfId="8736" applyFont="1" applyFill="1" applyBorder="1" applyAlignment="1">
      <alignment horizontal="center"/>
    </xf>
    <xf numFmtId="0" fontId="174" fillId="44" borderId="95" xfId="8736" applyFont="1" applyFill="1" applyBorder="1" applyAlignment="1">
      <alignment horizontal="center"/>
    </xf>
    <xf numFmtId="0" fontId="173" fillId="44" borderId="94"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10" fontId="174" fillId="44" borderId="94" xfId="8736" applyNumberFormat="1" applyFont="1" applyFill="1" applyBorder="1" applyAlignment="1">
      <alignment horizontal="center"/>
    </xf>
    <xf numFmtId="10" fontId="174" fillId="44" borderId="86" xfId="8736" applyNumberFormat="1" applyFont="1" applyFill="1" applyBorder="1" applyAlignment="1">
      <alignment horizontal="center"/>
    </xf>
    <xf numFmtId="10" fontId="174" fillId="44" borderId="85" xfId="8736" applyNumberFormat="1" applyFont="1" applyFill="1" applyBorder="1" applyAlignment="1">
      <alignment horizontal="center"/>
    </xf>
    <xf numFmtId="9" fontId="173" fillId="48" borderId="90" xfId="8736" applyNumberFormat="1" applyFont="1" applyFill="1" applyBorder="1" applyAlignment="1" applyProtection="1">
      <alignment horizontal="center"/>
      <protection locked="0"/>
    </xf>
    <xf numFmtId="9" fontId="173" fillId="48" borderId="4" xfId="8736" applyNumberFormat="1" applyFont="1" applyFill="1" applyBorder="1" applyAlignment="1" applyProtection="1">
      <alignment horizontal="center"/>
      <protection locked="0"/>
    </xf>
    <xf numFmtId="9" fontId="173" fillId="48" borderId="5" xfId="8736" applyNumberFormat="1" applyFont="1" applyFill="1" applyBorder="1" applyAlignment="1" applyProtection="1">
      <alignment horizontal="center"/>
      <protection locked="0"/>
    </xf>
    <xf numFmtId="0" fontId="173" fillId="44" borderId="3" xfId="8736" applyFont="1" applyFill="1" applyBorder="1" applyAlignment="1">
      <alignment horizontal="center"/>
    </xf>
    <xf numFmtId="0" fontId="173" fillId="44" borderId="4" xfId="8736" applyFont="1" applyFill="1" applyBorder="1" applyAlignment="1">
      <alignment horizontal="center"/>
    </xf>
    <xf numFmtId="0" fontId="173" fillId="44" borderId="5" xfId="8736" applyFont="1" applyFill="1" applyBorder="1" applyAlignment="1">
      <alignment horizontal="center"/>
    </xf>
    <xf numFmtId="0" fontId="104" fillId="45" borderId="80" xfId="8736" applyFont="1" applyFill="1" applyBorder="1" applyAlignment="1">
      <alignment horizontal="right"/>
    </xf>
    <xf numFmtId="0" fontId="104" fillId="45" borderId="79" xfId="8736" applyFont="1" applyFill="1" applyBorder="1" applyAlignment="1">
      <alignment horizontal="right"/>
    </xf>
    <xf numFmtId="0" fontId="104" fillId="45" borderId="103" xfId="8736" applyFont="1" applyFill="1" applyBorder="1" applyAlignment="1">
      <alignment horizontal="right"/>
    </xf>
    <xf numFmtId="0" fontId="3" fillId="44" borderId="84" xfId="8736" applyFill="1" applyBorder="1" applyAlignment="1">
      <alignment horizontal="center"/>
    </xf>
    <xf numFmtId="0" fontId="3" fillId="44" borderId="102" xfId="8736" applyFill="1" applyBorder="1" applyAlignment="1">
      <alignment horizontal="center"/>
    </xf>
    <xf numFmtId="0" fontId="174" fillId="45" borderId="11" xfId="8736" applyFont="1" applyFill="1" applyBorder="1" applyAlignment="1">
      <alignment horizontal="right"/>
    </xf>
    <xf numFmtId="14" fontId="170" fillId="48" borderId="11" xfId="8736" applyNumberFormat="1" applyFont="1" applyFill="1" applyBorder="1" applyAlignment="1" applyProtection="1">
      <alignment horizontal="center" vertical="center"/>
      <protection locked="0"/>
    </xf>
    <xf numFmtId="0" fontId="170" fillId="48" borderId="11" xfId="8736" applyFont="1" applyFill="1" applyBorder="1" applyAlignment="1" applyProtection="1">
      <alignment horizontal="center" vertical="center"/>
      <protection locked="0"/>
    </xf>
    <xf numFmtId="0" fontId="174" fillId="45" borderId="97" xfId="8736" applyFont="1" applyFill="1" applyBorder="1" applyAlignment="1">
      <alignment horizontal="center"/>
    </xf>
    <xf numFmtId="0" fontId="174" fillId="45" borderId="2" xfId="8736" applyFont="1" applyFill="1" applyBorder="1" applyAlignment="1">
      <alignment horizontal="center"/>
    </xf>
    <xf numFmtId="0" fontId="174" fillId="45" borderId="7" xfId="8736" applyFont="1" applyFill="1" applyBorder="1" applyAlignment="1">
      <alignment horizontal="center"/>
    </xf>
    <xf numFmtId="0" fontId="174" fillId="45" borderId="3" xfId="8736" applyFont="1" applyFill="1" applyBorder="1" applyAlignment="1">
      <alignment horizontal="center"/>
    </xf>
    <xf numFmtId="0" fontId="174" fillId="45" borderId="4" xfId="8736" applyFont="1" applyFill="1" applyBorder="1" applyAlignment="1">
      <alignment horizontal="center"/>
    </xf>
    <xf numFmtId="0" fontId="174" fillId="45" borderId="5" xfId="8736" applyFont="1" applyFill="1" applyBorder="1" applyAlignment="1">
      <alignment horizontal="center"/>
    </xf>
    <xf numFmtId="0" fontId="174" fillId="45" borderId="81" xfId="8736" applyFont="1" applyFill="1" applyBorder="1" applyAlignment="1">
      <alignment horizontal="center"/>
    </xf>
    <xf numFmtId="0" fontId="104" fillId="45" borderId="80" xfId="8736" applyFont="1" applyFill="1" applyBorder="1" applyAlignment="1">
      <alignment horizontal="center"/>
    </xf>
    <xf numFmtId="0" fontId="104" fillId="45" borderId="79" xfId="8736" applyFont="1" applyFill="1" applyBorder="1" applyAlignment="1">
      <alignment horizontal="center"/>
    </xf>
    <xf numFmtId="0" fontId="104" fillId="45" borderId="78" xfId="8736" applyFont="1" applyFill="1" applyBorder="1" applyAlignment="1">
      <alignment horizontal="center"/>
    </xf>
    <xf numFmtId="0" fontId="170" fillId="48" borderId="80" xfId="8736" applyFont="1" applyFill="1" applyBorder="1" applyAlignment="1" applyProtection="1">
      <alignment horizontal="center"/>
      <protection locked="0"/>
    </xf>
    <xf numFmtId="0" fontId="170" fillId="48" borderId="79" xfId="8736" applyFont="1" applyFill="1" applyBorder="1" applyAlignment="1" applyProtection="1">
      <alignment horizontal="center"/>
      <protection locked="0"/>
    </xf>
    <xf numFmtId="0" fontId="170" fillId="48" borderId="78" xfId="8736" applyFont="1" applyFill="1" applyBorder="1" applyAlignment="1" applyProtection="1">
      <alignment horizontal="center"/>
      <protection locked="0"/>
    </xf>
    <xf numFmtId="1" fontId="3" fillId="44" borderId="11" xfId="8736" applyNumberFormat="1" applyFill="1" applyBorder="1" applyAlignment="1">
      <alignment horizontal="center"/>
    </xf>
    <xf numFmtId="0" fontId="3" fillId="44" borderId="11" xfId="8736" applyFill="1" applyBorder="1" applyAlignment="1">
      <alignment horizontal="center"/>
    </xf>
    <xf numFmtId="0" fontId="171" fillId="45" borderId="11" xfId="8736" applyFont="1" applyFill="1" applyBorder="1" applyAlignment="1">
      <alignment horizontal="right" wrapText="1"/>
    </xf>
    <xf numFmtId="168" fontId="175" fillId="44" borderId="11" xfId="8737" applyNumberFormat="1" applyFont="1" applyFill="1" applyBorder="1" applyAlignment="1" applyProtection="1">
      <alignment horizontal="left"/>
    </xf>
    <xf numFmtId="0" fontId="177" fillId="45" borderId="11" xfId="8736" applyFont="1" applyFill="1" applyBorder="1" applyAlignment="1">
      <alignment horizontal="right"/>
    </xf>
    <xf numFmtId="14" fontId="170" fillId="48" borderId="11" xfId="8736" applyNumberFormat="1" applyFont="1" applyFill="1" applyBorder="1" applyAlignment="1" applyProtection="1">
      <alignment horizontal="center"/>
      <protection locked="0"/>
    </xf>
    <xf numFmtId="0" fontId="170" fillId="48" borderId="11" xfId="8736" applyFont="1" applyFill="1" applyBorder="1" applyAlignment="1" applyProtection="1">
      <alignment horizontal="center"/>
      <protection locked="0"/>
    </xf>
    <xf numFmtId="0" fontId="171" fillId="45" borderId="11" xfId="8736" applyFont="1" applyFill="1" applyBorder="1" applyAlignment="1">
      <alignment horizontal="right"/>
    </xf>
    <xf numFmtId="1" fontId="170" fillId="48" borderId="11" xfId="8736" applyNumberFormat="1" applyFont="1" applyFill="1" applyBorder="1" applyAlignment="1" applyProtection="1">
      <alignment horizontal="center"/>
      <protection locked="0"/>
    </xf>
    <xf numFmtId="0" fontId="3" fillId="44" borderId="80" xfId="8736" applyFill="1" applyBorder="1" applyAlignment="1">
      <alignment horizontal="center"/>
    </xf>
    <xf numFmtId="0" fontId="3" fillId="44" borderId="79" xfId="8736" applyFill="1" applyBorder="1" applyAlignment="1">
      <alignment horizontal="center"/>
    </xf>
    <xf numFmtId="0" fontId="3" fillId="44" borderId="78" xfId="8736" applyFill="1" applyBorder="1" applyAlignment="1">
      <alignment horizontal="center"/>
    </xf>
    <xf numFmtId="0" fontId="3" fillId="45" borderId="3" xfId="8736" applyFill="1" applyBorder="1" applyAlignment="1">
      <alignment horizontal="center"/>
    </xf>
    <xf numFmtId="0" fontId="3" fillId="45" borderId="4" xfId="8736" applyFill="1" applyBorder="1" applyAlignment="1">
      <alignment horizontal="center"/>
    </xf>
    <xf numFmtId="0" fontId="3" fillId="45" borderId="5" xfId="8736" applyFill="1" applyBorder="1" applyAlignment="1">
      <alignment horizontal="center"/>
    </xf>
    <xf numFmtId="0" fontId="170" fillId="44" borderId="80" xfId="8736" applyFont="1" applyFill="1" applyBorder="1" applyAlignment="1">
      <alignment horizontal="left"/>
    </xf>
    <xf numFmtId="0" fontId="170" fillId="44" borderId="79" xfId="8736" applyFont="1" applyFill="1" applyBorder="1" applyAlignment="1">
      <alignment horizontal="left"/>
    </xf>
    <xf numFmtId="0" fontId="170" fillId="44" borderId="78" xfId="8736" applyFont="1" applyFill="1" applyBorder="1" applyAlignment="1">
      <alignment horizontal="left"/>
    </xf>
    <xf numFmtId="0" fontId="182" fillId="51" borderId="65" xfId="8736" applyFont="1" applyFill="1" applyBorder="1" applyAlignment="1">
      <alignment horizontal="center"/>
    </xf>
    <xf numFmtId="0" fontId="182" fillId="51" borderId="29" xfId="8736" applyFont="1" applyFill="1" applyBorder="1" applyAlignment="1">
      <alignment horizontal="center"/>
    </xf>
    <xf numFmtId="0" fontId="182" fillId="51" borderId="31" xfId="8736" applyFont="1" applyFill="1" applyBorder="1" applyAlignment="1">
      <alignment horizontal="center"/>
    </xf>
    <xf numFmtId="0" fontId="167" fillId="48" borderId="66" xfId="8736" applyFont="1" applyFill="1" applyBorder="1" applyAlignment="1">
      <alignment horizontal="center"/>
    </xf>
    <xf numFmtId="0" fontId="167" fillId="48" borderId="0" xfId="8736" applyFont="1" applyFill="1" applyAlignment="1">
      <alignment horizontal="center"/>
    </xf>
    <xf numFmtId="0" fontId="167" fillId="48" borderId="41" xfId="8736" applyFont="1" applyFill="1" applyBorder="1" applyAlignment="1">
      <alignment horizontal="center"/>
    </xf>
    <xf numFmtId="0" fontId="167" fillId="45" borderId="5" xfId="8736" applyFont="1" applyFill="1" applyBorder="1" applyAlignment="1">
      <alignment horizontal="center"/>
    </xf>
    <xf numFmtId="168" fontId="19" fillId="2" borderId="3" xfId="569" applyNumberFormat="1" applyFill="1" applyBorder="1" applyAlignment="1">
      <alignment horizontal="center"/>
    </xf>
    <xf numFmtId="168" fontId="19" fillId="2" borderId="4" xfId="569" applyNumberFormat="1" applyFill="1" applyBorder="1" applyAlignment="1">
      <alignment horizontal="center"/>
    </xf>
    <xf numFmtId="168" fontId="19" fillId="2" borderId="5" xfId="569" applyNumberFormat="1" applyFill="1" applyBorder="1" applyAlignment="1">
      <alignment horizontal="center"/>
    </xf>
    <xf numFmtId="168" fontId="19" fillId="5" borderId="5" xfId="569" applyNumberFormat="1" applyFill="1" applyBorder="1" applyAlignment="1" applyProtection="1">
      <alignment horizontal="center"/>
      <protection locked="0"/>
    </xf>
    <xf numFmtId="168" fontId="19" fillId="5" borderId="11" xfId="569" applyNumberFormat="1" applyFill="1" applyBorder="1" applyAlignment="1" applyProtection="1">
      <alignment horizontal="center"/>
      <protection locked="0"/>
    </xf>
    <xf numFmtId="168" fontId="19" fillId="0" borderId="5" xfId="569" applyNumberFormat="1" applyBorder="1" applyAlignment="1">
      <alignment horizontal="center"/>
    </xf>
    <xf numFmtId="168" fontId="19" fillId="0" borderId="11" xfId="569" applyNumberFormat="1" applyBorder="1" applyAlignment="1">
      <alignment horizontal="center"/>
    </xf>
    <xf numFmtId="168" fontId="19" fillId="0" borderId="3" xfId="569" applyNumberFormat="1" applyBorder="1" applyAlignment="1">
      <alignment horizontal="center"/>
    </xf>
    <xf numFmtId="168" fontId="19" fillId="0" borderId="4" xfId="569" applyNumberFormat="1" applyBorder="1" applyAlignment="1">
      <alignment horizontal="center"/>
    </xf>
    <xf numFmtId="179" fontId="26" fillId="0" borderId="0" xfId="569" applyNumberFormat="1" applyFont="1" applyAlignment="1">
      <alignment horizontal="center" wrapText="1"/>
    </xf>
    <xf numFmtId="0" fontId="26" fillId="0" borderId="16" xfId="271" applyFont="1" applyBorder="1" applyAlignment="1">
      <alignment horizontal="center"/>
    </xf>
    <xf numFmtId="164" fontId="26" fillId="0" borderId="0" xfId="569" applyNumberFormat="1" applyFont="1" applyAlignment="1">
      <alignment horizontal="center" wrapText="1"/>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55" fillId="0" borderId="0" xfId="569" applyFont="1" applyAlignment="1">
      <alignment horizontal="left"/>
    </xf>
    <xf numFmtId="0" fontId="19" fillId="0" borderId="3" xfId="569" applyBorder="1" applyAlignment="1">
      <alignment horizontal="right"/>
    </xf>
    <xf numFmtId="0" fontId="19" fillId="0" borderId="4" xfId="569" applyBorder="1" applyAlignment="1">
      <alignment horizontal="right"/>
    </xf>
    <xf numFmtId="0" fontId="19" fillId="0" borderId="5" xfId="569" applyBorder="1" applyAlignment="1">
      <alignment horizontal="right"/>
    </xf>
    <xf numFmtId="0" fontId="27" fillId="0" borderId="3" xfId="569" applyFont="1" applyBorder="1" applyAlignment="1">
      <alignment horizontal="right"/>
    </xf>
    <xf numFmtId="0" fontId="27" fillId="0" borderId="4" xfId="569" applyFont="1" applyBorder="1" applyAlignment="1">
      <alignment horizontal="right"/>
    </xf>
    <xf numFmtId="0" fontId="27" fillId="0" borderId="5" xfId="569" applyFont="1" applyBorder="1" applyAlignment="1">
      <alignment horizontal="right"/>
    </xf>
    <xf numFmtId="168" fontId="19" fillId="0" borderId="3" xfId="569" applyNumberFormat="1" applyBorder="1" applyAlignment="1">
      <alignment horizontal="right"/>
    </xf>
    <xf numFmtId="168" fontId="19" fillId="0" borderId="4" xfId="569" applyNumberFormat="1" applyBorder="1" applyAlignment="1">
      <alignment horizontal="right"/>
    </xf>
    <xf numFmtId="168" fontId="19" fillId="0" borderId="5" xfId="569" applyNumberFormat="1" applyBorder="1" applyAlignment="1">
      <alignment horizontal="right"/>
    </xf>
    <xf numFmtId="9" fontId="19" fillId="0" borderId="5" xfId="569" applyNumberFormat="1" applyBorder="1" applyAlignment="1">
      <alignment horizontal="center"/>
    </xf>
    <xf numFmtId="9" fontId="19" fillId="0" borderId="11" xfId="569" applyNumberFormat="1" applyBorder="1" applyAlignment="1">
      <alignment horizontal="center"/>
    </xf>
    <xf numFmtId="0" fontId="26" fillId="0" borderId="3" xfId="569" applyFont="1" applyBorder="1" applyAlignment="1">
      <alignment horizontal="left"/>
    </xf>
    <xf numFmtId="0" fontId="26" fillId="0" borderId="5" xfId="569" applyFont="1" applyBorder="1" applyAlignment="1">
      <alignment horizontal="left"/>
    </xf>
    <xf numFmtId="0" fontId="27" fillId="0" borderId="4" xfId="569" applyFont="1" applyBorder="1" applyAlignment="1">
      <alignment horizontal="left"/>
    </xf>
    <xf numFmtId="0" fontId="27" fillId="0" borderId="5" xfId="569" applyFont="1" applyBorder="1" applyAlignment="1">
      <alignment horizontal="left"/>
    </xf>
    <xf numFmtId="0" fontId="25" fillId="3" borderId="2" xfId="569" applyFont="1" applyFill="1" applyBorder="1" applyAlignment="1">
      <alignment horizontal="center" vertical="center"/>
    </xf>
    <xf numFmtId="0" fontId="25" fillId="3" borderId="16" xfId="569" applyFont="1" applyFill="1" applyBorder="1" applyAlignment="1">
      <alignment horizontal="center" vertical="center"/>
    </xf>
    <xf numFmtId="0" fontId="26" fillId="0" borderId="11" xfId="569" applyFont="1" applyBorder="1" applyAlignment="1">
      <alignment horizontal="center" wrapText="1"/>
    </xf>
    <xf numFmtId="168" fontId="19" fillId="0" borderId="7" xfId="569" applyNumberFormat="1" applyBorder="1" applyAlignment="1">
      <alignment horizontal="center"/>
    </xf>
    <xf numFmtId="168" fontId="19" fillId="0" borderId="15" xfId="569" applyNumberFormat="1" applyBorder="1" applyAlignment="1">
      <alignment horizontal="center"/>
    </xf>
    <xf numFmtId="168" fontId="19" fillId="5" borderId="10" xfId="569" applyNumberFormat="1" applyFill="1" applyBorder="1" applyAlignment="1" applyProtection="1">
      <alignment horizontal="center"/>
      <protection locked="0"/>
    </xf>
    <xf numFmtId="168" fontId="19" fillId="5" borderId="13" xfId="569" applyNumberFormat="1" applyFill="1" applyBorder="1" applyAlignment="1" applyProtection="1">
      <alignment horizontal="center"/>
      <protection locked="0"/>
    </xf>
    <xf numFmtId="5" fontId="19" fillId="0" borderId="5" xfId="569" applyNumberFormat="1" applyBorder="1" applyAlignment="1">
      <alignment horizontal="center"/>
    </xf>
    <xf numFmtId="5" fontId="19" fillId="0" borderId="11" xfId="569" applyNumberFormat="1" applyBorder="1" applyAlignment="1">
      <alignment horizontal="center"/>
    </xf>
    <xf numFmtId="5" fontId="19" fillId="0" borderId="3" xfId="569" applyNumberFormat="1" applyBorder="1" applyAlignment="1">
      <alignment horizontal="center"/>
    </xf>
    <xf numFmtId="5" fontId="19" fillId="0" borderId="4" xfId="569" applyNumberFormat="1" applyBorder="1" applyAlignment="1">
      <alignment horizontal="center"/>
    </xf>
    <xf numFmtId="9" fontId="19" fillId="0" borderId="9" xfId="569" applyNumberFormat="1" applyBorder="1" applyAlignment="1">
      <alignment horizontal="center" vertical="center"/>
    </xf>
    <xf numFmtId="9" fontId="19" fillId="0" borderId="6" xfId="569" applyNumberFormat="1" applyBorder="1" applyAlignment="1">
      <alignment horizontal="center" vertical="center"/>
    </xf>
    <xf numFmtId="9" fontId="19" fillId="0" borderId="10" xfId="569" applyNumberFormat="1" applyBorder="1" applyAlignment="1">
      <alignment horizontal="center" vertical="center"/>
    </xf>
    <xf numFmtId="168" fontId="19" fillId="0" borderId="11" xfId="569" applyNumberFormat="1" applyBorder="1" applyAlignment="1">
      <alignment horizontal="right"/>
    </xf>
    <xf numFmtId="0" fontId="26" fillId="0" borderId="6" xfId="569" applyFont="1" applyBorder="1" applyAlignment="1">
      <alignment horizontal="center"/>
    </xf>
    <xf numFmtId="0" fontId="19" fillId="0" borderId="4" xfId="569" applyBorder="1" applyAlignment="1">
      <alignment horizontal="center"/>
    </xf>
    <xf numFmtId="0" fontId="19" fillId="0" borderId="5" xfId="569" applyBorder="1" applyAlignment="1">
      <alignment horizontal="center"/>
    </xf>
    <xf numFmtId="176" fontId="19" fillId="5" borderId="3" xfId="569" applyNumberFormat="1" applyFill="1" applyBorder="1" applyAlignment="1" applyProtection="1">
      <alignment horizontal="right"/>
      <protection locked="0"/>
    </xf>
    <xf numFmtId="176" fontId="19" fillId="5" borderId="4" xfId="569" applyNumberFormat="1" applyFill="1" applyBorder="1" applyAlignment="1" applyProtection="1">
      <alignment horizontal="right"/>
      <protection locked="0"/>
    </xf>
    <xf numFmtId="176" fontId="19" fillId="5" borderId="5" xfId="569" applyNumberFormat="1" applyFill="1" applyBorder="1" applyAlignment="1" applyProtection="1">
      <alignment horizontal="right"/>
      <protection locked="0"/>
    </xf>
    <xf numFmtId="0" fontId="109" fillId="0" borderId="0" xfId="569" applyFont="1" applyAlignment="1">
      <alignment horizontal="left" wrapText="1"/>
    </xf>
    <xf numFmtId="0" fontId="26" fillId="0" borderId="11" xfId="569" applyFont="1" applyBorder="1" applyAlignment="1">
      <alignment horizontal="center"/>
    </xf>
    <xf numFmtId="165" fontId="19" fillId="0" borderId="11" xfId="569" applyNumberFormat="1" applyBorder="1" applyAlignment="1" applyProtection="1">
      <alignment horizontal="center"/>
      <protection locked="0"/>
    </xf>
    <xf numFmtId="168" fontId="19" fillId="0" borderId="11" xfId="569" applyNumberFormat="1" applyBorder="1"/>
    <xf numFmtId="168" fontId="19" fillId="0" borderId="3" xfId="569" applyNumberFormat="1" applyBorder="1"/>
    <xf numFmtId="168" fontId="19" fillId="0" borderId="4" xfId="569" applyNumberFormat="1" applyBorder="1"/>
    <xf numFmtId="168" fontId="19" fillId="0" borderId="5" xfId="569" applyNumberFormat="1" applyBorder="1"/>
    <xf numFmtId="168" fontId="19" fillId="0" borderId="11" xfId="569" applyNumberFormat="1" applyBorder="1" applyAlignment="1">
      <alignment wrapText="1"/>
    </xf>
    <xf numFmtId="9" fontId="19" fillId="0" borderId="15" xfId="569" applyNumberFormat="1" applyBorder="1" applyAlignment="1">
      <alignment horizontal="center"/>
    </xf>
    <xf numFmtId="0" fontId="19" fillId="0" borderId="11" xfId="569" applyBorder="1" applyAlignment="1">
      <alignment horizontal="center"/>
    </xf>
    <xf numFmtId="0" fontId="109" fillId="0" borderId="0" xfId="0" applyFont="1" applyAlignment="1">
      <alignment horizontal="left" vertical="top" wrapText="1"/>
    </xf>
    <xf numFmtId="0" fontId="19" fillId="0" borderId="0" xfId="4495" applyFont="1" applyAlignment="1">
      <alignment horizontal="left" vertical="top" wrapText="1"/>
    </xf>
    <xf numFmtId="0" fontId="26" fillId="0" borderId="0" xfId="4495" applyFont="1" applyAlignment="1">
      <alignment horizontal="center" vertical="top"/>
    </xf>
    <xf numFmtId="0" fontId="19" fillId="5" borderId="6" xfId="4495" applyFont="1" applyFill="1" applyBorder="1" applyAlignment="1" applyProtection="1">
      <alignment horizontal="center" vertical="center" wrapText="1" shrinkToFit="1"/>
      <protection locked="0"/>
    </xf>
    <xf numFmtId="0" fontId="19" fillId="0" borderId="3" xfId="4495" applyFont="1" applyBorder="1" applyAlignment="1">
      <alignment horizontal="center"/>
    </xf>
    <xf numFmtId="0" fontId="19" fillId="0" borderId="5" xfId="4495" applyFont="1" applyBorder="1" applyAlignment="1">
      <alignment horizontal="center"/>
    </xf>
    <xf numFmtId="0" fontId="26" fillId="0" borderId="0" xfId="4495" applyFont="1" applyAlignment="1">
      <alignment horizontal="left" wrapText="1"/>
    </xf>
    <xf numFmtId="0" fontId="19" fillId="0" borderId="0" xfId="4495" applyFont="1" applyAlignment="1">
      <alignment wrapText="1"/>
    </xf>
    <xf numFmtId="0" fontId="19" fillId="0" borderId="0" xfId="4495" applyFont="1" applyAlignment="1">
      <alignment horizontal="left"/>
    </xf>
    <xf numFmtId="0" fontId="19" fillId="5" borderId="6" xfId="4495" applyFont="1" applyFill="1" applyBorder="1" applyAlignment="1" applyProtection="1">
      <alignment horizontal="center"/>
      <protection locked="0"/>
    </xf>
    <xf numFmtId="164" fontId="19" fillId="0" borderId="50" xfId="4495" applyNumberFormat="1" applyFont="1" applyBorder="1" applyAlignment="1">
      <alignment horizontal="left" vertical="top" wrapText="1"/>
    </xf>
    <xf numFmtId="164" fontId="19" fillId="0" borderId="51" xfId="4495" applyNumberFormat="1" applyFont="1" applyBorder="1" applyAlignment="1">
      <alignment horizontal="left" vertical="top" wrapText="1"/>
    </xf>
    <xf numFmtId="164" fontId="19" fillId="0" borderId="52" xfId="4495" applyNumberFormat="1" applyFont="1" applyBorder="1" applyAlignment="1">
      <alignment horizontal="left" vertical="top" wrapText="1"/>
    </xf>
    <xf numFmtId="164" fontId="19" fillId="0" borderId="53" xfId="4495" applyNumberFormat="1" applyFont="1" applyBorder="1" applyAlignment="1">
      <alignment horizontal="left" vertical="top" wrapText="1"/>
    </xf>
    <xf numFmtId="164" fontId="19" fillId="0" borderId="0" xfId="4495" applyNumberFormat="1" applyFont="1" applyAlignment="1">
      <alignment horizontal="left" vertical="top" wrapText="1"/>
    </xf>
    <xf numFmtId="164" fontId="19" fillId="0" borderId="54" xfId="4495" applyNumberFormat="1" applyFont="1" applyBorder="1" applyAlignment="1">
      <alignment horizontal="left" vertical="top" wrapText="1"/>
    </xf>
    <xf numFmtId="164" fontId="19" fillId="0" borderId="57" xfId="4495" applyNumberFormat="1" applyFont="1" applyBorder="1" applyAlignment="1">
      <alignment horizontal="left" vertical="top" wrapText="1"/>
    </xf>
    <xf numFmtId="164" fontId="19" fillId="0" borderId="58" xfId="4495" applyNumberFormat="1" applyFont="1" applyBorder="1" applyAlignment="1">
      <alignment horizontal="left" vertical="top" wrapText="1"/>
    </xf>
    <xf numFmtId="164" fontId="19" fillId="0" borderId="59" xfId="4495" applyNumberFormat="1" applyFont="1" applyBorder="1" applyAlignment="1">
      <alignment horizontal="left" vertical="top" wrapText="1"/>
    </xf>
    <xf numFmtId="168" fontId="19" fillId="0" borderId="0" xfId="1192" applyNumberFormat="1" applyAlignment="1">
      <alignment horizontal="right"/>
    </xf>
    <xf numFmtId="168" fontId="19" fillId="0" borderId="6" xfId="1192" applyNumberFormat="1" applyBorder="1" applyAlignment="1">
      <alignment horizontal="right"/>
    </xf>
    <xf numFmtId="168" fontId="19" fillId="43" borderId="6" xfId="543" applyNumberFormat="1" applyFill="1" applyBorder="1" applyAlignment="1" applyProtection="1">
      <alignment horizontal="center"/>
      <protection locked="0"/>
    </xf>
    <xf numFmtId="168" fontId="19" fillId="0" borderId="4" xfId="1192" applyNumberFormat="1" applyBorder="1" applyAlignment="1">
      <alignment horizontal="right"/>
    </xf>
    <xf numFmtId="0" fontId="122" fillId="5" borderId="6" xfId="4495" applyFill="1" applyBorder="1" applyAlignment="1" applyProtection="1">
      <alignment horizontal="center"/>
      <protection locked="0"/>
    </xf>
    <xf numFmtId="0" fontId="120" fillId="0" borderId="4" xfId="1192" applyFont="1" applyBorder="1" applyAlignment="1">
      <alignment horizontal="left"/>
    </xf>
    <xf numFmtId="0" fontId="143" fillId="0" borderId="6" xfId="1192" applyFont="1" applyBorder="1" applyAlignment="1">
      <alignment horizontal="center"/>
    </xf>
    <xf numFmtId="0" fontId="122" fillId="5" borderId="50" xfId="4495" applyFill="1" applyBorder="1" applyAlignment="1">
      <alignment horizontal="center"/>
    </xf>
    <xf numFmtId="0" fontId="122" fillId="5" borderId="51" xfId="4495" applyFill="1" applyBorder="1" applyAlignment="1">
      <alignment horizontal="center"/>
    </xf>
    <xf numFmtId="0" fontId="122" fillId="0" borderId="0" xfId="4495" applyAlignment="1">
      <alignment horizontal="center"/>
    </xf>
    <xf numFmtId="0" fontId="122" fillId="5" borderId="62" xfId="4495" applyFill="1" applyBorder="1" applyAlignment="1">
      <alignment horizontal="center"/>
    </xf>
    <xf numFmtId="0" fontId="122" fillId="5" borderId="63" xfId="4495" applyFill="1" applyBorder="1" applyAlignment="1">
      <alignment horizontal="center"/>
    </xf>
    <xf numFmtId="4" fontId="27" fillId="0" borderId="3" xfId="4495" applyNumberFormat="1" applyFont="1" applyBorder="1" applyAlignment="1">
      <alignment horizontal="center"/>
    </xf>
    <xf numFmtId="4" fontId="27" fillId="0" borderId="4" xfId="4495" applyNumberFormat="1" applyFont="1" applyBorder="1" applyAlignment="1">
      <alignment horizontal="center"/>
    </xf>
    <xf numFmtId="4" fontId="27" fillId="0" borderId="5" xfId="4495" applyNumberFormat="1" applyFont="1" applyBorder="1" applyAlignment="1">
      <alignment horizontal="center"/>
    </xf>
    <xf numFmtId="165" fontId="124" fillId="0" borderId="3" xfId="4496" applyNumberFormat="1" applyFont="1" applyBorder="1" applyAlignment="1">
      <alignment horizontal="center" vertical="top" wrapText="1"/>
    </xf>
    <xf numFmtId="165" fontId="124" fillId="0" borderId="4" xfId="4496" applyNumberFormat="1" applyFont="1" applyBorder="1" applyAlignment="1">
      <alignment horizontal="center" vertical="top" wrapText="1"/>
    </xf>
    <xf numFmtId="165" fontId="124" fillId="0" borderId="5" xfId="4496" applyNumberFormat="1" applyFont="1" applyBorder="1" applyAlignment="1">
      <alignment horizontal="center" vertical="top" wrapText="1"/>
    </xf>
    <xf numFmtId="3" fontId="19" fillId="43" borderId="6" xfId="1192" applyNumberFormat="1" applyFill="1" applyBorder="1" applyAlignment="1" applyProtection="1">
      <alignment horizontal="right"/>
      <protection locked="0"/>
    </xf>
    <xf numFmtId="0" fontId="143" fillId="0" borderId="0" xfId="1192" applyFont="1" applyAlignment="1">
      <alignment horizontal="center"/>
    </xf>
    <xf numFmtId="168" fontId="19" fillId="5" borderId="4" xfId="1192" applyNumberFormat="1" applyFill="1" applyBorder="1" applyAlignment="1" applyProtection="1">
      <alignment horizontal="center"/>
      <protection locked="0"/>
    </xf>
    <xf numFmtId="4" fontId="27" fillId="0" borderId="6" xfId="4495" applyNumberFormat="1" applyFont="1" applyBorder="1" applyAlignment="1">
      <alignment horizontal="center"/>
    </xf>
    <xf numFmtId="1" fontId="19" fillId="5" borderId="2" xfId="1192" applyNumberFormat="1" applyFill="1" applyBorder="1" applyAlignment="1" applyProtection="1">
      <alignment horizontal="center"/>
      <protection locked="0"/>
    </xf>
    <xf numFmtId="4" fontId="27" fillId="0" borderId="0" xfId="4495" applyNumberFormat="1" applyFont="1" applyAlignment="1">
      <alignment horizontal="center"/>
    </xf>
    <xf numFmtId="0" fontId="19" fillId="0" borderId="53" xfId="4495" applyFont="1" applyBorder="1" applyAlignment="1">
      <alignment horizontal="left" vertical="top" wrapText="1"/>
    </xf>
    <xf numFmtId="0" fontId="19" fillId="0" borderId="54" xfId="4495" applyFont="1" applyBorder="1" applyAlignment="1">
      <alignment horizontal="left" vertical="top" wrapText="1"/>
    </xf>
    <xf numFmtId="0" fontId="19" fillId="0" borderId="57" xfId="4495" applyFont="1" applyBorder="1" applyAlignment="1">
      <alignment horizontal="left" vertical="top" wrapText="1"/>
    </xf>
    <xf numFmtId="0" fontId="19" fillId="0" borderId="58" xfId="4495" applyFont="1" applyBorder="1" applyAlignment="1">
      <alignment horizontal="left" vertical="top" wrapText="1"/>
    </xf>
    <xf numFmtId="168" fontId="19" fillId="0" borderId="6" xfId="4496" applyNumberFormat="1" applyFont="1" applyBorder="1" applyAlignment="1">
      <alignment horizontal="center"/>
    </xf>
    <xf numFmtId="168" fontId="19" fillId="0" borderId="4" xfId="4496" applyNumberFormat="1" applyFont="1" applyBorder="1" applyAlignment="1">
      <alignment horizontal="center"/>
    </xf>
    <xf numFmtId="9" fontId="19" fillId="0" borderId="4" xfId="4496" applyNumberFormat="1" applyFont="1" applyBorder="1" applyAlignment="1">
      <alignment horizontal="center"/>
    </xf>
    <xf numFmtId="0" fontId="19" fillId="0" borderId="4" xfId="4495" applyFont="1" applyBorder="1" applyAlignment="1">
      <alignment horizontal="center"/>
    </xf>
    <xf numFmtId="0" fontId="27" fillId="0" borderId="51" xfId="4495" applyFont="1" applyBorder="1" applyAlignment="1">
      <alignment horizontal="left" vertical="top" wrapText="1"/>
    </xf>
    <xf numFmtId="0" fontId="27" fillId="0" borderId="0" xfId="4495" applyFont="1" applyAlignment="1">
      <alignment horizontal="left" vertical="top" wrapText="1"/>
    </xf>
    <xf numFmtId="0" fontId="27" fillId="0" borderId="58" xfId="4495" applyFont="1" applyBorder="1" applyAlignment="1">
      <alignment horizontal="left" vertical="top" wrapText="1"/>
    </xf>
    <xf numFmtId="168" fontId="19" fillId="43" borderId="6" xfId="1192" applyNumberFormat="1" applyFill="1" applyBorder="1" applyAlignment="1" applyProtection="1">
      <alignment horizontal="right"/>
      <protection locked="0"/>
    </xf>
    <xf numFmtId="0" fontId="27" fillId="5" borderId="58" xfId="4495" applyFont="1" applyFill="1" applyBorder="1" applyAlignment="1">
      <alignment horizontal="left"/>
    </xf>
    <xf numFmtId="0" fontId="55" fillId="0" borderId="51" xfId="4495" applyFont="1" applyBorder="1" applyAlignment="1">
      <alignment horizontal="left" vertical="top" wrapText="1"/>
    </xf>
    <xf numFmtId="0" fontId="55" fillId="0" borderId="0" xfId="4495" applyFont="1" applyAlignment="1">
      <alignment horizontal="left" vertical="top" wrapText="1"/>
    </xf>
    <xf numFmtId="9" fontId="27" fillId="5" borderId="58" xfId="4495" applyNumberFormat="1" applyFont="1" applyFill="1" applyBorder="1" applyAlignment="1">
      <alignment horizontal="left"/>
    </xf>
    <xf numFmtId="9" fontId="27" fillId="5" borderId="6" xfId="4495" applyNumberFormat="1" applyFont="1" applyFill="1" applyBorder="1" applyAlignment="1">
      <alignment horizontal="left"/>
    </xf>
    <xf numFmtId="0" fontId="27" fillId="5" borderId="6" xfId="4495" applyFont="1" applyFill="1" applyBorder="1" applyAlignment="1">
      <alignment horizontal="left"/>
    </xf>
    <xf numFmtId="0" fontId="26" fillId="0" borderId="0" xfId="4495" applyFont="1" applyAlignment="1">
      <alignment horizontal="right"/>
    </xf>
    <xf numFmtId="0" fontId="55" fillId="0" borderId="51" xfId="4495" applyFont="1" applyBorder="1" applyAlignment="1">
      <alignment horizontal="left" wrapText="1"/>
    </xf>
    <xf numFmtId="0" fontId="55" fillId="0" borderId="0" xfId="4495" applyFont="1" applyAlignment="1">
      <alignment horizontal="left" wrapText="1"/>
    </xf>
    <xf numFmtId="0" fontId="19" fillId="0" borderId="50" xfId="4495" applyFont="1" applyBorder="1" applyAlignment="1">
      <alignment horizontal="left" vertical="center" wrapText="1"/>
    </xf>
    <xf numFmtId="0" fontId="19" fillId="0" borderId="51" xfId="4495" applyFont="1" applyBorder="1" applyAlignment="1">
      <alignment horizontal="left" vertical="center" wrapText="1"/>
    </xf>
    <xf numFmtId="0" fontId="19" fillId="0" borderId="52" xfId="4495" applyFont="1" applyBorder="1" applyAlignment="1">
      <alignment horizontal="left" vertical="center" wrapText="1"/>
    </xf>
    <xf numFmtId="0" fontId="19" fillId="0" borderId="53" xfId="4495" applyFont="1" applyBorder="1" applyAlignment="1">
      <alignment horizontal="left" vertical="center" wrapText="1"/>
    </xf>
    <xf numFmtId="0" fontId="19" fillId="0" borderId="0" xfId="4495" applyFont="1" applyAlignment="1">
      <alignment horizontal="left" vertical="center" wrapText="1"/>
    </xf>
    <xf numFmtId="0" fontId="19" fillId="0" borderId="54" xfId="4495" applyFont="1" applyBorder="1" applyAlignment="1">
      <alignment horizontal="left" vertical="center" wrapText="1"/>
    </xf>
    <xf numFmtId="10" fontId="27" fillId="0" borderId="2" xfId="4495" applyNumberFormat="1" applyFont="1" applyBorder="1" applyAlignment="1">
      <alignment horizontal="center"/>
    </xf>
    <xf numFmtId="0" fontId="27" fillId="0" borderId="0" xfId="4495" applyFont="1" applyAlignment="1">
      <alignment horizontal="center"/>
    </xf>
    <xf numFmtId="0" fontId="131" fillId="0" borderId="0" xfId="4495" applyFont="1" applyAlignment="1">
      <alignment horizontal="left" vertical="top" wrapText="1"/>
    </xf>
    <xf numFmtId="0" fontId="35" fillId="42" borderId="2" xfId="4495" applyFont="1" applyFill="1" applyBorder="1" applyAlignment="1">
      <alignment horizontal="center"/>
    </xf>
    <xf numFmtId="0" fontId="35" fillId="42" borderId="6" xfId="4495" applyFont="1" applyFill="1" applyBorder="1" applyAlignment="1">
      <alignment horizontal="center"/>
    </xf>
    <xf numFmtId="0" fontId="26" fillId="0" borderId="11" xfId="4495" applyFont="1" applyBorder="1" applyAlignment="1">
      <alignment horizontal="center"/>
    </xf>
    <xf numFmtId="0" fontId="122" fillId="5" borderId="55" xfId="4495" applyFill="1" applyBorder="1" applyAlignment="1" applyProtection="1">
      <alignment horizontal="center"/>
      <protection locked="0"/>
    </xf>
    <xf numFmtId="0" fontId="26" fillId="0" borderId="0" xfId="4495" applyFont="1" applyAlignment="1">
      <alignment horizontal="center"/>
    </xf>
    <xf numFmtId="0" fontId="26" fillId="0" borderId="54" xfId="4495" applyFont="1" applyBorder="1" applyAlignment="1">
      <alignment horizontal="center"/>
    </xf>
    <xf numFmtId="0" fontId="26" fillId="0" borderId="51" xfId="4495" applyFont="1" applyBorder="1" applyAlignment="1">
      <alignment horizontal="center" vertical="top"/>
    </xf>
    <xf numFmtId="0" fontId="26" fillId="0" borderId="52" xfId="4495" applyFont="1" applyBorder="1" applyAlignment="1">
      <alignment horizontal="center" vertical="top"/>
    </xf>
    <xf numFmtId="0" fontId="19" fillId="0" borderId="6" xfId="1192" applyBorder="1" applyAlignment="1">
      <alignment horizontal="right"/>
    </xf>
    <xf numFmtId="9" fontId="19" fillId="5" borderId="4" xfId="1192" applyNumberFormat="1" applyFill="1" applyBorder="1" applyAlignment="1" applyProtection="1">
      <alignment horizontal="left"/>
      <protection locked="0"/>
    </xf>
    <xf numFmtId="0" fontId="26" fillId="0" borderId="54" xfId="4495" applyFont="1" applyBorder="1" applyAlignment="1">
      <alignment horizontal="center" vertical="top"/>
    </xf>
    <xf numFmtId="0" fontId="122" fillId="0" borderId="53" xfId="4495" applyBorder="1" applyAlignment="1">
      <alignment horizontal="center"/>
    </xf>
    <xf numFmtId="0" fontId="27" fillId="5" borderId="0" xfId="4495" applyFont="1" applyFill="1" applyAlignment="1">
      <alignment horizontal="left" vertical="top"/>
    </xf>
    <xf numFmtId="0" fontId="122" fillId="5" borderId="53" xfId="4495" applyFill="1" applyBorder="1" applyAlignment="1">
      <alignment horizontal="center"/>
    </xf>
    <xf numFmtId="0" fontId="122" fillId="5" borderId="0" xfId="4495" applyFill="1" applyAlignment="1">
      <alignment horizontal="center"/>
    </xf>
    <xf numFmtId="0" fontId="122" fillId="5" borderId="55" xfId="4495" applyFill="1" applyBorder="1" applyAlignment="1">
      <alignment horizontal="center"/>
    </xf>
    <xf numFmtId="0" fontId="122" fillId="5" borderId="6" xfId="4495" applyFill="1" applyBorder="1" applyAlignment="1">
      <alignment horizontal="center"/>
    </xf>
    <xf numFmtId="0" fontId="27" fillId="5" borderId="0" xfId="4495" applyFont="1" applyFill="1" applyAlignment="1">
      <alignment horizontal="left" vertical="top" wrapText="1"/>
    </xf>
    <xf numFmtId="0" fontId="27" fillId="5" borderId="58" xfId="4495" applyFont="1" applyFill="1" applyBorder="1" applyAlignment="1">
      <alignment horizontal="left" vertical="top" wrapText="1"/>
    </xf>
    <xf numFmtId="0" fontId="26" fillId="0" borderId="4" xfId="4495" applyFont="1" applyBorder="1" applyAlignment="1">
      <alignment horizontal="left"/>
    </xf>
    <xf numFmtId="0" fontId="26" fillId="0" borderId="5" xfId="4495" applyFont="1" applyBorder="1" applyAlignment="1">
      <alignment horizontal="left"/>
    </xf>
    <xf numFmtId="1" fontId="26" fillId="0" borderId="11" xfId="4495" applyNumberFormat="1" applyFont="1" applyBorder="1" applyAlignment="1">
      <alignment horizontal="center"/>
    </xf>
    <xf numFmtId="0" fontId="26" fillId="0" borderId="3" xfId="4495" applyFont="1" applyBorder="1" applyAlignment="1">
      <alignment horizontal="center" wrapText="1"/>
    </xf>
    <xf numFmtId="0" fontId="26" fillId="0" borderId="4" xfId="4495" applyFont="1" applyBorder="1" applyAlignment="1">
      <alignment horizontal="center" wrapText="1"/>
    </xf>
    <xf numFmtId="0" fontId="26" fillId="0" borderId="5" xfId="4495" applyFont="1" applyBorder="1" applyAlignment="1">
      <alignment horizontal="center" wrapText="1"/>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11" xfId="4495" applyFont="1" applyBorder="1" applyAlignment="1">
      <alignment horizontal="center"/>
    </xf>
    <xf numFmtId="1" fontId="19" fillId="46" borderId="11" xfId="4495" applyNumberFormat="1" applyFont="1" applyFill="1" applyBorder="1" applyAlignment="1">
      <alignment horizontal="center"/>
    </xf>
    <xf numFmtId="0" fontId="26" fillId="0" borderId="3" xfId="4495" applyFont="1" applyBorder="1" applyAlignment="1">
      <alignment horizontal="center"/>
    </xf>
    <xf numFmtId="0" fontId="26" fillId="0" borderId="4" xfId="4495" applyFont="1" applyBorder="1" applyAlignment="1">
      <alignment horizontal="center"/>
    </xf>
    <xf numFmtId="0" fontId="26" fillId="0" borderId="5" xfId="4495" applyFont="1" applyBorder="1" applyAlignment="1">
      <alignment horizontal="center"/>
    </xf>
    <xf numFmtId="0" fontId="19" fillId="5" borderId="11" xfId="4495" applyFont="1" applyFill="1" applyBorder="1" applyAlignment="1" applyProtection="1">
      <alignment horizontal="center"/>
      <protection locked="0"/>
    </xf>
    <xf numFmtId="164" fontId="66" fillId="0" borderId="1" xfId="4495" applyNumberFormat="1" applyFont="1" applyBorder="1" applyAlignment="1">
      <alignment horizontal="right" vertical="center"/>
    </xf>
    <xf numFmtId="164" fontId="66" fillId="0" borderId="2" xfId="4495" applyNumberFormat="1" applyFont="1" applyBorder="1" applyAlignment="1">
      <alignment horizontal="right" vertical="center"/>
    </xf>
    <xf numFmtId="164" fontId="66" fillId="0" borderId="7" xfId="4495" applyNumberFormat="1" applyFont="1" applyBorder="1" applyAlignment="1">
      <alignment horizontal="right" vertical="center"/>
    </xf>
    <xf numFmtId="164" fontId="66" fillId="0" borderId="9" xfId="4495" applyNumberFormat="1" applyFont="1" applyBorder="1" applyAlignment="1">
      <alignment horizontal="right" vertical="center"/>
    </xf>
    <xf numFmtId="164" fontId="66" fillId="0" borderId="6" xfId="4495" applyNumberFormat="1" applyFont="1" applyBorder="1" applyAlignment="1">
      <alignment horizontal="right" vertical="center"/>
    </xf>
    <xf numFmtId="164" fontId="66" fillId="0" borderId="10" xfId="4495" applyNumberFormat="1" applyFont="1" applyBorder="1" applyAlignment="1">
      <alignment horizontal="right" vertical="center"/>
    </xf>
    <xf numFmtId="180" fontId="66" fillId="0" borderId="1" xfId="4495" applyNumberFormat="1" applyFont="1" applyBorder="1" applyAlignment="1">
      <alignment horizontal="center" vertical="center"/>
    </xf>
    <xf numFmtId="180" fontId="66" fillId="0" borderId="2" xfId="4495" applyNumberFormat="1" applyFont="1" applyBorder="1" applyAlignment="1">
      <alignment horizontal="center" vertical="center"/>
    </xf>
    <xf numFmtId="180" fontId="66" fillId="0" borderId="7" xfId="4495" applyNumberFormat="1" applyFont="1" applyBorder="1" applyAlignment="1">
      <alignment horizontal="center" vertical="center"/>
    </xf>
    <xf numFmtId="180" fontId="66" fillId="0" borderId="9" xfId="4495" applyNumberFormat="1" applyFont="1" applyBorder="1" applyAlignment="1">
      <alignment horizontal="center" vertical="center"/>
    </xf>
    <xf numFmtId="180" fontId="66" fillId="0" borderId="6" xfId="4495" applyNumberFormat="1" applyFont="1" applyBorder="1" applyAlignment="1">
      <alignment horizontal="center" vertical="center"/>
    </xf>
    <xf numFmtId="180" fontId="66" fillId="0" borderId="10" xfId="4495" applyNumberFormat="1" applyFont="1" applyBorder="1" applyAlignment="1">
      <alignment horizontal="center" vertical="center"/>
    </xf>
    <xf numFmtId="1" fontId="26" fillId="0" borderId="4" xfId="4495" applyNumberFormat="1" applyFont="1" applyBorder="1" applyAlignment="1">
      <alignment horizontal="center" wrapText="1"/>
    </xf>
    <xf numFmtId="0" fontId="19" fillId="0" borderId="50" xfId="4496" applyFont="1" applyBorder="1" applyAlignment="1">
      <alignment horizontal="left" wrapText="1"/>
    </xf>
    <xf numFmtId="0" fontId="19" fillId="0" borderId="51" xfId="4496" applyFont="1" applyBorder="1" applyAlignment="1">
      <alignment horizontal="left" wrapText="1"/>
    </xf>
    <xf numFmtId="0" fontId="19" fillId="0" borderId="52" xfId="4496" applyFont="1" applyBorder="1" applyAlignment="1">
      <alignment horizontal="left" wrapText="1"/>
    </xf>
    <xf numFmtId="0" fontId="19" fillId="0" borderId="53" xfId="4496" applyFont="1" applyBorder="1" applyAlignment="1">
      <alignment horizontal="left" wrapText="1"/>
    </xf>
    <xf numFmtId="0" fontId="19" fillId="0" borderId="0" xfId="4496" applyFont="1" applyAlignment="1">
      <alignment horizontal="left" wrapText="1"/>
    </xf>
    <xf numFmtId="0" fontId="19" fillId="0" borderId="54" xfId="4496" applyFont="1" applyBorder="1" applyAlignment="1">
      <alignment horizontal="left" wrapText="1"/>
    </xf>
    <xf numFmtId="0" fontId="19" fillId="0" borderId="57" xfId="4496" applyFont="1" applyBorder="1" applyAlignment="1">
      <alignment horizontal="left" wrapText="1"/>
    </xf>
    <xf numFmtId="0" fontId="19" fillId="0" borderId="58" xfId="4496" applyFont="1" applyBorder="1" applyAlignment="1">
      <alignment horizontal="left" wrapText="1"/>
    </xf>
    <xf numFmtId="0" fontId="19" fillId="0" borderId="59" xfId="4496" applyFont="1" applyBorder="1" applyAlignment="1">
      <alignment horizontal="left" wrapText="1"/>
    </xf>
    <xf numFmtId="1" fontId="19" fillId="0" borderId="4" xfId="4496" applyNumberFormat="1" applyFont="1" applyBorder="1" applyAlignment="1">
      <alignment horizontal="center"/>
    </xf>
    <xf numFmtId="1" fontId="19" fillId="0" borderId="5" xfId="4496" applyNumberFormat="1" applyFont="1" applyBorder="1" applyAlignment="1">
      <alignment horizontal="center"/>
    </xf>
    <xf numFmtId="49" fontId="25" fillId="3" borderId="2" xfId="4495" applyNumberFormat="1" applyFont="1" applyFill="1" applyBorder="1" applyAlignment="1">
      <alignment horizontal="center" vertical="center" wrapText="1"/>
    </xf>
    <xf numFmtId="49" fontId="25" fillId="3" borderId="2" xfId="4495" applyNumberFormat="1" applyFont="1" applyFill="1" applyBorder="1" applyAlignment="1">
      <alignment horizontal="center" vertical="center"/>
    </xf>
    <xf numFmtId="49" fontId="25" fillId="3" borderId="0" xfId="4495" applyNumberFormat="1" applyFont="1" applyFill="1" applyAlignment="1">
      <alignment horizontal="center" vertical="center"/>
    </xf>
    <xf numFmtId="0" fontId="26" fillId="0" borderId="1" xfId="4495" applyFont="1" applyBorder="1" applyAlignment="1">
      <alignment horizontal="center" wrapText="1"/>
    </xf>
    <xf numFmtId="0" fontId="26" fillId="0" borderId="2" xfId="4495" applyFont="1" applyBorder="1" applyAlignment="1">
      <alignment horizontal="center" wrapText="1"/>
    </xf>
    <xf numFmtId="0" fontId="26" fillId="0" borderId="7" xfId="4495" applyFont="1" applyBorder="1" applyAlignment="1">
      <alignment horizontal="center" wrapText="1"/>
    </xf>
    <xf numFmtId="0" fontId="26" fillId="0" borderId="9" xfId="4495" applyFont="1" applyBorder="1" applyAlignment="1">
      <alignment horizontal="center" wrapText="1"/>
    </xf>
    <xf numFmtId="0" fontId="26" fillId="0" borderId="6" xfId="4495" applyFont="1" applyBorder="1" applyAlignment="1">
      <alignment horizontal="center" wrapText="1"/>
    </xf>
    <xf numFmtId="0" fontId="26" fillId="0" borderId="10" xfId="4495" applyFont="1" applyBorder="1" applyAlignment="1">
      <alignment horizontal="center" wrapText="1"/>
    </xf>
    <xf numFmtId="0" fontId="19" fillId="45" borderId="11" xfId="4495" applyFont="1" applyFill="1" applyBorder="1" applyAlignment="1">
      <alignment horizontal="center"/>
    </xf>
    <xf numFmtId="0" fontId="131" fillId="0" borderId="0" xfId="4495" applyFont="1" applyAlignment="1">
      <alignment horizontal="left" vertical="center" wrapText="1"/>
    </xf>
    <xf numFmtId="0" fontId="26" fillId="0" borderId="0" xfId="4495" applyFont="1" applyAlignment="1">
      <alignment horizontal="left" vertical="top" wrapText="1"/>
    </xf>
    <xf numFmtId="0" fontId="19" fillId="0" borderId="0" xfId="4495" applyFont="1" applyAlignment="1">
      <alignment horizontal="left" vertical="top" wrapText="1" shrinkToFit="1"/>
    </xf>
    <xf numFmtId="44" fontId="19" fillId="0" borderId="0" xfId="707" applyFont="1" applyFill="1" applyBorder="1" applyAlignment="1" applyProtection="1">
      <alignment horizontal="left" vertical="top" wrapText="1"/>
    </xf>
    <xf numFmtId="0" fontId="19" fillId="0" borderId="0" xfId="4495" applyFont="1" applyAlignment="1">
      <alignment horizontal="left" vertical="center" wrapText="1" shrinkToFit="1"/>
    </xf>
    <xf numFmtId="0" fontId="19" fillId="5" borderId="6" xfId="4495" applyFont="1" applyFill="1" applyBorder="1" applyAlignment="1" applyProtection="1">
      <alignment horizontal="left" wrapText="1" shrinkToFit="1"/>
      <protection locked="0"/>
    </xf>
    <xf numFmtId="0" fontId="19" fillId="43" borderId="6" xfId="1192" applyFill="1" applyBorder="1" applyAlignment="1" applyProtection="1">
      <alignment horizontal="left" vertical="top"/>
      <protection locked="0"/>
    </xf>
    <xf numFmtId="0" fontId="158" fillId="0" borderId="0" xfId="0" applyFont="1" applyAlignment="1" applyProtection="1">
      <alignment horizontal="left"/>
      <protection locked="0"/>
    </xf>
    <xf numFmtId="168" fontId="157" fillId="0" borderId="0" xfId="0" applyNumberFormat="1" applyFont="1" applyAlignment="1">
      <alignment horizontal="center" vertical="top" wrapText="1"/>
    </xf>
    <xf numFmtId="168" fontId="157" fillId="0" borderId="12" xfId="0" applyNumberFormat="1" applyFont="1" applyBorder="1" applyAlignment="1">
      <alignment horizontal="center" vertical="top" wrapText="1"/>
    </xf>
    <xf numFmtId="0" fontId="19" fillId="43" borderId="53" xfId="4495" applyFont="1" applyFill="1" applyBorder="1" applyAlignment="1" applyProtection="1">
      <alignment vertical="top" wrapText="1"/>
      <protection locked="0"/>
    </xf>
    <xf numFmtId="0" fontId="19" fillId="43" borderId="0" xfId="4495" applyFont="1" applyFill="1" applyAlignment="1" applyProtection="1">
      <alignment vertical="top" wrapText="1"/>
      <protection locked="0"/>
    </xf>
    <xf numFmtId="0" fontId="19" fillId="43" borderId="54" xfId="4495" applyFont="1" applyFill="1" applyBorder="1" applyAlignment="1" applyProtection="1">
      <alignment vertical="top" wrapText="1"/>
      <protection locked="0"/>
    </xf>
    <xf numFmtId="0" fontId="19" fillId="43" borderId="55" xfId="4495" applyFont="1" applyFill="1" applyBorder="1" applyAlignment="1" applyProtection="1">
      <alignment vertical="top" wrapText="1"/>
      <protection locked="0"/>
    </xf>
    <xf numFmtId="0" fontId="19" fillId="43" borderId="6" xfId="4495" applyFont="1" applyFill="1" applyBorder="1" applyAlignment="1" applyProtection="1">
      <alignment vertical="top" wrapText="1"/>
      <protection locked="0"/>
    </xf>
    <xf numFmtId="0" fontId="19" fillId="43" borderId="56" xfId="4495" applyFont="1" applyFill="1" applyBorder="1" applyAlignment="1" applyProtection="1">
      <alignment vertical="top" wrapText="1"/>
      <protection locked="0"/>
    </xf>
    <xf numFmtId="0" fontId="19" fillId="43" borderId="0" xfId="4495" applyFont="1" applyFill="1" applyAlignment="1" applyProtection="1">
      <alignment horizontal="left" vertical="center" wrapText="1"/>
      <protection locked="0"/>
    </xf>
    <xf numFmtId="0" fontId="19" fillId="43" borderId="54" xfId="4495" applyFont="1" applyFill="1" applyBorder="1" applyAlignment="1" applyProtection="1">
      <alignment horizontal="left" vertical="center" wrapText="1"/>
      <protection locked="0"/>
    </xf>
    <xf numFmtId="0" fontId="19" fillId="43" borderId="6" xfId="4495" applyFont="1" applyFill="1" applyBorder="1" applyAlignment="1" applyProtection="1">
      <alignment horizontal="left" vertical="center" wrapText="1"/>
      <protection locked="0"/>
    </xf>
    <xf numFmtId="0" fontId="19" fillId="43" borderId="56" xfId="4495" applyFont="1" applyFill="1" applyBorder="1" applyAlignment="1" applyProtection="1">
      <alignment horizontal="left" vertical="center" wrapText="1"/>
      <protection locked="0"/>
    </xf>
    <xf numFmtId="0" fontId="122" fillId="5" borderId="62" xfId="4495" applyFill="1" applyBorder="1" applyAlignment="1" applyProtection="1">
      <alignment horizontal="center"/>
      <protection locked="0"/>
    </xf>
    <xf numFmtId="0" fontId="122" fillId="5" borderId="63" xfId="4495" applyFill="1" applyBorder="1" applyAlignment="1" applyProtection="1">
      <alignment horizontal="center"/>
      <protection locked="0"/>
    </xf>
    <xf numFmtId="0" fontId="124" fillId="0" borderId="50" xfId="4496" applyFont="1" applyBorder="1" applyAlignment="1">
      <alignment horizontal="left" wrapText="1"/>
    </xf>
    <xf numFmtId="0" fontId="124" fillId="0" borderId="51" xfId="4496" applyFont="1" applyBorder="1" applyAlignment="1">
      <alignment horizontal="left" wrapText="1"/>
    </xf>
    <xf numFmtId="0" fontId="124" fillId="0" borderId="52" xfId="4496" applyFont="1" applyBorder="1" applyAlignment="1">
      <alignment horizontal="left" wrapText="1"/>
    </xf>
    <xf numFmtId="0" fontId="124" fillId="0" borderId="57" xfId="4496" applyFont="1" applyBorder="1" applyAlignment="1">
      <alignment horizontal="left" wrapText="1"/>
    </xf>
    <xf numFmtId="0" fontId="124" fillId="0" borderId="58" xfId="4496" applyFont="1" applyBorder="1" applyAlignment="1">
      <alignment horizontal="left" wrapText="1"/>
    </xf>
    <xf numFmtId="0" fontId="124" fillId="0" borderId="59" xfId="4496" applyFont="1" applyBorder="1" applyAlignment="1">
      <alignment horizontal="left" wrapText="1"/>
    </xf>
    <xf numFmtId="0" fontId="19" fillId="5" borderId="6" xfId="1192" applyFill="1" applyBorder="1" applyAlignment="1" applyProtection="1">
      <alignment horizontal="left"/>
      <protection locked="0"/>
    </xf>
    <xf numFmtId="165" fontId="19" fillId="0" borderId="0" xfId="1192" applyNumberFormat="1" applyAlignment="1">
      <alignment horizontal="right"/>
    </xf>
    <xf numFmtId="0" fontId="19" fillId="0" borderId="59" xfId="4495" applyFont="1" applyBorder="1" applyAlignment="1">
      <alignment horizontal="left" vertical="top" wrapText="1"/>
    </xf>
    <xf numFmtId="0" fontId="19" fillId="0" borderId="4" xfId="4496" applyFont="1" applyBorder="1" applyAlignment="1">
      <alignment horizontal="center"/>
    </xf>
    <xf numFmtId="0" fontId="19" fillId="0" borderId="5" xfId="4496" applyFont="1" applyBorder="1" applyAlignment="1">
      <alignment horizontal="center"/>
    </xf>
    <xf numFmtId="0" fontId="19" fillId="0" borderId="50" xfId="4495" applyFont="1" applyBorder="1" applyAlignment="1">
      <alignment horizontal="left" vertical="top" wrapText="1"/>
    </xf>
    <xf numFmtId="0" fontId="19" fillId="0" borderId="51" xfId="4495" applyFont="1" applyBorder="1" applyAlignment="1">
      <alignment horizontal="left" vertical="top" wrapText="1"/>
    </xf>
    <xf numFmtId="0" fontId="19" fillId="0" borderId="52" xfId="4495" applyFont="1" applyBorder="1" applyAlignment="1">
      <alignment horizontal="left" vertical="top" wrapText="1"/>
    </xf>
    <xf numFmtId="0" fontId="26" fillId="0" borderId="0" xfId="4495" applyFont="1"/>
    <xf numFmtId="0" fontId="19" fillId="0" borderId="6" xfId="1192" applyBorder="1" applyAlignment="1">
      <alignment horizontal="left"/>
    </xf>
    <xf numFmtId="2" fontId="19" fillId="0" borderId="0" xfId="1192" applyNumberFormat="1" applyAlignment="1">
      <alignment horizontal="right"/>
    </xf>
    <xf numFmtId="0" fontId="26" fillId="0" borderId="0" xfId="4495" applyFont="1" applyAlignment="1">
      <alignment horizontal="left" vertical="top"/>
    </xf>
    <xf numFmtId="0" fontId="122" fillId="0" borderId="0" xfId="4495" applyAlignment="1" applyProtection="1">
      <alignment horizontal="center"/>
      <protection locked="0"/>
    </xf>
    <xf numFmtId="9" fontId="19" fillId="0" borderId="4" xfId="543" applyNumberFormat="1" applyBorder="1" applyAlignment="1">
      <alignment horizontal="center"/>
    </xf>
    <xf numFmtId="168" fontId="19" fillId="0" borderId="6" xfId="4495" applyNumberFormat="1" applyFont="1" applyBorder="1" applyAlignment="1">
      <alignment horizontal="right"/>
    </xf>
    <xf numFmtId="168" fontId="120" fillId="0" borderId="6" xfId="4495" applyNumberFormat="1" applyFont="1" applyBorder="1" applyAlignment="1">
      <alignment horizontal="right"/>
    </xf>
    <xf numFmtId="168" fontId="19" fillId="43" borderId="6" xfId="4495" applyNumberFormat="1" applyFont="1" applyFill="1" applyBorder="1" applyAlignment="1" applyProtection="1">
      <alignment horizontal="right"/>
      <protection locked="0"/>
    </xf>
    <xf numFmtId="6" fontId="19" fillId="0" borderId="3" xfId="1192" applyNumberFormat="1" applyBorder="1" applyAlignment="1">
      <alignment horizontal="right"/>
    </xf>
    <xf numFmtId="6" fontId="19" fillId="0" borderId="4" xfId="1192" applyNumberFormat="1" applyBorder="1" applyAlignment="1">
      <alignment horizontal="right"/>
    </xf>
    <xf numFmtId="6" fontId="19" fillId="0" borderId="5" xfId="1192" applyNumberFormat="1" applyBorder="1" applyAlignment="1">
      <alignment horizontal="right"/>
    </xf>
    <xf numFmtId="168" fontId="19" fillId="0" borderId="4" xfId="4495" applyNumberFormat="1" applyFont="1" applyBorder="1" applyAlignment="1">
      <alignment horizontal="right"/>
    </xf>
    <xf numFmtId="165" fontId="19" fillId="43" borderId="3" xfId="4495" applyNumberFormat="1" applyFont="1" applyFill="1" applyBorder="1" applyAlignment="1" applyProtection="1">
      <alignment horizontal="center"/>
      <protection locked="0"/>
    </xf>
    <xf numFmtId="165" fontId="19" fillId="43" borderId="4" xfId="4495" applyNumberFormat="1" applyFont="1" applyFill="1" applyBorder="1" applyAlignment="1" applyProtection="1">
      <alignment horizontal="center"/>
      <protection locked="0"/>
    </xf>
    <xf numFmtId="165" fontId="19" fillId="43" borderId="5" xfId="4495" applyNumberFormat="1" applyFont="1" applyFill="1" applyBorder="1" applyAlignment="1" applyProtection="1">
      <alignment horizontal="center"/>
      <protection locked="0"/>
    </xf>
    <xf numFmtId="165" fontId="19" fillId="0" borderId="6" xfId="1192" applyNumberFormat="1" applyBorder="1" applyAlignment="1">
      <alignment horizontal="right"/>
    </xf>
    <xf numFmtId="168" fontId="19" fillId="0" borderId="2" xfId="1192" applyNumberFormat="1" applyBorder="1" applyAlignment="1">
      <alignment horizontal="right"/>
    </xf>
    <xf numFmtId="1" fontId="19" fillId="0" borderId="3" xfId="4495" applyNumberFormat="1" applyFont="1" applyBorder="1" applyAlignment="1">
      <alignment horizontal="center"/>
    </xf>
    <xf numFmtId="1" fontId="19" fillId="0" borderId="4" xfId="4495" applyNumberFormat="1" applyFont="1" applyBorder="1" applyAlignment="1">
      <alignment horizontal="center"/>
    </xf>
    <xf numFmtId="1" fontId="19" fillId="0" borderId="5" xfId="4495" applyNumberFormat="1" applyFont="1" applyBorder="1" applyAlignment="1">
      <alignment horizontal="center"/>
    </xf>
    <xf numFmtId="0" fontId="27" fillId="5" borderId="6" xfId="4495" applyFont="1" applyFill="1" applyBorder="1" applyAlignment="1" applyProtection="1">
      <alignment horizontal="left"/>
      <protection locked="0"/>
    </xf>
    <xf numFmtId="0" fontId="19" fillId="5" borderId="6" xfId="4495" applyFont="1" applyFill="1" applyBorder="1" applyAlignment="1" applyProtection="1">
      <alignment horizontal="left"/>
      <protection locked="0"/>
    </xf>
    <xf numFmtId="0" fontId="55" fillId="5" borderId="6" xfId="4495" applyFont="1" applyFill="1" applyBorder="1" applyAlignment="1" applyProtection="1">
      <alignment horizontal="left"/>
      <protection locked="0"/>
    </xf>
    <xf numFmtId="0" fontId="19" fillId="44" borderId="6" xfId="4495" applyFont="1" applyFill="1" applyBorder="1" applyAlignment="1">
      <alignment horizontal="left"/>
    </xf>
    <xf numFmtId="0" fontId="19" fillId="0" borderId="0" xfId="1192" applyAlignment="1">
      <alignment horizontal="right"/>
    </xf>
    <xf numFmtId="0" fontId="124" fillId="5" borderId="6" xfId="4496" applyFont="1" applyFill="1" applyBorder="1" applyAlignment="1" applyProtection="1">
      <alignment horizontal="center"/>
      <protection locked="0"/>
    </xf>
    <xf numFmtId="0" fontId="124" fillId="0" borderId="50" xfId="4496" applyFont="1" applyBorder="1" applyAlignment="1">
      <alignment horizontal="left" vertical="top" wrapText="1"/>
    </xf>
    <xf numFmtId="0" fontId="124" fillId="0" borderId="51" xfId="4496" applyFont="1" applyBorder="1" applyAlignment="1">
      <alignment horizontal="left" vertical="top" wrapText="1"/>
    </xf>
    <xf numFmtId="0" fontId="124" fillId="0" borderId="52" xfId="4496" applyFont="1" applyBorder="1" applyAlignment="1">
      <alignment horizontal="left" vertical="top" wrapText="1"/>
    </xf>
    <xf numFmtId="0" fontId="124" fillId="0" borderId="53" xfId="4496" applyFont="1" applyBorder="1" applyAlignment="1">
      <alignment horizontal="left" vertical="top" wrapText="1"/>
    </xf>
    <xf numFmtId="0" fontId="124" fillId="0" borderId="0" xfId="4496" applyFont="1" applyAlignment="1">
      <alignment horizontal="left" vertical="top" wrapText="1"/>
    </xf>
    <xf numFmtId="0" fontId="124" fillId="0" borderId="54" xfId="4496" applyFont="1" applyBorder="1" applyAlignment="1">
      <alignment horizontal="left" vertical="top" wrapText="1"/>
    </xf>
    <xf numFmtId="9" fontId="19" fillId="0" borderId="6" xfId="1192" applyNumberFormat="1" applyBorder="1" applyAlignment="1">
      <alignment horizontal="center"/>
    </xf>
    <xf numFmtId="9" fontId="19" fillId="0" borderId="6" xfId="1192" quotePrefix="1" applyNumberFormat="1" applyBorder="1" applyAlignment="1">
      <alignment horizontal="center"/>
    </xf>
    <xf numFmtId="9" fontId="19" fillId="0" borderId="0" xfId="1192" quotePrefix="1" applyNumberFormat="1" applyAlignment="1">
      <alignment horizontal="center"/>
    </xf>
    <xf numFmtId="1" fontId="19" fillId="5" borderId="4" xfId="1192" applyNumberFormat="1" applyFill="1" applyBorder="1" applyAlignment="1" applyProtection="1">
      <alignment horizontal="center"/>
      <protection locked="0"/>
    </xf>
    <xf numFmtId="1" fontId="124" fillId="0" borderId="55" xfId="4496" applyNumberFormat="1" applyFont="1" applyBorder="1" applyAlignment="1">
      <alignment horizontal="center" vertical="top" wrapText="1"/>
    </xf>
    <xf numFmtId="1" fontId="124" fillId="0" borderId="6" xfId="4496" applyNumberFormat="1" applyFont="1" applyBorder="1" applyAlignment="1">
      <alignment horizontal="center" vertical="top" wrapText="1"/>
    </xf>
    <xf numFmtId="165" fontId="124" fillId="0" borderId="55" xfId="4496" applyNumberFormat="1" applyFont="1" applyBorder="1" applyAlignment="1">
      <alignment horizontal="center" vertical="top" wrapText="1"/>
    </xf>
    <xf numFmtId="165" fontId="124" fillId="0" borderId="6" xfId="4496" applyNumberFormat="1" applyFont="1" applyBorder="1" applyAlignment="1">
      <alignment horizontal="center" vertical="top" wrapText="1"/>
    </xf>
    <xf numFmtId="168" fontId="124" fillId="43" borderId="55" xfId="4496" applyNumberFormat="1" applyFont="1" applyFill="1" applyBorder="1" applyAlignment="1" applyProtection="1">
      <alignment horizontal="center" vertical="top" wrapText="1"/>
      <protection locked="0"/>
    </xf>
    <xf numFmtId="168" fontId="124" fillId="43" borderId="6" xfId="4496" applyNumberFormat="1" applyFont="1" applyFill="1" applyBorder="1" applyAlignment="1" applyProtection="1">
      <alignment horizontal="center" vertical="top" wrapText="1"/>
      <protection locked="0"/>
    </xf>
    <xf numFmtId="0" fontId="19" fillId="0" borderId="57" xfId="4495" applyFont="1" applyBorder="1" applyAlignment="1">
      <alignment horizontal="left" vertical="center" wrapText="1"/>
    </xf>
    <xf numFmtId="0" fontId="19" fillId="0" borderId="58" xfId="4495" applyFont="1" applyBorder="1" applyAlignment="1">
      <alignment horizontal="left" vertical="center" wrapText="1"/>
    </xf>
    <xf numFmtId="0" fontId="19" fillId="0" borderId="59" xfId="4495" applyFont="1" applyBorder="1" applyAlignment="1">
      <alignment horizontal="left" vertical="center" wrapText="1"/>
    </xf>
    <xf numFmtId="10" fontId="124" fillId="0" borderId="3" xfId="4496" applyNumberFormat="1" applyFont="1" applyBorder="1" applyAlignment="1">
      <alignment horizontal="center" vertical="top" wrapText="1"/>
    </xf>
    <xf numFmtId="10" fontId="124" fillId="0" borderId="4" xfId="4496" applyNumberFormat="1" applyFont="1" applyBorder="1" applyAlignment="1">
      <alignment horizontal="center" vertical="top" wrapText="1"/>
    </xf>
    <xf numFmtId="10" fontId="124" fillId="0" borderId="5" xfId="4496" applyNumberFormat="1" applyFont="1" applyBorder="1" applyAlignment="1">
      <alignment horizontal="center" vertical="top" wrapText="1"/>
    </xf>
    <xf numFmtId="168" fontId="124" fillId="0" borderId="6" xfId="4496" applyNumberFormat="1" applyFont="1" applyBorder="1" applyAlignment="1">
      <alignment horizontal="center" vertical="top"/>
    </xf>
    <xf numFmtId="0" fontId="124" fillId="0" borderId="55" xfId="4496" applyFont="1" applyBorder="1" applyAlignment="1">
      <alignment horizontal="center" vertical="top" wrapText="1"/>
    </xf>
    <xf numFmtId="0" fontId="124" fillId="0" borderId="6" xfId="4496" applyFont="1" applyBorder="1" applyAlignment="1">
      <alignment horizontal="center" vertical="top" wrapText="1"/>
    </xf>
    <xf numFmtId="0" fontId="19" fillId="0" borderId="47" xfId="4495" applyFont="1" applyBorder="1" applyAlignment="1">
      <alignment horizontal="left" vertical="center" wrapText="1"/>
    </xf>
    <xf numFmtId="0" fontId="19" fillId="0" borderId="48" xfId="4495" applyFont="1" applyBorder="1" applyAlignment="1">
      <alignment horizontal="left" vertical="center" wrapText="1"/>
    </xf>
    <xf numFmtId="0" fontId="19" fillId="0" borderId="49" xfId="4495" applyFont="1" applyBorder="1" applyAlignment="1">
      <alignment horizontal="left" vertical="center" wrapText="1"/>
    </xf>
    <xf numFmtId="0" fontId="25" fillId="3" borderId="2" xfId="4495" applyFont="1" applyFill="1" applyBorder="1" applyAlignment="1">
      <alignment horizontal="center" vertical="center"/>
    </xf>
    <xf numFmtId="0" fontId="25" fillId="3" borderId="16" xfId="4495" applyFont="1" applyFill="1" applyBorder="1" applyAlignment="1">
      <alignment horizontal="center" vertical="center"/>
    </xf>
    <xf numFmtId="0" fontId="26" fillId="0" borderId="48" xfId="4495" applyFont="1" applyBorder="1" applyAlignment="1">
      <alignment horizontal="left" vertical="top"/>
    </xf>
    <xf numFmtId="0" fontId="26" fillId="0" borderId="49" xfId="4495" applyFont="1" applyBorder="1" applyAlignment="1">
      <alignment horizontal="left" vertical="top"/>
    </xf>
    <xf numFmtId="0" fontId="19" fillId="0" borderId="50" xfId="4495" applyFont="1" applyBorder="1" applyAlignment="1">
      <alignment vertical="center" wrapText="1"/>
    </xf>
    <xf numFmtId="0" fontId="19" fillId="0" borderId="51" xfId="4495" applyFont="1" applyBorder="1" applyAlignment="1">
      <alignment vertical="center" wrapText="1"/>
    </xf>
    <xf numFmtId="0" fontId="19" fillId="0" borderId="52" xfId="4495" applyFont="1" applyBorder="1" applyAlignment="1">
      <alignment vertical="center" wrapText="1"/>
    </xf>
    <xf numFmtId="0" fontId="19" fillId="0" borderId="53" xfId="4495" applyFont="1" applyBorder="1" applyAlignment="1">
      <alignment vertical="center" wrapText="1"/>
    </xf>
    <xf numFmtId="0" fontId="19" fillId="0" borderId="0" xfId="4495" applyFont="1" applyAlignment="1">
      <alignment vertical="center" wrapText="1"/>
    </xf>
    <xf numFmtId="0" fontId="19" fillId="0" borderId="54" xfId="4495" applyFont="1" applyBorder="1" applyAlignment="1">
      <alignment vertical="center" wrapText="1"/>
    </xf>
    <xf numFmtId="0" fontId="19" fillId="0" borderId="57" xfId="4495" applyFont="1" applyBorder="1" applyAlignment="1">
      <alignment vertical="center" wrapText="1"/>
    </xf>
    <xf numFmtId="0" fontId="19" fillId="0" borderId="58" xfId="4495" applyFont="1" applyBorder="1" applyAlignment="1">
      <alignment vertical="center" wrapText="1"/>
    </xf>
    <xf numFmtId="0" fontId="19" fillId="0" borderId="59" xfId="4495" applyFont="1" applyBorder="1" applyAlignment="1">
      <alignment vertical="center" wrapText="1"/>
    </xf>
    <xf numFmtId="0" fontId="124" fillId="0" borderId="57" xfId="4496" applyFont="1" applyBorder="1" applyAlignment="1">
      <alignment horizontal="left" vertical="top" wrapText="1"/>
    </xf>
    <xf numFmtId="0" fontId="124" fillId="0" borderId="58" xfId="4496" applyFont="1" applyBorder="1" applyAlignment="1">
      <alignment horizontal="left" vertical="top" wrapText="1"/>
    </xf>
    <xf numFmtId="0" fontId="124" fillId="0" borderId="59" xfId="4496" applyFont="1" applyBorder="1" applyAlignment="1">
      <alignment horizontal="left" vertical="top" wrapText="1"/>
    </xf>
    <xf numFmtId="165" fontId="124" fillId="0" borderId="60" xfId="4496" applyNumberFormat="1" applyFont="1" applyBorder="1" applyAlignment="1">
      <alignment horizontal="center" vertical="top" wrapText="1"/>
    </xf>
    <xf numFmtId="0" fontId="124" fillId="5" borderId="60" xfId="4496" applyFont="1" applyFill="1" applyBorder="1" applyAlignment="1" applyProtection="1">
      <alignment horizontal="center"/>
      <protection locked="0"/>
    </xf>
    <xf numFmtId="0" fontId="124" fillId="5" borderId="4" xfId="4496" applyFont="1" applyFill="1" applyBorder="1" applyAlignment="1" applyProtection="1">
      <alignment horizontal="center"/>
      <protection locked="0"/>
    </xf>
    <xf numFmtId="0" fontId="124" fillId="5" borderId="55" xfId="4496" applyFont="1" applyFill="1" applyBorder="1" applyAlignment="1" applyProtection="1">
      <alignment horizontal="center"/>
      <protection locked="0"/>
    </xf>
    <xf numFmtId="168" fontId="124" fillId="0" borderId="55" xfId="4496" applyNumberFormat="1" applyFont="1" applyBorder="1" applyAlignment="1">
      <alignment horizontal="center" vertical="top"/>
    </xf>
    <xf numFmtId="0" fontId="100" fillId="0" borderId="3" xfId="4496" applyFont="1" applyBorder="1" applyAlignment="1">
      <alignment horizontal="left" indent="2"/>
    </xf>
    <xf numFmtId="0" fontId="100" fillId="0" borderId="4" xfId="4496" applyFont="1" applyBorder="1" applyAlignment="1">
      <alignment horizontal="left" indent="2"/>
    </xf>
    <xf numFmtId="0" fontId="100" fillId="0" borderId="5" xfId="4496" applyFont="1" applyBorder="1" applyAlignment="1">
      <alignment horizontal="left" indent="2"/>
    </xf>
    <xf numFmtId="9" fontId="138" fillId="45" borderId="3" xfId="4499" applyFont="1" applyFill="1" applyBorder="1" applyAlignment="1" applyProtection="1">
      <alignment horizontal="center" vertical="center"/>
    </xf>
    <xf numFmtId="9" fontId="138" fillId="45" borderId="4" xfId="4499" applyFont="1" applyFill="1" applyBorder="1" applyAlignment="1" applyProtection="1">
      <alignment horizontal="center" vertical="center"/>
    </xf>
    <xf numFmtId="9" fontId="138" fillId="45" borderId="5" xfId="4499" applyFont="1" applyFill="1" applyBorder="1" applyAlignment="1" applyProtection="1">
      <alignment horizontal="center" vertical="center"/>
    </xf>
    <xf numFmtId="0" fontId="100" fillId="0" borderId="0" xfId="4496" applyFont="1" applyAlignment="1">
      <alignment wrapText="1"/>
    </xf>
    <xf numFmtId="49" fontId="100" fillId="45" borderId="15" xfId="4496" applyNumberFormat="1" applyFont="1" applyFill="1" applyBorder="1" applyAlignment="1">
      <alignment horizontal="center" vertical="center" wrapText="1"/>
    </xf>
    <xf numFmtId="49" fontId="100" fillId="45" borderId="13" xfId="4496" applyNumberFormat="1" applyFont="1" applyFill="1" applyBorder="1" applyAlignment="1">
      <alignment horizontal="center" vertical="center" wrapText="1"/>
    </xf>
    <xf numFmtId="0" fontId="138" fillId="0" borderId="75" xfId="4496" applyFont="1" applyBorder="1" applyAlignment="1">
      <alignment horizontal="center" vertical="top" wrapText="1"/>
    </xf>
    <xf numFmtId="0" fontId="138" fillId="0" borderId="74" xfId="4496" applyFont="1" applyBorder="1" applyAlignment="1">
      <alignment horizontal="center" vertical="top" wrapText="1"/>
    </xf>
    <xf numFmtId="0" fontId="100" fillId="0" borderId="0" xfId="4496" applyFont="1" applyAlignment="1">
      <alignment horizontal="left" wrapText="1"/>
    </xf>
    <xf numFmtId="0" fontId="100" fillId="0" borderId="0" xfId="4496" applyFont="1" applyAlignment="1">
      <alignment horizontal="center" vertical="center" wrapText="1"/>
    </xf>
    <xf numFmtId="0" fontId="100" fillId="43" borderId="0" xfId="4496" applyFont="1" applyFill="1" applyAlignment="1" applyProtection="1">
      <alignment horizontal="left" vertical="top" wrapText="1"/>
      <protection locked="0"/>
    </xf>
    <xf numFmtId="0" fontId="100" fillId="43" borderId="6" xfId="4496" applyFont="1" applyFill="1" applyBorder="1" applyAlignment="1" applyProtection="1">
      <alignment horizontal="left" vertical="top" wrapText="1"/>
      <protection locked="0"/>
    </xf>
    <xf numFmtId="0" fontId="100" fillId="0" borderId="0" xfId="4496" applyFont="1" applyAlignment="1">
      <alignment horizontal="left" wrapText="1" indent="1"/>
    </xf>
    <xf numFmtId="168" fontId="100" fillId="0" borderId="11" xfId="4499" applyNumberFormat="1" applyFont="1" applyFill="1" applyBorder="1" applyAlignment="1" applyProtection="1">
      <alignment horizontal="left" vertical="center" indent="1"/>
    </xf>
    <xf numFmtId="0" fontId="138" fillId="0" borderId="68" xfId="4496" applyFont="1" applyBorder="1" applyAlignment="1">
      <alignment horizontal="left" indent="1"/>
    </xf>
    <xf numFmtId="168" fontId="100" fillId="0" borderId="70" xfId="4499" applyNumberFormat="1" applyFont="1" applyFill="1" applyBorder="1" applyAlignment="1" applyProtection="1">
      <alignment horizontal="left" vertical="center" indent="1"/>
    </xf>
    <xf numFmtId="49" fontId="137" fillId="3" borderId="0" xfId="1192" applyNumberFormat="1" applyFont="1" applyFill="1" applyAlignment="1">
      <alignment horizontal="center" vertical="center"/>
    </xf>
    <xf numFmtId="0" fontId="100" fillId="0" borderId="11" xfId="4496" applyFont="1" applyBorder="1" applyAlignment="1">
      <alignment horizontal="left" indent="1"/>
    </xf>
    <xf numFmtId="0" fontId="100" fillId="0" borderId="11" xfId="4496" applyFont="1" applyBorder="1" applyAlignment="1">
      <alignment horizontal="left" indent="2"/>
    </xf>
    <xf numFmtId="0" fontId="138" fillId="45" borderId="3" xfId="4496" applyFont="1" applyFill="1" applyBorder="1" applyAlignment="1">
      <alignment horizontal="center" vertical="center"/>
    </xf>
    <xf numFmtId="0" fontId="138" fillId="45" borderId="4" xfId="4496" applyFont="1" applyFill="1" applyBorder="1" applyAlignment="1">
      <alignment horizontal="center" vertical="center"/>
    </xf>
    <xf numFmtId="0" fontId="138" fillId="45" borderId="5" xfId="4496" applyFont="1" applyFill="1" applyBorder="1" applyAlignment="1">
      <alignment horizontal="center" vertical="center"/>
    </xf>
    <xf numFmtId="168" fontId="100" fillId="0" borderId="13" xfId="4499" applyNumberFormat="1" applyFont="1" applyFill="1" applyBorder="1" applyAlignment="1" applyProtection="1">
      <alignment horizontal="left" vertical="center" indent="1"/>
    </xf>
    <xf numFmtId="0" fontId="100" fillId="0" borderId="3" xfId="4496" applyFont="1" applyBorder="1" applyAlignment="1">
      <alignment horizontal="left" indent="1"/>
    </xf>
    <xf numFmtId="0" fontId="100" fillId="0" borderId="4" xfId="4496" applyFont="1" applyBorder="1" applyAlignment="1">
      <alignment horizontal="left" indent="1"/>
    </xf>
    <xf numFmtId="0" fontId="100" fillId="0" borderId="5" xfId="4496" applyFont="1" applyBorder="1" applyAlignment="1">
      <alignment horizontal="left" indent="1"/>
    </xf>
    <xf numFmtId="0" fontId="100" fillId="0" borderId="3" xfId="4496" applyFont="1" applyBorder="1"/>
    <xf numFmtId="0" fontId="100" fillId="0" borderId="81" xfId="4496" applyFont="1" applyBorder="1"/>
    <xf numFmtId="0" fontId="100" fillId="0" borderId="94" xfId="4496" applyFont="1" applyBorder="1"/>
    <xf numFmtId="0" fontId="100" fillId="0" borderId="85" xfId="4496" applyFont="1" applyBorder="1"/>
    <xf numFmtId="0" fontId="100" fillId="0" borderId="93" xfId="4496" applyFont="1" applyBorder="1" applyAlignment="1">
      <alignment horizontal="right"/>
    </xf>
    <xf numFmtId="0" fontId="100" fillId="0" borderId="74" xfId="4496" applyFont="1" applyBorder="1" applyAlignment="1">
      <alignment horizontal="right"/>
    </xf>
    <xf numFmtId="0" fontId="100" fillId="0" borderId="75" xfId="4496" applyFont="1" applyBorder="1"/>
    <xf numFmtId="0" fontId="100" fillId="0" borderId="91" xfId="4496" applyFont="1" applyBorder="1"/>
    <xf numFmtId="0" fontId="100" fillId="0" borderId="90" xfId="4496" applyFont="1" applyBorder="1" applyAlignment="1">
      <alignment horizontal="right"/>
    </xf>
    <xf numFmtId="0" fontId="100" fillId="0" borderId="5" xfId="4496" applyFont="1" applyBorder="1" applyAlignment="1">
      <alignment horizontal="right"/>
    </xf>
    <xf numFmtId="0" fontId="100" fillId="0" borderId="69" xfId="4496" applyFont="1" applyBorder="1" applyAlignment="1">
      <alignment horizontal="right"/>
    </xf>
    <xf numFmtId="0" fontId="100" fillId="0" borderId="70" xfId="4496" applyFont="1" applyBorder="1" applyAlignment="1">
      <alignment horizontal="right"/>
    </xf>
    <xf numFmtId="0" fontId="24" fillId="0" borderId="6" xfId="271" applyFont="1" applyBorder="1" applyAlignment="1">
      <alignment horizontal="center"/>
    </xf>
    <xf numFmtId="0" fontId="24" fillId="0" borderId="0" xfId="0" applyFont="1" applyAlignment="1" applyProtection="1">
      <alignment wrapText="1"/>
      <protection locked="0"/>
    </xf>
    <xf numFmtId="3" fontId="19" fillId="0" borderId="0" xfId="0" applyNumberFormat="1" applyFont="1" applyAlignment="1">
      <alignment horizontal="left" vertical="top" wrapText="1"/>
    </xf>
    <xf numFmtId="3" fontId="28" fillId="0" borderId="0" xfId="0" applyNumberFormat="1" applyFont="1" applyAlignment="1">
      <alignment horizontal="left" vertical="top" wrapText="1"/>
    </xf>
    <xf numFmtId="0" fontId="19" fillId="43" borderId="0" xfId="0" applyFont="1" applyFill="1" applyAlignment="1">
      <alignment horizontal="left"/>
    </xf>
  </cellXfs>
  <cellStyles count="18912">
    <cellStyle name="20% - Accent1" xfId="1" builtinId="30" customBuiltin="1"/>
    <cellStyle name="20% - Accent1 10" xfId="4504" xr:uid="{00000000-0005-0000-0000-000001000000}"/>
    <cellStyle name="20% - Accent1 10 2" xfId="13830" xr:uid="{58949B96-4ECA-48DB-9AC5-1BE7F33EE4F2}"/>
    <cellStyle name="20% - Accent1 11" xfId="8758" xr:uid="{2F735C8D-70CB-4E84-A95A-4445894745BC}"/>
    <cellStyle name="20% - Accent1 11 2" xfId="18082" xr:uid="{EE1A3610-7D46-400A-95FF-F090DF2266F0}"/>
    <cellStyle name="20% - Accent1 12" xfId="9613" xr:uid="{B538B230-4D95-4E5B-A265-0228372A4D54}"/>
    <cellStyle name="20% - Accent1 2" xfId="2" xr:uid="{00000000-0005-0000-0000-000002000000}"/>
    <cellStyle name="20% - Accent1 2 10" xfId="8797" xr:uid="{7F4BEAE6-CC35-4B07-89BD-8FC5D6B3D35B}"/>
    <cellStyle name="20% - Accent1 2 10 2" xfId="18121" xr:uid="{907251A2-E063-4457-8F26-7E7E41BCF747}"/>
    <cellStyle name="20% - Accent1 2 11" xfId="9614" xr:uid="{78D48F1A-4D18-403A-9CD1-2C2607B4B5B8}"/>
    <cellStyle name="20% - Accent1 2 2" xfId="3" xr:uid="{00000000-0005-0000-0000-000003000000}"/>
    <cellStyle name="20% - Accent1 2 2 10" xfId="9615" xr:uid="{88D7E725-3157-44A4-B2C3-0D3A6D0C701E}"/>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16392" xr:uid="{5339E74B-CC06-47C6-9B29-0970AE909488}"/>
    <cellStyle name="20% - Accent1 2 2 2 2 2 3" xfId="12175" xr:uid="{8A383B98-1216-47CF-B031-D2BD2D8974D1}"/>
    <cellStyle name="20% - Accent1 2 2 2 2 3" xfId="4921" xr:uid="{00000000-0005-0000-0000-000008000000}"/>
    <cellStyle name="20% - Accent1 2 2 2 2 3 2" xfId="14247" xr:uid="{AF186DFF-811C-41A4-A079-447031CA5BFC}"/>
    <cellStyle name="20% - Accent1 2 2 2 2 4" xfId="9532" xr:uid="{D5FAB462-C5A9-4306-AA37-C118C84F9393}"/>
    <cellStyle name="20% - Accent1 2 2 2 2 4 2" xfId="18847" xr:uid="{A614F193-3CA4-4EEB-8063-AE0C7464527B}"/>
    <cellStyle name="20% - Accent1 2 2 2 2 5" xfId="10030" xr:uid="{B44FFACC-DCB6-4504-BB3B-4C4C5E7CCC5F}"/>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16805" xr:uid="{04C09302-02CA-4A2A-8DF9-F4BE1E793800}"/>
    <cellStyle name="20% - Accent1 2 2 2 3 2 3" xfId="12588" xr:uid="{1781D845-F8E9-461E-971D-0E45773DA325}"/>
    <cellStyle name="20% - Accent1 2 2 2 3 3" xfId="5334" xr:uid="{00000000-0005-0000-0000-00000C000000}"/>
    <cellStyle name="20% - Accent1 2 2 2 3 3 2" xfId="14660" xr:uid="{16517058-84FD-49AA-A404-A3CC36EDD5C0}"/>
    <cellStyle name="20% - Accent1 2 2 2 3 4" xfId="10443" xr:uid="{D8C13456-8C0C-4D6E-9A9E-0D883D9EE9A3}"/>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17218" xr:uid="{6640B09E-0207-442A-82CA-ACB03A4DA8F4}"/>
    <cellStyle name="20% - Accent1 2 2 2 4 2 3" xfId="13001" xr:uid="{1EE7BB2B-B2F0-4667-A3A2-D2E0B9E669B0}"/>
    <cellStyle name="20% - Accent1 2 2 2 4 3" xfId="5747" xr:uid="{00000000-0005-0000-0000-000010000000}"/>
    <cellStyle name="20% - Accent1 2 2 2 4 3 2" xfId="15073" xr:uid="{BA913BA7-FD13-4A9A-B349-A3B3908049FE}"/>
    <cellStyle name="20% - Accent1 2 2 2 4 4" xfId="10856" xr:uid="{C63AF1A5-8801-4F42-9EFA-15D592D4FDA9}"/>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17631" xr:uid="{68A53971-E1DB-43F6-B35A-48DA07C614DE}"/>
    <cellStyle name="20% - Accent1 2 2 2 5 2 3" xfId="13414" xr:uid="{88F3C15F-B03E-48F2-8D10-C34804EFBA30}"/>
    <cellStyle name="20% - Accent1 2 2 2 5 3" xfId="6160" xr:uid="{00000000-0005-0000-0000-000014000000}"/>
    <cellStyle name="20% - Accent1 2 2 2 5 3 2" xfId="15486" xr:uid="{11C01F83-D5FB-4076-AE76-0D03315D6E01}"/>
    <cellStyle name="20% - Accent1 2 2 2 5 4" xfId="11269" xr:uid="{A2F5C1E7-3AE8-49A5-A9BB-2834F661547E}"/>
    <cellStyle name="20% - Accent1 2 2 2 6" xfId="2267" xr:uid="{00000000-0005-0000-0000-000015000000}"/>
    <cellStyle name="20% - Accent1 2 2 2 6 2" xfId="6573" xr:uid="{00000000-0005-0000-0000-000016000000}"/>
    <cellStyle name="20% - Accent1 2 2 2 6 2 2" xfId="15899" xr:uid="{77DB41EF-35F7-47C3-BAAD-DC2BDC094513}"/>
    <cellStyle name="20% - Accent1 2 2 2 6 3" xfId="11682" xr:uid="{52F50694-E6AC-45FF-8789-1C439BA73F74}"/>
    <cellStyle name="20% - Accent1 2 2 2 7" xfId="4507" xr:uid="{00000000-0005-0000-0000-000017000000}"/>
    <cellStyle name="20% - Accent1 2 2 2 7 2" xfId="13833" xr:uid="{43A73356-BD40-4C51-9537-A647F427A092}"/>
    <cellStyle name="20% - Accent1 2 2 2 8" xfId="9107" xr:uid="{4168D01E-823F-4E8F-9A1D-70697AC1F241}"/>
    <cellStyle name="20% - Accent1 2 2 2 8 2" xfId="18431" xr:uid="{C6E7A2DE-4C97-47E6-8E9B-C7F927500874}"/>
    <cellStyle name="20% - Accent1 2 2 2 9" xfId="9616" xr:uid="{0678ECA2-71D6-42C2-A7C3-087BBE16B5C1}"/>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16391" xr:uid="{FE6955A0-AA13-4285-813B-98CD61A21018}"/>
    <cellStyle name="20% - Accent1 2 2 3 2 3" xfId="12174" xr:uid="{E377B2E0-7D8A-4107-94A1-213A77D0ED01}"/>
    <cellStyle name="20% - Accent1 2 2 3 3" xfId="4920" xr:uid="{00000000-0005-0000-0000-00001B000000}"/>
    <cellStyle name="20% - Accent1 2 2 3 3 2" xfId="14246" xr:uid="{F8084140-1943-4A24-AD08-BF923951DC49}"/>
    <cellStyle name="20% - Accent1 2 2 3 4" xfId="9325" xr:uid="{DE19910B-698B-4F31-B25F-3533B35DDA95}"/>
    <cellStyle name="20% - Accent1 2 2 3 4 2" xfId="18640" xr:uid="{FFC7B701-6E5C-436A-BB94-0FD6E94188A4}"/>
    <cellStyle name="20% - Accent1 2 2 3 5" xfId="10029" xr:uid="{8CDB9655-5477-4097-9FD9-4825EB624089}"/>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16804" xr:uid="{CFF23C6D-1E89-4086-8A83-99F53BC20BAA}"/>
    <cellStyle name="20% - Accent1 2 2 4 2 3" xfId="12587" xr:uid="{EB29C661-11D4-4793-AD5C-7F200B524957}"/>
    <cellStyle name="20% - Accent1 2 2 4 3" xfId="5333" xr:uid="{00000000-0005-0000-0000-00001F000000}"/>
    <cellStyle name="20% - Accent1 2 2 4 3 2" xfId="14659" xr:uid="{D2C8E89F-F76E-4EAD-8624-FA8C5D0F3EB3}"/>
    <cellStyle name="20% - Accent1 2 2 4 4" xfId="10442" xr:uid="{3EA355D6-A850-4932-8F96-9D5BA5278715}"/>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17217" xr:uid="{C077C1A1-7D63-471F-9833-848EE59DC392}"/>
    <cellStyle name="20% - Accent1 2 2 5 2 3" xfId="13000" xr:uid="{274B64A1-147A-47F0-970A-C2B4F1419F5B}"/>
    <cellStyle name="20% - Accent1 2 2 5 3" xfId="5746" xr:uid="{00000000-0005-0000-0000-000023000000}"/>
    <cellStyle name="20% - Accent1 2 2 5 3 2" xfId="15072" xr:uid="{5D294F3C-0CB8-4275-AA91-699A4175E5F9}"/>
    <cellStyle name="20% - Accent1 2 2 5 4" xfId="10855" xr:uid="{C6BA2607-F077-444E-BC36-B54722037EED}"/>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17630" xr:uid="{A83BFD25-7888-49EC-9B83-0CAC326A9345}"/>
    <cellStyle name="20% - Accent1 2 2 6 2 3" xfId="13413" xr:uid="{2EECC11D-8D0F-494F-9696-25BCE3BBC3FF}"/>
    <cellStyle name="20% - Accent1 2 2 6 3" xfId="6159" xr:uid="{00000000-0005-0000-0000-000027000000}"/>
    <cellStyle name="20% - Accent1 2 2 6 3 2" xfId="15485" xr:uid="{6FDD0B12-92E1-4D43-AA1A-5B42EA4569D5}"/>
    <cellStyle name="20% - Accent1 2 2 6 4" xfId="11268" xr:uid="{E55F7632-9865-4477-9423-9F9B688A13C2}"/>
    <cellStyle name="20% - Accent1 2 2 7" xfId="2266" xr:uid="{00000000-0005-0000-0000-000028000000}"/>
    <cellStyle name="20% - Accent1 2 2 7 2" xfId="6572" xr:uid="{00000000-0005-0000-0000-000029000000}"/>
    <cellStyle name="20% - Accent1 2 2 7 2 2" xfId="15898" xr:uid="{39A9FE11-E50E-4C3D-961E-D4EA5F70B2E1}"/>
    <cellStyle name="20% - Accent1 2 2 7 3" xfId="11681" xr:uid="{3E719AE8-0FA3-4BE0-80EF-3087ADDBCE0B}"/>
    <cellStyle name="20% - Accent1 2 2 8" xfId="4506" xr:uid="{00000000-0005-0000-0000-00002A000000}"/>
    <cellStyle name="20% - Accent1 2 2 8 2" xfId="13832" xr:uid="{AB5D8D6A-7B55-498A-9313-C0CAD231D4D7}"/>
    <cellStyle name="20% - Accent1 2 2 9" xfId="8900" xr:uid="{7D7E3EAF-DF6A-403F-8C20-66BB9757790F}"/>
    <cellStyle name="20% - Accent1 2 2 9 2" xfId="18224" xr:uid="{631A46B1-5EDC-4DF0-80D3-A606120E1BB8}"/>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16393" xr:uid="{8541F1E2-C4D1-4A28-AFE4-BB72D3AE2B08}"/>
    <cellStyle name="20% - Accent1 2 3 2 2 3" xfId="12176" xr:uid="{3BB99FCA-FB45-409D-82EB-96258931516C}"/>
    <cellStyle name="20% - Accent1 2 3 2 3" xfId="4922" xr:uid="{00000000-0005-0000-0000-00002F000000}"/>
    <cellStyle name="20% - Accent1 2 3 2 3 2" xfId="14248" xr:uid="{26D86060-D943-45A4-BD29-42EEC9BACFE9}"/>
    <cellStyle name="20% - Accent1 2 3 2 4" xfId="9429" xr:uid="{CCD4BD61-3143-497B-A316-8024A8762A6C}"/>
    <cellStyle name="20% - Accent1 2 3 2 4 2" xfId="18744" xr:uid="{550E04F6-AD48-44EC-B18A-409F9B3FE9D7}"/>
    <cellStyle name="20% - Accent1 2 3 2 5" xfId="10031" xr:uid="{9D932CC2-135C-4BC8-923E-399B00DF9381}"/>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16806" xr:uid="{6DDD8AAE-ED2D-4F7C-9452-FB3583C8BCBD}"/>
    <cellStyle name="20% - Accent1 2 3 3 2 3" xfId="12589" xr:uid="{D6916FDD-AD01-4784-BC90-0C27C0AB0129}"/>
    <cellStyle name="20% - Accent1 2 3 3 3" xfId="5335" xr:uid="{00000000-0005-0000-0000-000033000000}"/>
    <cellStyle name="20% - Accent1 2 3 3 3 2" xfId="14661" xr:uid="{5A5835B9-7067-432C-B9D1-CD92DEDEAB78}"/>
    <cellStyle name="20% - Accent1 2 3 3 4" xfId="10444" xr:uid="{BE8B158B-4D16-4CA2-BF0B-8A157EB26FAA}"/>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17219" xr:uid="{B4385817-AF84-49BB-9ACA-7068CFCC8DA2}"/>
    <cellStyle name="20% - Accent1 2 3 4 2 3" xfId="13002" xr:uid="{B87186A4-2822-40EC-8126-E835572E600A}"/>
    <cellStyle name="20% - Accent1 2 3 4 3" xfId="5748" xr:uid="{00000000-0005-0000-0000-000037000000}"/>
    <cellStyle name="20% - Accent1 2 3 4 3 2" xfId="15074" xr:uid="{F77AD090-F327-487B-A4A2-C77BB5EE1D71}"/>
    <cellStyle name="20% - Accent1 2 3 4 4" xfId="10857" xr:uid="{316383E8-CB2E-4905-A29B-4E5BC17A2369}"/>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17632" xr:uid="{5DBCF37F-BDC9-43B4-9E58-57805FD60AD3}"/>
    <cellStyle name="20% - Accent1 2 3 5 2 3" xfId="13415" xr:uid="{A2C2066A-4405-4EC5-B8C7-0C78A866A9CD}"/>
    <cellStyle name="20% - Accent1 2 3 5 3" xfId="6161" xr:uid="{00000000-0005-0000-0000-00003B000000}"/>
    <cellStyle name="20% - Accent1 2 3 5 3 2" xfId="15487" xr:uid="{BCD290BD-BA2D-45AC-9561-A7065C10EB3D}"/>
    <cellStyle name="20% - Accent1 2 3 5 4" xfId="11270" xr:uid="{6AB4C902-CA98-470A-9EFE-4AA44986F0C4}"/>
    <cellStyle name="20% - Accent1 2 3 6" xfId="2268" xr:uid="{00000000-0005-0000-0000-00003C000000}"/>
    <cellStyle name="20% - Accent1 2 3 6 2" xfId="6574" xr:uid="{00000000-0005-0000-0000-00003D000000}"/>
    <cellStyle name="20% - Accent1 2 3 6 2 2" xfId="15900" xr:uid="{7C14DD88-9465-4CCC-805E-9D2720114269}"/>
    <cellStyle name="20% - Accent1 2 3 6 3" xfId="11683" xr:uid="{27157141-3E5C-4914-BEE8-BE8530000691}"/>
    <cellStyle name="20% - Accent1 2 3 7" xfId="4508" xr:uid="{00000000-0005-0000-0000-00003E000000}"/>
    <cellStyle name="20% - Accent1 2 3 7 2" xfId="13834" xr:uid="{DDF1F3E6-EB3F-4F5F-B468-7E4C565A8AC6}"/>
    <cellStyle name="20% - Accent1 2 3 8" xfId="9004" xr:uid="{14A9C135-BB7B-44DD-97E1-B6B10773DEE2}"/>
    <cellStyle name="20% - Accent1 2 3 8 2" xfId="18328" xr:uid="{13B9B5B4-DF5B-46F8-8B5A-2B89062BE2F5}"/>
    <cellStyle name="20% - Accent1 2 3 9" xfId="9617" xr:uid="{9261CCE9-9929-42D2-9D56-E93D93587FEB}"/>
    <cellStyle name="20% - Accent1 2 4" xfId="571" xr:uid="{00000000-0005-0000-0000-00003F000000}"/>
    <cellStyle name="20% - Accent1 2 4 2" xfId="2842" xr:uid="{00000000-0005-0000-0000-000040000000}"/>
    <cellStyle name="20% - Accent1 2 4 2 2" xfId="7064" xr:uid="{00000000-0005-0000-0000-000041000000}"/>
    <cellStyle name="20% - Accent1 2 4 2 2 2" xfId="16390" xr:uid="{3C6630C9-4556-4603-8652-CE3ADB21F622}"/>
    <cellStyle name="20% - Accent1 2 4 2 3" xfId="12173" xr:uid="{7C7205E9-C295-4733-B465-2E111490F67A}"/>
    <cellStyle name="20% - Accent1 2 4 3" xfId="4919" xr:uid="{00000000-0005-0000-0000-000042000000}"/>
    <cellStyle name="20% - Accent1 2 4 3 2" xfId="14245" xr:uid="{0886828C-4B2D-48FD-8E8C-26B014881764}"/>
    <cellStyle name="20% - Accent1 2 4 4" xfId="9221" xr:uid="{11532E3F-E59C-4FF7-9F45-291A17A69435}"/>
    <cellStyle name="20% - Accent1 2 4 4 2" xfId="18537" xr:uid="{750079A8-CCE1-43BA-881A-49597C1D26BB}"/>
    <cellStyle name="20% - Accent1 2 4 5" xfId="10028" xr:uid="{604D0370-8256-49B5-9589-F36D688C50CA}"/>
    <cellStyle name="20% - Accent1 2 5" xfId="1024" xr:uid="{00000000-0005-0000-0000-000043000000}"/>
    <cellStyle name="20% - Accent1 2 5 2" xfId="3255" xr:uid="{00000000-0005-0000-0000-000044000000}"/>
    <cellStyle name="20% - Accent1 2 5 2 2" xfId="7477" xr:uid="{00000000-0005-0000-0000-000045000000}"/>
    <cellStyle name="20% - Accent1 2 5 2 2 2" xfId="16803" xr:uid="{B0C80FE4-056D-4EE5-8385-9E3D7DD2D17A}"/>
    <cellStyle name="20% - Accent1 2 5 2 3" xfId="12586" xr:uid="{EE5F2416-F5BC-4489-A9B1-E540C09DA0C6}"/>
    <cellStyle name="20% - Accent1 2 5 3" xfId="5332" xr:uid="{00000000-0005-0000-0000-000046000000}"/>
    <cellStyle name="20% - Accent1 2 5 3 2" xfId="14658" xr:uid="{90F698C0-988F-432F-A9C7-ECF734080B3A}"/>
    <cellStyle name="20% - Accent1 2 5 4" xfId="10441" xr:uid="{987A2D99-9BCA-4202-A5A4-3C3DD5FE0DCA}"/>
    <cellStyle name="20% - Accent1 2 6" xfId="1438" xr:uid="{00000000-0005-0000-0000-000047000000}"/>
    <cellStyle name="20% - Accent1 2 6 2" xfId="3668" xr:uid="{00000000-0005-0000-0000-000048000000}"/>
    <cellStyle name="20% - Accent1 2 6 2 2" xfId="7890" xr:uid="{00000000-0005-0000-0000-000049000000}"/>
    <cellStyle name="20% - Accent1 2 6 2 2 2" xfId="17216" xr:uid="{F8B834A0-CE30-476F-9A77-192C3EF6CD37}"/>
    <cellStyle name="20% - Accent1 2 6 2 3" xfId="12999" xr:uid="{DF472CCF-9026-4FFD-A137-ED92E3FBF785}"/>
    <cellStyle name="20% - Accent1 2 6 3" xfId="5745" xr:uid="{00000000-0005-0000-0000-00004A000000}"/>
    <cellStyle name="20% - Accent1 2 6 3 2" xfId="15071" xr:uid="{588C955C-66B9-4F24-88B9-594E67B270D9}"/>
    <cellStyle name="20% - Accent1 2 6 4" xfId="10854" xr:uid="{D9BA2F0A-4F94-474E-85BE-7ED1084F18C2}"/>
    <cellStyle name="20% - Accent1 2 7" xfId="1852" xr:uid="{00000000-0005-0000-0000-00004B000000}"/>
    <cellStyle name="20% - Accent1 2 7 2" xfId="4081" xr:uid="{00000000-0005-0000-0000-00004C000000}"/>
    <cellStyle name="20% - Accent1 2 7 2 2" xfId="8303" xr:uid="{00000000-0005-0000-0000-00004D000000}"/>
    <cellStyle name="20% - Accent1 2 7 2 2 2" xfId="17629" xr:uid="{6DCCEF5E-8CF2-496C-B53D-9F093368CE76}"/>
    <cellStyle name="20% - Accent1 2 7 2 3" xfId="13412" xr:uid="{356048DF-63B7-461C-B46B-095EA5A03200}"/>
    <cellStyle name="20% - Accent1 2 7 3" xfId="6158" xr:uid="{00000000-0005-0000-0000-00004E000000}"/>
    <cellStyle name="20% - Accent1 2 7 3 2" xfId="15484" xr:uid="{22DD6CCB-46D8-414F-A0FA-693490A4E51A}"/>
    <cellStyle name="20% - Accent1 2 7 4" xfId="11267" xr:uid="{28401DE0-9B12-46F9-906B-45FF13616BA9}"/>
    <cellStyle name="20% - Accent1 2 8" xfId="2265" xr:uid="{00000000-0005-0000-0000-00004F000000}"/>
    <cellStyle name="20% - Accent1 2 8 2" xfId="6571" xr:uid="{00000000-0005-0000-0000-000050000000}"/>
    <cellStyle name="20% - Accent1 2 8 2 2" xfId="15897" xr:uid="{D920CBDB-49C3-46CC-9C93-DDE568EF988B}"/>
    <cellStyle name="20% - Accent1 2 8 3" xfId="11680" xr:uid="{A8649B9F-6235-4A6A-A827-B99913430397}"/>
    <cellStyle name="20% - Accent1 2 9" xfId="4505" xr:uid="{00000000-0005-0000-0000-000051000000}"/>
    <cellStyle name="20% - Accent1 2 9 2" xfId="13831" xr:uid="{3DBD5E1D-3A4E-4E04-A7BC-D87D66D6EAEE}"/>
    <cellStyle name="20% - Accent1 3" xfId="6" xr:uid="{00000000-0005-0000-0000-000052000000}"/>
    <cellStyle name="20% - Accent1 3 10" xfId="9618" xr:uid="{158673BC-DD9E-4C38-98F8-A8636B4D65C5}"/>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16395" xr:uid="{492BD46F-06A3-4292-A9EC-82B1AA631BBE}"/>
    <cellStyle name="20% - Accent1 3 2 2 2 3" xfId="12178" xr:uid="{7B1664B1-EB91-4385-B10B-91CBA52826DB}"/>
    <cellStyle name="20% - Accent1 3 2 2 3" xfId="4924" xr:uid="{00000000-0005-0000-0000-000057000000}"/>
    <cellStyle name="20% - Accent1 3 2 2 3 2" xfId="14250" xr:uid="{3EE206F4-63E4-4C3B-ADD3-0B488ABDED90}"/>
    <cellStyle name="20% - Accent1 3 2 2 4" xfId="9493" xr:uid="{FCEFE71D-2A04-4899-B62A-B225DBF7F0BF}"/>
    <cellStyle name="20% - Accent1 3 2 2 4 2" xfId="18808" xr:uid="{B5C5AB46-34A8-43D8-BE15-3D1505C78674}"/>
    <cellStyle name="20% - Accent1 3 2 2 5" xfId="10033" xr:uid="{CC758FCC-26E5-4709-9BB1-EBEE7881980F}"/>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16808" xr:uid="{4656DF24-976E-4746-85B3-4192BA5D91A6}"/>
    <cellStyle name="20% - Accent1 3 2 3 2 3" xfId="12591" xr:uid="{F4242025-16B7-4CDA-A1F7-CB68983F9494}"/>
    <cellStyle name="20% - Accent1 3 2 3 3" xfId="5337" xr:uid="{00000000-0005-0000-0000-00005B000000}"/>
    <cellStyle name="20% - Accent1 3 2 3 3 2" xfId="14663" xr:uid="{5F043DA9-123C-4D6A-B501-572D988884AB}"/>
    <cellStyle name="20% - Accent1 3 2 3 4" xfId="10446" xr:uid="{550E9203-A304-414D-8006-06DD19152540}"/>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17221" xr:uid="{DE73B7F4-6671-4CDF-ABE9-611C27805CCB}"/>
    <cellStyle name="20% - Accent1 3 2 4 2 3" xfId="13004" xr:uid="{B80B5E13-4B53-4722-B6F4-46E7ADE42958}"/>
    <cellStyle name="20% - Accent1 3 2 4 3" xfId="5750" xr:uid="{00000000-0005-0000-0000-00005F000000}"/>
    <cellStyle name="20% - Accent1 3 2 4 3 2" xfId="15076" xr:uid="{AAB82AE5-8330-4F85-9967-9E7C4F4230D0}"/>
    <cellStyle name="20% - Accent1 3 2 4 4" xfId="10859" xr:uid="{E1AEF745-0B05-4A73-9B1C-4A0C328654E5}"/>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17634" xr:uid="{A3D081CE-3E6F-4255-88EB-C66D8C81AA15}"/>
    <cellStyle name="20% - Accent1 3 2 5 2 3" xfId="13417" xr:uid="{ED354F89-6B15-474C-BFE8-5645FA270E9D}"/>
    <cellStyle name="20% - Accent1 3 2 5 3" xfId="6163" xr:uid="{00000000-0005-0000-0000-000063000000}"/>
    <cellStyle name="20% - Accent1 3 2 5 3 2" xfId="15489" xr:uid="{8EAC4C7D-8AC5-4DDD-B727-795527FAF09F}"/>
    <cellStyle name="20% - Accent1 3 2 5 4" xfId="11272" xr:uid="{2DD1D98B-1F52-403B-86E6-922CDE63250F}"/>
    <cellStyle name="20% - Accent1 3 2 6" xfId="2270" xr:uid="{00000000-0005-0000-0000-000064000000}"/>
    <cellStyle name="20% - Accent1 3 2 6 2" xfId="6576" xr:uid="{00000000-0005-0000-0000-000065000000}"/>
    <cellStyle name="20% - Accent1 3 2 6 2 2" xfId="15902" xr:uid="{ED5B6E73-7E27-4C2E-B19C-9849C359D8C1}"/>
    <cellStyle name="20% - Accent1 3 2 6 3" xfId="11685" xr:uid="{2D518934-A5E4-4960-8BD4-859DAEA6D00B}"/>
    <cellStyle name="20% - Accent1 3 2 7" xfId="4510" xr:uid="{00000000-0005-0000-0000-000066000000}"/>
    <cellStyle name="20% - Accent1 3 2 7 2" xfId="13836" xr:uid="{70CF238F-575D-44D8-811F-7E82DB543936}"/>
    <cellStyle name="20% - Accent1 3 2 8" xfId="9068" xr:uid="{354460C9-AD38-4FCD-882B-4DFB81DE5890}"/>
    <cellStyle name="20% - Accent1 3 2 8 2" xfId="18392" xr:uid="{55CE03CA-AF55-4DC3-B229-CC1783773F4D}"/>
    <cellStyle name="20% - Accent1 3 2 9" xfId="9619" xr:uid="{AB9D76D4-0B92-431A-A987-6A9C37758331}"/>
    <cellStyle name="20% - Accent1 3 3" xfId="575" xr:uid="{00000000-0005-0000-0000-000067000000}"/>
    <cellStyle name="20% - Accent1 3 3 2" xfId="2846" xr:uid="{00000000-0005-0000-0000-000068000000}"/>
    <cellStyle name="20% - Accent1 3 3 2 2" xfId="7068" xr:uid="{00000000-0005-0000-0000-000069000000}"/>
    <cellStyle name="20% - Accent1 3 3 2 2 2" xfId="16394" xr:uid="{AC222CA2-60EF-44EF-91BE-89573AC6C8D0}"/>
    <cellStyle name="20% - Accent1 3 3 2 3" xfId="12177" xr:uid="{87DE4A22-E31C-44CB-ABED-3E5CCAF6B0B6}"/>
    <cellStyle name="20% - Accent1 3 3 3" xfId="4923" xr:uid="{00000000-0005-0000-0000-00006A000000}"/>
    <cellStyle name="20% - Accent1 3 3 3 2" xfId="14249" xr:uid="{AE63C6F3-D2BB-4BE2-A196-2DC3D57F23DC}"/>
    <cellStyle name="20% - Accent1 3 3 4" xfId="9286" xr:uid="{B5220C4B-EBE7-4AD0-9A24-7F16FA378184}"/>
    <cellStyle name="20% - Accent1 3 3 4 2" xfId="18601" xr:uid="{A873D5A2-6D6C-4865-8556-DCC51A30BEDC}"/>
    <cellStyle name="20% - Accent1 3 3 5" xfId="10032" xr:uid="{6618A0CC-6FAE-4207-AEAB-8DE199037B33}"/>
    <cellStyle name="20% - Accent1 3 4" xfId="1028" xr:uid="{00000000-0005-0000-0000-00006B000000}"/>
    <cellStyle name="20% - Accent1 3 4 2" xfId="3259" xr:uid="{00000000-0005-0000-0000-00006C000000}"/>
    <cellStyle name="20% - Accent1 3 4 2 2" xfId="7481" xr:uid="{00000000-0005-0000-0000-00006D000000}"/>
    <cellStyle name="20% - Accent1 3 4 2 2 2" xfId="16807" xr:uid="{418505BF-FE7A-43E6-935F-480434D31784}"/>
    <cellStyle name="20% - Accent1 3 4 2 3" xfId="12590" xr:uid="{CE59097B-8F2D-4CF6-80A8-A01FE55601A8}"/>
    <cellStyle name="20% - Accent1 3 4 3" xfId="5336" xr:uid="{00000000-0005-0000-0000-00006E000000}"/>
    <cellStyle name="20% - Accent1 3 4 3 2" xfId="14662" xr:uid="{11941A05-7E98-4012-96D7-49522F336C4E}"/>
    <cellStyle name="20% - Accent1 3 4 4" xfId="10445" xr:uid="{997D1BA5-032A-4D52-BC6A-A38572F6CEFD}"/>
    <cellStyle name="20% - Accent1 3 5" xfId="1442" xr:uid="{00000000-0005-0000-0000-00006F000000}"/>
    <cellStyle name="20% - Accent1 3 5 2" xfId="3672" xr:uid="{00000000-0005-0000-0000-000070000000}"/>
    <cellStyle name="20% - Accent1 3 5 2 2" xfId="7894" xr:uid="{00000000-0005-0000-0000-000071000000}"/>
    <cellStyle name="20% - Accent1 3 5 2 2 2" xfId="17220" xr:uid="{17796238-99D4-4067-A442-2BD62A9B996E}"/>
    <cellStyle name="20% - Accent1 3 5 2 3" xfId="13003" xr:uid="{E3EE9CF1-CE87-4071-9A6D-E566AA59720A}"/>
    <cellStyle name="20% - Accent1 3 5 3" xfId="5749" xr:uid="{00000000-0005-0000-0000-000072000000}"/>
    <cellStyle name="20% - Accent1 3 5 3 2" xfId="15075" xr:uid="{6325EECE-C2AE-43FC-A3D4-AABB6F62551A}"/>
    <cellStyle name="20% - Accent1 3 5 4" xfId="10858" xr:uid="{CA3FA694-646D-41ED-91F9-2D2C69A4EC28}"/>
    <cellStyle name="20% - Accent1 3 6" xfId="1856" xr:uid="{00000000-0005-0000-0000-000073000000}"/>
    <cellStyle name="20% - Accent1 3 6 2" xfId="4085" xr:uid="{00000000-0005-0000-0000-000074000000}"/>
    <cellStyle name="20% - Accent1 3 6 2 2" xfId="8307" xr:uid="{00000000-0005-0000-0000-000075000000}"/>
    <cellStyle name="20% - Accent1 3 6 2 2 2" xfId="17633" xr:uid="{7C1238F7-ED9B-4DD0-8DDB-7927562BB517}"/>
    <cellStyle name="20% - Accent1 3 6 2 3" xfId="13416" xr:uid="{1626D628-C58F-4F6F-88A3-19FB7BDCCEC0}"/>
    <cellStyle name="20% - Accent1 3 6 3" xfId="6162" xr:uid="{00000000-0005-0000-0000-000076000000}"/>
    <cellStyle name="20% - Accent1 3 6 3 2" xfId="15488" xr:uid="{EA3FB6F4-A15A-4F97-82EC-4C476C536EEC}"/>
    <cellStyle name="20% - Accent1 3 6 4" xfId="11271" xr:uid="{AA17F3F5-9A80-4332-9C27-06A58520A65D}"/>
    <cellStyle name="20% - Accent1 3 7" xfId="2269" xr:uid="{00000000-0005-0000-0000-000077000000}"/>
    <cellStyle name="20% - Accent1 3 7 2" xfId="6575" xr:uid="{00000000-0005-0000-0000-000078000000}"/>
    <cellStyle name="20% - Accent1 3 7 2 2" xfId="15901" xr:uid="{20F8B024-4E19-4A79-BF51-5283AAFCA785}"/>
    <cellStyle name="20% - Accent1 3 7 3" xfId="11684" xr:uid="{8B55DA3A-EBCC-46B9-BA9E-AD655E1DCD0F}"/>
    <cellStyle name="20% - Accent1 3 8" xfId="4509" xr:uid="{00000000-0005-0000-0000-000079000000}"/>
    <cellStyle name="20% - Accent1 3 8 2" xfId="13835" xr:uid="{49D5DD15-4775-4A6D-8844-6844F0CE67E8}"/>
    <cellStyle name="20% - Accent1 3 9" xfId="8861" xr:uid="{C1B75176-75E3-4E31-86A7-851E7FD67A9E}"/>
    <cellStyle name="20% - Accent1 3 9 2" xfId="18185" xr:uid="{F727BB9A-28DD-44EC-A7EC-FFE4D679B62F}"/>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2 2 2" xfId="16396" xr:uid="{F644A8FE-A1C1-493F-B773-361141BACC6E}"/>
    <cellStyle name="20% - Accent1 4 2 2 3" xfId="12179" xr:uid="{51009CAC-3C38-474E-8405-F869DE656A26}"/>
    <cellStyle name="20% - Accent1 4 2 3" xfId="4925" xr:uid="{00000000-0005-0000-0000-00007E000000}"/>
    <cellStyle name="20% - Accent1 4 2 3 2" xfId="14251" xr:uid="{90AC4142-B02A-48DD-82DF-7318C7D7B25C}"/>
    <cellStyle name="20% - Accent1 4 2 4" xfId="9372" xr:uid="{E6B08341-6F7D-4580-9BCF-4BFC252FAE31}"/>
    <cellStyle name="20% - Accent1 4 2 4 2" xfId="18687" xr:uid="{6ABBC714-E9BC-48F2-9D65-B15217D2C900}"/>
    <cellStyle name="20% - Accent1 4 2 5" xfId="10034" xr:uid="{3A8B2655-312C-4C8B-8D03-E6A9F405AABE}"/>
    <cellStyle name="20% - Accent1 4 3" xfId="1030" xr:uid="{00000000-0005-0000-0000-00007F000000}"/>
    <cellStyle name="20% - Accent1 4 3 2" xfId="3261" xr:uid="{00000000-0005-0000-0000-000080000000}"/>
    <cellStyle name="20% - Accent1 4 3 2 2" xfId="7483" xr:uid="{00000000-0005-0000-0000-000081000000}"/>
    <cellStyle name="20% - Accent1 4 3 2 2 2" xfId="16809" xr:uid="{2BCEA84B-9AB5-4F45-848B-BB3F18E25A6B}"/>
    <cellStyle name="20% - Accent1 4 3 2 3" xfId="12592" xr:uid="{53133BC1-E5B6-401E-B0D0-351456C8BF2B}"/>
    <cellStyle name="20% - Accent1 4 3 3" xfId="5338" xr:uid="{00000000-0005-0000-0000-000082000000}"/>
    <cellStyle name="20% - Accent1 4 3 3 2" xfId="14664" xr:uid="{2D3E4CA3-A6CB-45C1-AE82-608A5AF7B9D9}"/>
    <cellStyle name="20% - Accent1 4 3 4" xfId="10447" xr:uid="{2A9D81BD-78BC-47A4-8BF0-6DB153C17E8D}"/>
    <cellStyle name="20% - Accent1 4 4" xfId="1444" xr:uid="{00000000-0005-0000-0000-000083000000}"/>
    <cellStyle name="20% - Accent1 4 4 2" xfId="3674" xr:uid="{00000000-0005-0000-0000-000084000000}"/>
    <cellStyle name="20% - Accent1 4 4 2 2" xfId="7896" xr:uid="{00000000-0005-0000-0000-000085000000}"/>
    <cellStyle name="20% - Accent1 4 4 2 2 2" xfId="17222" xr:uid="{6B1FFF7B-0A84-4934-9D34-93947C2BB0E2}"/>
    <cellStyle name="20% - Accent1 4 4 2 3" xfId="13005" xr:uid="{9203CC10-5044-4166-906F-660C70683DDA}"/>
    <cellStyle name="20% - Accent1 4 4 3" xfId="5751" xr:uid="{00000000-0005-0000-0000-000086000000}"/>
    <cellStyle name="20% - Accent1 4 4 3 2" xfId="15077" xr:uid="{6CF21119-2AFE-4520-975C-8BB8E4AC8267}"/>
    <cellStyle name="20% - Accent1 4 4 4" xfId="10860" xr:uid="{2DA7F38B-A0D5-4938-939D-7B2170EEEB2D}"/>
    <cellStyle name="20% - Accent1 4 5" xfId="1858" xr:uid="{00000000-0005-0000-0000-000087000000}"/>
    <cellStyle name="20% - Accent1 4 5 2" xfId="4087" xr:uid="{00000000-0005-0000-0000-000088000000}"/>
    <cellStyle name="20% - Accent1 4 5 2 2" xfId="8309" xr:uid="{00000000-0005-0000-0000-000089000000}"/>
    <cellStyle name="20% - Accent1 4 5 2 2 2" xfId="17635" xr:uid="{F3AD318F-025E-42A9-8154-1152B1EEDB62}"/>
    <cellStyle name="20% - Accent1 4 5 2 3" xfId="13418" xr:uid="{7659553A-CD91-4C14-B5B9-83894D5A99FE}"/>
    <cellStyle name="20% - Accent1 4 5 3" xfId="6164" xr:uid="{00000000-0005-0000-0000-00008A000000}"/>
    <cellStyle name="20% - Accent1 4 5 3 2" xfId="15490" xr:uid="{1A8BAF78-3941-4244-8DDD-1934E327BE1B}"/>
    <cellStyle name="20% - Accent1 4 5 4" xfId="11273" xr:uid="{4446A4F4-A78C-4081-9F88-1E005A67B1B2}"/>
    <cellStyle name="20% - Accent1 4 6" xfId="2271" xr:uid="{00000000-0005-0000-0000-00008B000000}"/>
    <cellStyle name="20% - Accent1 4 6 2" xfId="6577" xr:uid="{00000000-0005-0000-0000-00008C000000}"/>
    <cellStyle name="20% - Accent1 4 6 2 2" xfId="15903" xr:uid="{9BD449C1-6995-4F75-9B22-3FA40D95A2BE}"/>
    <cellStyle name="20% - Accent1 4 6 3" xfId="11686" xr:uid="{5AEE1BCC-A9F5-4A89-8323-49041EF63944}"/>
    <cellStyle name="20% - Accent1 4 7" xfId="4511" xr:uid="{00000000-0005-0000-0000-00008D000000}"/>
    <cellStyle name="20% - Accent1 4 7 2" xfId="13837" xr:uid="{9D292BEB-8C5D-4FA6-A9C0-3AA140E44DC4}"/>
    <cellStyle name="20% - Accent1 4 8" xfId="8947" xr:uid="{1FCDBFE2-CC86-42DD-AD9B-D3EAF476002E}"/>
    <cellStyle name="20% - Accent1 4 8 2" xfId="18271" xr:uid="{7E11B5C2-73DB-47AE-8A05-07DB4A6896B1}"/>
    <cellStyle name="20% - Accent1 4 9" xfId="9620" xr:uid="{13C09E35-518D-428E-B3DD-961F40B81B0F}"/>
    <cellStyle name="20% - Accent1 5" xfId="570" xr:uid="{00000000-0005-0000-0000-00008E000000}"/>
    <cellStyle name="20% - Accent1 5 2" xfId="2841" xr:uid="{00000000-0005-0000-0000-00008F000000}"/>
    <cellStyle name="20% - Accent1 5 2 2" xfId="7063" xr:uid="{00000000-0005-0000-0000-000090000000}"/>
    <cellStyle name="20% - Accent1 5 2 2 2" xfId="16389" xr:uid="{C9DDA676-3179-4D81-863D-5C566A38B3E6}"/>
    <cellStyle name="20% - Accent1 5 2 3" xfId="12172" xr:uid="{7FF8B772-6C46-4177-8568-B9F163744F62}"/>
    <cellStyle name="20% - Accent1 5 3" xfId="4918" xr:uid="{00000000-0005-0000-0000-000091000000}"/>
    <cellStyle name="20% - Accent1 5 3 2" xfId="14244" xr:uid="{3D9A4E22-472D-4054-BD24-19C929C38500}"/>
    <cellStyle name="20% - Accent1 5 4" xfId="9180" xr:uid="{D0AEF57E-25E3-47C5-B910-DC1A0019F498}"/>
    <cellStyle name="20% - Accent1 5 4 2" xfId="18498" xr:uid="{1DD3485F-4732-4BB3-9FD7-0F8ABA5AEFF7}"/>
    <cellStyle name="20% - Accent1 5 5" xfId="10027" xr:uid="{6D8AE0AD-7A36-4648-89DB-7A0C1CE29492}"/>
    <cellStyle name="20% - Accent1 6" xfId="1023" xr:uid="{00000000-0005-0000-0000-000092000000}"/>
    <cellStyle name="20% - Accent1 6 2" xfId="3254" xr:uid="{00000000-0005-0000-0000-000093000000}"/>
    <cellStyle name="20% - Accent1 6 2 2" xfId="7476" xr:uid="{00000000-0005-0000-0000-000094000000}"/>
    <cellStyle name="20% - Accent1 6 2 2 2" xfId="16802" xr:uid="{DC6E1812-92E9-4DB1-AD09-AB5EE77BC189}"/>
    <cellStyle name="20% - Accent1 6 2 3" xfId="12585" xr:uid="{7E98FB43-7BC7-49D3-825F-C839AAD0F9D7}"/>
    <cellStyle name="20% - Accent1 6 3" xfId="5331" xr:uid="{00000000-0005-0000-0000-000095000000}"/>
    <cellStyle name="20% - Accent1 6 3 2" xfId="14657" xr:uid="{E5992BE8-C5E7-400A-9DE0-843399502EE6}"/>
    <cellStyle name="20% - Accent1 6 4" xfId="10440" xr:uid="{AE45C4D8-5324-42CE-907B-513F6F9913A5}"/>
    <cellStyle name="20% - Accent1 7" xfId="1437" xr:uid="{00000000-0005-0000-0000-000096000000}"/>
    <cellStyle name="20% - Accent1 7 2" xfId="3667" xr:uid="{00000000-0005-0000-0000-000097000000}"/>
    <cellStyle name="20% - Accent1 7 2 2" xfId="7889" xr:uid="{00000000-0005-0000-0000-000098000000}"/>
    <cellStyle name="20% - Accent1 7 2 2 2" xfId="17215" xr:uid="{4BD8AF8F-C75C-4727-ADD1-96BDE69F2DC6}"/>
    <cellStyle name="20% - Accent1 7 2 3" xfId="12998" xr:uid="{E6290BF8-F84E-4D5E-8861-3D7CED413EDF}"/>
    <cellStyle name="20% - Accent1 7 3" xfId="5744" xr:uid="{00000000-0005-0000-0000-000099000000}"/>
    <cellStyle name="20% - Accent1 7 3 2" xfId="15070" xr:uid="{4118467E-4E5B-415C-9D35-D5AE561BBCA2}"/>
    <cellStyle name="20% - Accent1 7 4" xfId="10853" xr:uid="{016C69FA-361E-4A50-8AD1-F029C82ED251}"/>
    <cellStyle name="20% - Accent1 8" xfId="1851" xr:uid="{00000000-0005-0000-0000-00009A000000}"/>
    <cellStyle name="20% - Accent1 8 2" xfId="4080" xr:uid="{00000000-0005-0000-0000-00009B000000}"/>
    <cellStyle name="20% - Accent1 8 2 2" xfId="8302" xr:uid="{00000000-0005-0000-0000-00009C000000}"/>
    <cellStyle name="20% - Accent1 8 2 2 2" xfId="17628" xr:uid="{33E4498E-FB89-45A4-83BA-186E2E80C92D}"/>
    <cellStyle name="20% - Accent1 8 2 3" xfId="13411" xr:uid="{A8F3E3BD-94B8-4882-BD2C-307BAF219A1E}"/>
    <cellStyle name="20% - Accent1 8 3" xfId="6157" xr:uid="{00000000-0005-0000-0000-00009D000000}"/>
    <cellStyle name="20% - Accent1 8 3 2" xfId="15483" xr:uid="{19369F71-7F73-4530-87C7-297E807267CF}"/>
    <cellStyle name="20% - Accent1 8 4" xfId="11266" xr:uid="{B00EBA85-401B-4977-8599-00343C9BDC9E}"/>
    <cellStyle name="20% - Accent1 9" xfId="2264" xr:uid="{00000000-0005-0000-0000-00009E000000}"/>
    <cellStyle name="20% - Accent1 9 2" xfId="6570" xr:uid="{00000000-0005-0000-0000-00009F000000}"/>
    <cellStyle name="20% - Accent1 9 2 2" xfId="15896" xr:uid="{DA8F620C-C28D-4851-8A33-CEDCE22911CA}"/>
    <cellStyle name="20% - Accent1 9 3" xfId="11679" xr:uid="{BCA897D7-71F2-4EEE-A3A1-E5A5EF8DB4A7}"/>
    <cellStyle name="20% - Accent2" xfId="9" builtinId="34" customBuiltin="1"/>
    <cellStyle name="20% - Accent2 10" xfId="4512" xr:uid="{00000000-0005-0000-0000-0000A1000000}"/>
    <cellStyle name="20% - Accent2 10 2" xfId="13838" xr:uid="{3A39D605-D4F7-4216-B61B-2450B50A5C83}"/>
    <cellStyle name="20% - Accent2 11" xfId="8760" xr:uid="{2F9D8AF1-C115-467C-ADFB-3BF13039D076}"/>
    <cellStyle name="20% - Accent2 11 2" xfId="18084" xr:uid="{0A56419D-B880-4FD8-A907-267357D0EC70}"/>
    <cellStyle name="20% - Accent2 12" xfId="9621" xr:uid="{A06CC21F-FA61-4356-8B52-A930A7C6EFCB}"/>
    <cellStyle name="20% - Accent2 2" xfId="10" xr:uid="{00000000-0005-0000-0000-0000A2000000}"/>
    <cellStyle name="20% - Accent2 2 10" xfId="8793" xr:uid="{AA7C3473-3A75-4F75-9E25-D7658C57F3A0}"/>
    <cellStyle name="20% - Accent2 2 10 2" xfId="18117" xr:uid="{5ECA35AB-D489-4109-8DD0-14EAAF81EDC5}"/>
    <cellStyle name="20% - Accent2 2 11" xfId="9622" xr:uid="{EE3BC93F-1A77-4586-A40C-A33BB446FFDC}"/>
    <cellStyle name="20% - Accent2 2 2" xfId="11" xr:uid="{00000000-0005-0000-0000-0000A3000000}"/>
    <cellStyle name="20% - Accent2 2 2 10" xfId="9623" xr:uid="{5A78E698-FD26-44F8-BAFD-D597FCC90176}"/>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16400" xr:uid="{CD451F08-D76E-40D6-A941-318D20400A5E}"/>
    <cellStyle name="20% - Accent2 2 2 2 2 2 3" xfId="12183" xr:uid="{23910787-3BBA-4AD3-8481-7B4B5F2154CD}"/>
    <cellStyle name="20% - Accent2 2 2 2 2 3" xfId="4929" xr:uid="{00000000-0005-0000-0000-0000A8000000}"/>
    <cellStyle name="20% - Accent2 2 2 2 2 3 2" xfId="14255" xr:uid="{378C8985-78E8-4738-8B5A-C8DD249B2DBA}"/>
    <cellStyle name="20% - Accent2 2 2 2 2 4" xfId="9528" xr:uid="{C8BEA541-FD8B-4449-95AA-43E1904F35BB}"/>
    <cellStyle name="20% - Accent2 2 2 2 2 4 2" xfId="18843" xr:uid="{17592F45-7CE3-4741-B38C-E8C70B61999F}"/>
    <cellStyle name="20% - Accent2 2 2 2 2 5" xfId="10038" xr:uid="{8B4857C6-6FDD-4B61-9AAD-56DF55AB23F7}"/>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16813" xr:uid="{0180AFDE-2815-438F-9C69-9EC20BED137A}"/>
    <cellStyle name="20% - Accent2 2 2 2 3 2 3" xfId="12596" xr:uid="{D768C520-4FC1-410B-BDBB-636DF9A955B5}"/>
    <cellStyle name="20% - Accent2 2 2 2 3 3" xfId="5342" xr:uid="{00000000-0005-0000-0000-0000AC000000}"/>
    <cellStyle name="20% - Accent2 2 2 2 3 3 2" xfId="14668" xr:uid="{FF671537-36DB-4701-9430-46D50623532D}"/>
    <cellStyle name="20% - Accent2 2 2 2 3 4" xfId="10451" xr:uid="{2E38535C-8E34-45F3-815C-0D47CA314484}"/>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17226" xr:uid="{2E3D3B67-F9C2-402C-8BA7-51272D12AF8D}"/>
    <cellStyle name="20% - Accent2 2 2 2 4 2 3" xfId="13009" xr:uid="{EF01943D-8B7A-43D0-953D-D123A4A3D38E}"/>
    <cellStyle name="20% - Accent2 2 2 2 4 3" xfId="5755" xr:uid="{00000000-0005-0000-0000-0000B0000000}"/>
    <cellStyle name="20% - Accent2 2 2 2 4 3 2" xfId="15081" xr:uid="{C80736B3-E65A-4F52-BC0D-49273C66716C}"/>
    <cellStyle name="20% - Accent2 2 2 2 4 4" xfId="10864" xr:uid="{EBF8D093-0FD8-4851-8981-170B9765E6C9}"/>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17639" xr:uid="{F16D32B0-847A-4959-ABF3-8ED7FD14565A}"/>
    <cellStyle name="20% - Accent2 2 2 2 5 2 3" xfId="13422" xr:uid="{E8F97227-CE02-4AC7-9F07-8D2B5A694E08}"/>
    <cellStyle name="20% - Accent2 2 2 2 5 3" xfId="6168" xr:uid="{00000000-0005-0000-0000-0000B4000000}"/>
    <cellStyle name="20% - Accent2 2 2 2 5 3 2" xfId="15494" xr:uid="{049D24B7-37A6-4CEB-80DA-3815A7243A87}"/>
    <cellStyle name="20% - Accent2 2 2 2 5 4" xfId="11277" xr:uid="{9CDB5391-125A-4243-A9E5-586C6FBE3750}"/>
    <cellStyle name="20% - Accent2 2 2 2 6" xfId="2275" xr:uid="{00000000-0005-0000-0000-0000B5000000}"/>
    <cellStyle name="20% - Accent2 2 2 2 6 2" xfId="6581" xr:uid="{00000000-0005-0000-0000-0000B6000000}"/>
    <cellStyle name="20% - Accent2 2 2 2 6 2 2" xfId="15907" xr:uid="{065E0A46-016C-47CB-B082-F1AB09E4394E}"/>
    <cellStyle name="20% - Accent2 2 2 2 6 3" xfId="11690" xr:uid="{A74B851D-0BBC-43CD-83A9-14663C7F9BBA}"/>
    <cellStyle name="20% - Accent2 2 2 2 7" xfId="4515" xr:uid="{00000000-0005-0000-0000-0000B7000000}"/>
    <cellStyle name="20% - Accent2 2 2 2 7 2" xfId="13841" xr:uid="{DFDDFE7D-9602-4522-BCF6-F97435ED1D11}"/>
    <cellStyle name="20% - Accent2 2 2 2 8" xfId="9103" xr:uid="{91DB80A1-3464-4086-B948-71B6A26537C4}"/>
    <cellStyle name="20% - Accent2 2 2 2 8 2" xfId="18427" xr:uid="{1D8B43EF-6E00-4B58-A126-993F9E766FF6}"/>
    <cellStyle name="20% - Accent2 2 2 2 9" xfId="9624" xr:uid="{A59F867B-F377-47E2-91B0-DCA9A9921016}"/>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16399" xr:uid="{84F919C8-733E-4AB1-AF0A-6873AAEABD86}"/>
    <cellStyle name="20% - Accent2 2 2 3 2 3" xfId="12182" xr:uid="{0A721BCB-FCCD-46C8-9913-4D469C6D5CB6}"/>
    <cellStyle name="20% - Accent2 2 2 3 3" xfId="4928" xr:uid="{00000000-0005-0000-0000-0000BB000000}"/>
    <cellStyle name="20% - Accent2 2 2 3 3 2" xfId="14254" xr:uid="{4F2BF3A0-CA23-4286-840B-3D5123333296}"/>
    <cellStyle name="20% - Accent2 2 2 3 4" xfId="9321" xr:uid="{32B21C3A-E360-4F19-B469-1116F045A0F3}"/>
    <cellStyle name="20% - Accent2 2 2 3 4 2" xfId="18636" xr:uid="{3C5471FB-706D-467B-A4E6-052E690B3610}"/>
    <cellStyle name="20% - Accent2 2 2 3 5" xfId="10037" xr:uid="{A0E0BB4F-BB33-44B5-B80A-708F47D6C8D1}"/>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16812" xr:uid="{4EDDF999-B961-4497-99B2-C34FA3DAF5D8}"/>
    <cellStyle name="20% - Accent2 2 2 4 2 3" xfId="12595" xr:uid="{F021F4DA-4543-416D-A0A4-4D21170091EC}"/>
    <cellStyle name="20% - Accent2 2 2 4 3" xfId="5341" xr:uid="{00000000-0005-0000-0000-0000BF000000}"/>
    <cellStyle name="20% - Accent2 2 2 4 3 2" xfId="14667" xr:uid="{AA3C73E6-EBF7-4EC4-91D4-5A46FBC61670}"/>
    <cellStyle name="20% - Accent2 2 2 4 4" xfId="10450" xr:uid="{F6E1CD10-8C4A-452E-9652-DBD4911FFE67}"/>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17225" xr:uid="{2582CC03-2FB4-48EA-A05E-A9F7401E76CD}"/>
    <cellStyle name="20% - Accent2 2 2 5 2 3" xfId="13008" xr:uid="{A0EE98E1-D601-4ED9-8596-C29D21CAA2AD}"/>
    <cellStyle name="20% - Accent2 2 2 5 3" xfId="5754" xr:uid="{00000000-0005-0000-0000-0000C3000000}"/>
    <cellStyle name="20% - Accent2 2 2 5 3 2" xfId="15080" xr:uid="{783D5199-FF5F-4265-A0B6-91276ECF6805}"/>
    <cellStyle name="20% - Accent2 2 2 5 4" xfId="10863" xr:uid="{6E24EE3D-848B-4F97-865E-D897E33881A9}"/>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17638" xr:uid="{EE8E3E2C-9781-421B-9CC7-A9BED6411339}"/>
    <cellStyle name="20% - Accent2 2 2 6 2 3" xfId="13421" xr:uid="{272DD337-ED84-4479-BA86-21C8A9B4BA76}"/>
    <cellStyle name="20% - Accent2 2 2 6 3" xfId="6167" xr:uid="{00000000-0005-0000-0000-0000C7000000}"/>
    <cellStyle name="20% - Accent2 2 2 6 3 2" xfId="15493" xr:uid="{2CF2632D-2994-4227-8F7D-2727624DBC09}"/>
    <cellStyle name="20% - Accent2 2 2 6 4" xfId="11276" xr:uid="{7447FA8A-71FD-4D74-A50B-59F02649D986}"/>
    <cellStyle name="20% - Accent2 2 2 7" xfId="2274" xr:uid="{00000000-0005-0000-0000-0000C8000000}"/>
    <cellStyle name="20% - Accent2 2 2 7 2" xfId="6580" xr:uid="{00000000-0005-0000-0000-0000C9000000}"/>
    <cellStyle name="20% - Accent2 2 2 7 2 2" xfId="15906" xr:uid="{2080F5B8-F6B2-4C5A-B480-DAA7098BE89A}"/>
    <cellStyle name="20% - Accent2 2 2 7 3" xfId="11689" xr:uid="{4A610509-A49A-41E3-91AA-42D2A3F21FAF}"/>
    <cellStyle name="20% - Accent2 2 2 8" xfId="4514" xr:uid="{00000000-0005-0000-0000-0000CA000000}"/>
    <cellStyle name="20% - Accent2 2 2 8 2" xfId="13840" xr:uid="{BF5ED98A-E791-409D-929A-8D1BB2502A82}"/>
    <cellStyle name="20% - Accent2 2 2 9" xfId="8896" xr:uid="{7CDAA0F1-5BE6-4749-AD4D-5424E0EA26D8}"/>
    <cellStyle name="20% - Accent2 2 2 9 2" xfId="18220" xr:uid="{69CA9BD5-6644-46B3-BE98-070EB988A7DC}"/>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16401" xr:uid="{C098DC16-750E-4806-9D6F-EAFC76241AE3}"/>
    <cellStyle name="20% - Accent2 2 3 2 2 3" xfId="12184" xr:uid="{3ECCAD22-9F08-47EB-8A8A-E99B057E8A19}"/>
    <cellStyle name="20% - Accent2 2 3 2 3" xfId="4930" xr:uid="{00000000-0005-0000-0000-0000CF000000}"/>
    <cellStyle name="20% - Accent2 2 3 2 3 2" xfId="14256" xr:uid="{35796E86-8E1C-48C4-BFCE-50BE84DB35C1}"/>
    <cellStyle name="20% - Accent2 2 3 2 4" xfId="9425" xr:uid="{35BECFF4-0F5A-4F6E-AE6E-354891135B4F}"/>
    <cellStyle name="20% - Accent2 2 3 2 4 2" xfId="18740" xr:uid="{1182C43A-202B-4DF9-89D6-EE51F6086126}"/>
    <cellStyle name="20% - Accent2 2 3 2 5" xfId="10039" xr:uid="{EC13C730-8102-4DF6-A91D-18216E0909D7}"/>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16814" xr:uid="{1FA4DDAC-2FE2-4086-B52D-9ACA75032F6B}"/>
    <cellStyle name="20% - Accent2 2 3 3 2 3" xfId="12597" xr:uid="{45DC3FBF-E667-4B61-A132-DF9D3B247D76}"/>
    <cellStyle name="20% - Accent2 2 3 3 3" xfId="5343" xr:uid="{00000000-0005-0000-0000-0000D3000000}"/>
    <cellStyle name="20% - Accent2 2 3 3 3 2" xfId="14669" xr:uid="{10872936-9786-46F7-B9EE-35F03E45A598}"/>
    <cellStyle name="20% - Accent2 2 3 3 4" xfId="10452" xr:uid="{2B3BEF09-DC14-4ADD-890F-516628EF2A97}"/>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17227" xr:uid="{3B793DD5-A3FA-4423-BAE9-3F8F4A11B4E3}"/>
    <cellStyle name="20% - Accent2 2 3 4 2 3" xfId="13010" xr:uid="{9231DEC5-773C-4A58-8579-CCCC36CDD276}"/>
    <cellStyle name="20% - Accent2 2 3 4 3" xfId="5756" xr:uid="{00000000-0005-0000-0000-0000D7000000}"/>
    <cellStyle name="20% - Accent2 2 3 4 3 2" xfId="15082" xr:uid="{0E732507-D3CA-4C4F-9CBD-19838AEEE167}"/>
    <cellStyle name="20% - Accent2 2 3 4 4" xfId="10865" xr:uid="{2F607086-9345-4290-83EC-28C8C6229753}"/>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17640" xr:uid="{D7B17D31-E0B4-41DB-A3D0-AC254AF8A7BB}"/>
    <cellStyle name="20% - Accent2 2 3 5 2 3" xfId="13423" xr:uid="{5204310D-6A1A-41F3-A93C-9C4BBBFA57DE}"/>
    <cellStyle name="20% - Accent2 2 3 5 3" xfId="6169" xr:uid="{00000000-0005-0000-0000-0000DB000000}"/>
    <cellStyle name="20% - Accent2 2 3 5 3 2" xfId="15495" xr:uid="{1D5528E6-B940-4899-8D96-EC53BF5EB623}"/>
    <cellStyle name="20% - Accent2 2 3 5 4" xfId="11278" xr:uid="{92199410-2CB9-4AB8-B7AF-9F058F1719EF}"/>
    <cellStyle name="20% - Accent2 2 3 6" xfId="2276" xr:uid="{00000000-0005-0000-0000-0000DC000000}"/>
    <cellStyle name="20% - Accent2 2 3 6 2" xfId="6582" xr:uid="{00000000-0005-0000-0000-0000DD000000}"/>
    <cellStyle name="20% - Accent2 2 3 6 2 2" xfId="15908" xr:uid="{D2FB6C42-DEA8-4A4E-BB66-C3882466A239}"/>
    <cellStyle name="20% - Accent2 2 3 6 3" xfId="11691" xr:uid="{4665B5FD-4CBD-4F0C-9253-BF7CD0F4360D}"/>
    <cellStyle name="20% - Accent2 2 3 7" xfId="4516" xr:uid="{00000000-0005-0000-0000-0000DE000000}"/>
    <cellStyle name="20% - Accent2 2 3 7 2" xfId="13842" xr:uid="{C91E0629-F330-4888-9409-FEC1314103D3}"/>
    <cellStyle name="20% - Accent2 2 3 8" xfId="9000" xr:uid="{133DFC5C-F2FF-49E9-82EE-ABAA9C815393}"/>
    <cellStyle name="20% - Accent2 2 3 8 2" xfId="18324" xr:uid="{A665F048-389E-4133-A2CE-31D933A128A4}"/>
    <cellStyle name="20% - Accent2 2 3 9" xfId="9625" xr:uid="{DC2515B2-C0AD-4F5E-A5CA-12DAD8E7FA6E}"/>
    <cellStyle name="20% - Accent2 2 4" xfId="579" xr:uid="{00000000-0005-0000-0000-0000DF000000}"/>
    <cellStyle name="20% - Accent2 2 4 2" xfId="2850" xr:uid="{00000000-0005-0000-0000-0000E0000000}"/>
    <cellStyle name="20% - Accent2 2 4 2 2" xfId="7072" xr:uid="{00000000-0005-0000-0000-0000E1000000}"/>
    <cellStyle name="20% - Accent2 2 4 2 2 2" xfId="16398" xr:uid="{CA49CAC0-C90A-4C08-987A-18ED4B54133B}"/>
    <cellStyle name="20% - Accent2 2 4 2 3" xfId="12181" xr:uid="{61530082-DB22-441F-A71C-ACB8C6AA71E9}"/>
    <cellStyle name="20% - Accent2 2 4 3" xfId="4927" xr:uid="{00000000-0005-0000-0000-0000E2000000}"/>
    <cellStyle name="20% - Accent2 2 4 3 2" xfId="14253" xr:uid="{EE73319A-AECD-49C1-B35B-203C0EE3F9D5}"/>
    <cellStyle name="20% - Accent2 2 4 4" xfId="9217" xr:uid="{28DDC3F5-BA57-40F8-8D06-6CFF141CF9A1}"/>
    <cellStyle name="20% - Accent2 2 4 4 2" xfId="18533" xr:uid="{BAD58464-DE70-4C2B-88EC-0E0CA8414ED0}"/>
    <cellStyle name="20% - Accent2 2 4 5" xfId="10036" xr:uid="{3CCEC635-E7BC-4360-A388-A6EA61BA259A}"/>
    <cellStyle name="20% - Accent2 2 5" xfId="1032" xr:uid="{00000000-0005-0000-0000-0000E3000000}"/>
    <cellStyle name="20% - Accent2 2 5 2" xfId="3263" xr:uid="{00000000-0005-0000-0000-0000E4000000}"/>
    <cellStyle name="20% - Accent2 2 5 2 2" xfId="7485" xr:uid="{00000000-0005-0000-0000-0000E5000000}"/>
    <cellStyle name="20% - Accent2 2 5 2 2 2" xfId="16811" xr:uid="{8C3A46D1-FD4A-46A0-8E10-CE15F3E57454}"/>
    <cellStyle name="20% - Accent2 2 5 2 3" xfId="12594" xr:uid="{8F5F7A26-1038-49B0-B08C-14C5BE1DA100}"/>
    <cellStyle name="20% - Accent2 2 5 3" xfId="5340" xr:uid="{00000000-0005-0000-0000-0000E6000000}"/>
    <cellStyle name="20% - Accent2 2 5 3 2" xfId="14666" xr:uid="{277F8D2F-5575-4717-9350-A3570F5E71A0}"/>
    <cellStyle name="20% - Accent2 2 5 4" xfId="10449" xr:uid="{6CFF3F79-D2C1-411A-A882-57A46788B700}"/>
    <cellStyle name="20% - Accent2 2 6" xfId="1446" xr:uid="{00000000-0005-0000-0000-0000E7000000}"/>
    <cellStyle name="20% - Accent2 2 6 2" xfId="3676" xr:uid="{00000000-0005-0000-0000-0000E8000000}"/>
    <cellStyle name="20% - Accent2 2 6 2 2" xfId="7898" xr:uid="{00000000-0005-0000-0000-0000E9000000}"/>
    <cellStyle name="20% - Accent2 2 6 2 2 2" xfId="17224" xr:uid="{E2A7EA3C-2773-4F9F-B32C-BBAA332AD192}"/>
    <cellStyle name="20% - Accent2 2 6 2 3" xfId="13007" xr:uid="{E66484BF-ABC4-406A-8BF4-BE3AB6201064}"/>
    <cellStyle name="20% - Accent2 2 6 3" xfId="5753" xr:uid="{00000000-0005-0000-0000-0000EA000000}"/>
    <cellStyle name="20% - Accent2 2 6 3 2" xfId="15079" xr:uid="{057E48E7-2F6A-4551-BEA3-9E2B6B721F08}"/>
    <cellStyle name="20% - Accent2 2 6 4" xfId="10862" xr:uid="{4F093059-6202-4893-99FF-0A1FD78AC433}"/>
    <cellStyle name="20% - Accent2 2 7" xfId="1860" xr:uid="{00000000-0005-0000-0000-0000EB000000}"/>
    <cellStyle name="20% - Accent2 2 7 2" xfId="4089" xr:uid="{00000000-0005-0000-0000-0000EC000000}"/>
    <cellStyle name="20% - Accent2 2 7 2 2" xfId="8311" xr:uid="{00000000-0005-0000-0000-0000ED000000}"/>
    <cellStyle name="20% - Accent2 2 7 2 2 2" xfId="17637" xr:uid="{A029135D-814B-4F5F-BF3C-AD93FD15E3B2}"/>
    <cellStyle name="20% - Accent2 2 7 2 3" xfId="13420" xr:uid="{2969BB23-5134-4533-88D5-F66F57F56B7F}"/>
    <cellStyle name="20% - Accent2 2 7 3" xfId="6166" xr:uid="{00000000-0005-0000-0000-0000EE000000}"/>
    <cellStyle name="20% - Accent2 2 7 3 2" xfId="15492" xr:uid="{7D275DE1-05CA-465D-99EA-239547C08B1C}"/>
    <cellStyle name="20% - Accent2 2 7 4" xfId="11275" xr:uid="{36BDE944-FE60-4D51-A16D-6FE33123298E}"/>
    <cellStyle name="20% - Accent2 2 8" xfId="2273" xr:uid="{00000000-0005-0000-0000-0000EF000000}"/>
    <cellStyle name="20% - Accent2 2 8 2" xfId="6579" xr:uid="{00000000-0005-0000-0000-0000F0000000}"/>
    <cellStyle name="20% - Accent2 2 8 2 2" xfId="15905" xr:uid="{2C81F677-219F-47F4-B465-A8044E8DDAA6}"/>
    <cellStyle name="20% - Accent2 2 8 3" xfId="11688" xr:uid="{0F9E534B-0256-4215-B491-BFB12D350256}"/>
    <cellStyle name="20% - Accent2 2 9" xfId="4513" xr:uid="{00000000-0005-0000-0000-0000F1000000}"/>
    <cellStyle name="20% - Accent2 2 9 2" xfId="13839" xr:uid="{0D72319E-CD56-4CD4-9E7E-4E5E51A10929}"/>
    <cellStyle name="20% - Accent2 3" xfId="14" xr:uid="{00000000-0005-0000-0000-0000F2000000}"/>
    <cellStyle name="20% - Accent2 3 10" xfId="9626" xr:uid="{456F9D54-94CF-4EE8-8892-22010E9F88AD}"/>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16403" xr:uid="{4DF21823-5D44-4771-B633-53B5A3C25190}"/>
    <cellStyle name="20% - Accent2 3 2 2 2 3" xfId="12186" xr:uid="{8EDEF5F4-8438-4D79-8E6D-8CA6C903135F}"/>
    <cellStyle name="20% - Accent2 3 2 2 3" xfId="4932" xr:uid="{00000000-0005-0000-0000-0000F7000000}"/>
    <cellStyle name="20% - Accent2 3 2 2 3 2" xfId="14258" xr:uid="{CE3EFB56-798C-430F-B190-91B4DE9627B2}"/>
    <cellStyle name="20% - Accent2 3 2 2 4" xfId="9495" xr:uid="{9F5A6FE7-BBC9-4787-8EC4-2112F4D5A0EA}"/>
    <cellStyle name="20% - Accent2 3 2 2 4 2" xfId="18810" xr:uid="{77B5D444-72DA-4D47-985B-171BFE63CD43}"/>
    <cellStyle name="20% - Accent2 3 2 2 5" xfId="10041" xr:uid="{EAB6831D-5244-4940-A1C4-7B98B67EA91C}"/>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16816" xr:uid="{17188575-1575-4CBF-AF12-5BC842B79368}"/>
    <cellStyle name="20% - Accent2 3 2 3 2 3" xfId="12599" xr:uid="{408D6841-CFD8-4525-B44E-A0B36529F6C2}"/>
    <cellStyle name="20% - Accent2 3 2 3 3" xfId="5345" xr:uid="{00000000-0005-0000-0000-0000FB000000}"/>
    <cellStyle name="20% - Accent2 3 2 3 3 2" xfId="14671" xr:uid="{FD483DA6-B5C1-4457-8931-C50BF245F3D0}"/>
    <cellStyle name="20% - Accent2 3 2 3 4" xfId="10454" xr:uid="{A374536E-51CB-4B72-890C-3E2CB257194A}"/>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17229" xr:uid="{13582E6A-6677-4C0F-A589-000413903316}"/>
    <cellStyle name="20% - Accent2 3 2 4 2 3" xfId="13012" xr:uid="{7E4B7D70-4A85-48AC-8F51-AE69C503172E}"/>
    <cellStyle name="20% - Accent2 3 2 4 3" xfId="5758" xr:uid="{00000000-0005-0000-0000-0000FF000000}"/>
    <cellStyle name="20% - Accent2 3 2 4 3 2" xfId="15084" xr:uid="{CC428FBE-BED3-44C8-914A-6336F779346C}"/>
    <cellStyle name="20% - Accent2 3 2 4 4" xfId="10867" xr:uid="{AD93AFCD-BA89-4CFC-BCF3-9758244EDB65}"/>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17642" xr:uid="{BA3BF0D7-D3B5-418F-80C9-7C02CB37D0FC}"/>
    <cellStyle name="20% - Accent2 3 2 5 2 3" xfId="13425" xr:uid="{CB3DCD0B-F5F1-4D05-B869-8DC2876ACBD7}"/>
    <cellStyle name="20% - Accent2 3 2 5 3" xfId="6171" xr:uid="{00000000-0005-0000-0000-000003010000}"/>
    <cellStyle name="20% - Accent2 3 2 5 3 2" xfId="15497" xr:uid="{CBEFD83C-2979-41CC-8A1F-3E6346E299F9}"/>
    <cellStyle name="20% - Accent2 3 2 5 4" xfId="11280" xr:uid="{404CA224-38AB-4799-8010-221F332DC773}"/>
    <cellStyle name="20% - Accent2 3 2 6" xfId="2278" xr:uid="{00000000-0005-0000-0000-000004010000}"/>
    <cellStyle name="20% - Accent2 3 2 6 2" xfId="6584" xr:uid="{00000000-0005-0000-0000-000005010000}"/>
    <cellStyle name="20% - Accent2 3 2 6 2 2" xfId="15910" xr:uid="{F9D0289C-E940-4817-BAF7-12176A73A224}"/>
    <cellStyle name="20% - Accent2 3 2 6 3" xfId="11693" xr:uid="{058F9CC3-C408-462D-BC9A-0268ADF8046A}"/>
    <cellStyle name="20% - Accent2 3 2 7" xfId="4518" xr:uid="{00000000-0005-0000-0000-000006010000}"/>
    <cellStyle name="20% - Accent2 3 2 7 2" xfId="13844" xr:uid="{4A444271-8DC5-454B-A1B5-8570E28D50F9}"/>
    <cellStyle name="20% - Accent2 3 2 8" xfId="9070" xr:uid="{8A9168BA-490F-4E57-83EA-22187D24153F}"/>
    <cellStyle name="20% - Accent2 3 2 8 2" xfId="18394" xr:uid="{588FFCB8-936A-408A-9F22-B1BE59B29F45}"/>
    <cellStyle name="20% - Accent2 3 2 9" xfId="9627" xr:uid="{ED117D0C-3BA6-412D-A853-F1C3132EB221}"/>
    <cellStyle name="20% - Accent2 3 3" xfId="583" xr:uid="{00000000-0005-0000-0000-000007010000}"/>
    <cellStyle name="20% - Accent2 3 3 2" xfId="2854" xr:uid="{00000000-0005-0000-0000-000008010000}"/>
    <cellStyle name="20% - Accent2 3 3 2 2" xfId="7076" xr:uid="{00000000-0005-0000-0000-000009010000}"/>
    <cellStyle name="20% - Accent2 3 3 2 2 2" xfId="16402" xr:uid="{F147087C-3138-4FAF-8FE7-D4984C26593F}"/>
    <cellStyle name="20% - Accent2 3 3 2 3" xfId="12185" xr:uid="{A2D721C4-64B4-4919-9889-A21A21297478}"/>
    <cellStyle name="20% - Accent2 3 3 3" xfId="4931" xr:uid="{00000000-0005-0000-0000-00000A010000}"/>
    <cellStyle name="20% - Accent2 3 3 3 2" xfId="14257" xr:uid="{0ECB4A11-8A69-421E-858A-AE93E56D5DF0}"/>
    <cellStyle name="20% - Accent2 3 3 4" xfId="9288" xr:uid="{FCD70616-ECAD-4A0B-889F-4698E1AD889E}"/>
    <cellStyle name="20% - Accent2 3 3 4 2" xfId="18603" xr:uid="{A0270E6C-808E-4034-9BCD-C915B2AD1EBE}"/>
    <cellStyle name="20% - Accent2 3 3 5" xfId="10040" xr:uid="{2E850D7E-53F3-45F8-BBC4-5D90D367C257}"/>
    <cellStyle name="20% - Accent2 3 4" xfId="1036" xr:uid="{00000000-0005-0000-0000-00000B010000}"/>
    <cellStyle name="20% - Accent2 3 4 2" xfId="3267" xr:uid="{00000000-0005-0000-0000-00000C010000}"/>
    <cellStyle name="20% - Accent2 3 4 2 2" xfId="7489" xr:uid="{00000000-0005-0000-0000-00000D010000}"/>
    <cellStyle name="20% - Accent2 3 4 2 2 2" xfId="16815" xr:uid="{1D67CE71-ECF8-4A74-A492-04225B9025C0}"/>
    <cellStyle name="20% - Accent2 3 4 2 3" xfId="12598" xr:uid="{B090F8E4-50D3-43B6-8B47-780DDA1C4EF9}"/>
    <cellStyle name="20% - Accent2 3 4 3" xfId="5344" xr:uid="{00000000-0005-0000-0000-00000E010000}"/>
    <cellStyle name="20% - Accent2 3 4 3 2" xfId="14670" xr:uid="{2246E862-CA6E-40FD-B7E4-535568044E35}"/>
    <cellStyle name="20% - Accent2 3 4 4" xfId="10453" xr:uid="{CF3D7E20-6063-4027-99F6-D56EF56553FC}"/>
    <cellStyle name="20% - Accent2 3 5" xfId="1450" xr:uid="{00000000-0005-0000-0000-00000F010000}"/>
    <cellStyle name="20% - Accent2 3 5 2" xfId="3680" xr:uid="{00000000-0005-0000-0000-000010010000}"/>
    <cellStyle name="20% - Accent2 3 5 2 2" xfId="7902" xr:uid="{00000000-0005-0000-0000-000011010000}"/>
    <cellStyle name="20% - Accent2 3 5 2 2 2" xfId="17228" xr:uid="{A4AF0885-B91F-41C8-8E62-461387F00293}"/>
    <cellStyle name="20% - Accent2 3 5 2 3" xfId="13011" xr:uid="{5AC60C8B-32DD-480A-BEFE-8DB5D2C58591}"/>
    <cellStyle name="20% - Accent2 3 5 3" xfId="5757" xr:uid="{00000000-0005-0000-0000-000012010000}"/>
    <cellStyle name="20% - Accent2 3 5 3 2" xfId="15083" xr:uid="{D021D959-B60B-4BD6-A74B-11FE32976B63}"/>
    <cellStyle name="20% - Accent2 3 5 4" xfId="10866" xr:uid="{C3634252-DF18-4BC2-9412-57D17C5BE99F}"/>
    <cellStyle name="20% - Accent2 3 6" xfId="1864" xr:uid="{00000000-0005-0000-0000-000013010000}"/>
    <cellStyle name="20% - Accent2 3 6 2" xfId="4093" xr:uid="{00000000-0005-0000-0000-000014010000}"/>
    <cellStyle name="20% - Accent2 3 6 2 2" xfId="8315" xr:uid="{00000000-0005-0000-0000-000015010000}"/>
    <cellStyle name="20% - Accent2 3 6 2 2 2" xfId="17641" xr:uid="{32F10236-E4E4-4B70-888C-30778A1B4735}"/>
    <cellStyle name="20% - Accent2 3 6 2 3" xfId="13424" xr:uid="{D162FE85-F225-4E85-A76E-882E1DE30810}"/>
    <cellStyle name="20% - Accent2 3 6 3" xfId="6170" xr:uid="{00000000-0005-0000-0000-000016010000}"/>
    <cellStyle name="20% - Accent2 3 6 3 2" xfId="15496" xr:uid="{06676574-4141-43D3-9675-DF56AF4E0131}"/>
    <cellStyle name="20% - Accent2 3 6 4" xfId="11279" xr:uid="{C75C8A8E-961D-46BC-A95C-DBC4875C3B9B}"/>
    <cellStyle name="20% - Accent2 3 7" xfId="2277" xr:uid="{00000000-0005-0000-0000-000017010000}"/>
    <cellStyle name="20% - Accent2 3 7 2" xfId="6583" xr:uid="{00000000-0005-0000-0000-000018010000}"/>
    <cellStyle name="20% - Accent2 3 7 2 2" xfId="15909" xr:uid="{6AF7DB1E-9445-4D63-9400-2C25DB4FEB2F}"/>
    <cellStyle name="20% - Accent2 3 7 3" xfId="11692" xr:uid="{3C8A6A57-5203-480B-9A73-F72030EF9954}"/>
    <cellStyle name="20% - Accent2 3 8" xfId="4517" xr:uid="{00000000-0005-0000-0000-000019010000}"/>
    <cellStyle name="20% - Accent2 3 8 2" xfId="13843" xr:uid="{B0A7AE46-4271-4FF6-8245-E44EBFBC993B}"/>
    <cellStyle name="20% - Accent2 3 9" xfId="8863" xr:uid="{C6A258FB-33DC-4171-B9DD-C29513CA80FD}"/>
    <cellStyle name="20% - Accent2 3 9 2" xfId="18187" xr:uid="{88696B07-6206-4A78-A422-5E55A395FCB1}"/>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2 2 2" xfId="16404" xr:uid="{749A85A1-8547-4B4C-95C0-E23F0DFAFEFD}"/>
    <cellStyle name="20% - Accent2 4 2 2 3" xfId="12187" xr:uid="{908A79F0-71B7-44C4-9970-9AA1D53B8DA4}"/>
    <cellStyle name="20% - Accent2 4 2 3" xfId="4933" xr:uid="{00000000-0005-0000-0000-00001E010000}"/>
    <cellStyle name="20% - Accent2 4 2 3 2" xfId="14259" xr:uid="{1FC40054-92D6-4E34-8B8E-5041CF5D792C}"/>
    <cellStyle name="20% - Accent2 4 2 4" xfId="9374" xr:uid="{26FD7A0E-8D04-4AF7-B092-2B22A78F0A97}"/>
    <cellStyle name="20% - Accent2 4 2 4 2" xfId="18689" xr:uid="{0C9224A7-15CE-4BE9-A601-F2A80E4266B6}"/>
    <cellStyle name="20% - Accent2 4 2 5" xfId="10042" xr:uid="{15E76115-0F06-485F-8A14-F176A67B96D2}"/>
    <cellStyle name="20% - Accent2 4 3" xfId="1038" xr:uid="{00000000-0005-0000-0000-00001F010000}"/>
    <cellStyle name="20% - Accent2 4 3 2" xfId="3269" xr:uid="{00000000-0005-0000-0000-000020010000}"/>
    <cellStyle name="20% - Accent2 4 3 2 2" xfId="7491" xr:uid="{00000000-0005-0000-0000-000021010000}"/>
    <cellStyle name="20% - Accent2 4 3 2 2 2" xfId="16817" xr:uid="{E128FAA3-7ECC-4DF0-AA78-723C9EAE5574}"/>
    <cellStyle name="20% - Accent2 4 3 2 3" xfId="12600" xr:uid="{2A846851-3CBE-456E-A0F7-6CD64278AE45}"/>
    <cellStyle name="20% - Accent2 4 3 3" xfId="5346" xr:uid="{00000000-0005-0000-0000-000022010000}"/>
    <cellStyle name="20% - Accent2 4 3 3 2" xfId="14672" xr:uid="{8D33CBEE-2D86-409B-8483-C3298D628AB5}"/>
    <cellStyle name="20% - Accent2 4 3 4" xfId="10455" xr:uid="{6BA83004-821A-4F2D-B57E-8F7461322A42}"/>
    <cellStyle name="20% - Accent2 4 4" xfId="1452" xr:uid="{00000000-0005-0000-0000-000023010000}"/>
    <cellStyle name="20% - Accent2 4 4 2" xfId="3682" xr:uid="{00000000-0005-0000-0000-000024010000}"/>
    <cellStyle name="20% - Accent2 4 4 2 2" xfId="7904" xr:uid="{00000000-0005-0000-0000-000025010000}"/>
    <cellStyle name="20% - Accent2 4 4 2 2 2" xfId="17230" xr:uid="{4B14518C-C93D-4392-AACB-147497C2B1FC}"/>
    <cellStyle name="20% - Accent2 4 4 2 3" xfId="13013" xr:uid="{A7AFC9FB-B0CE-4490-B4B9-9AD4296BD981}"/>
    <cellStyle name="20% - Accent2 4 4 3" xfId="5759" xr:uid="{00000000-0005-0000-0000-000026010000}"/>
    <cellStyle name="20% - Accent2 4 4 3 2" xfId="15085" xr:uid="{C0372589-FC4A-4C5F-93B6-E30560EF1390}"/>
    <cellStyle name="20% - Accent2 4 4 4" xfId="10868" xr:uid="{C1C6F42D-6505-4B74-A64A-5063657AE695}"/>
    <cellStyle name="20% - Accent2 4 5" xfId="1866" xr:uid="{00000000-0005-0000-0000-000027010000}"/>
    <cellStyle name="20% - Accent2 4 5 2" xfId="4095" xr:uid="{00000000-0005-0000-0000-000028010000}"/>
    <cellStyle name="20% - Accent2 4 5 2 2" xfId="8317" xr:uid="{00000000-0005-0000-0000-000029010000}"/>
    <cellStyle name="20% - Accent2 4 5 2 2 2" xfId="17643" xr:uid="{207FD7E4-C1D5-487A-9068-AB63DB79AEF8}"/>
    <cellStyle name="20% - Accent2 4 5 2 3" xfId="13426" xr:uid="{714AAFF8-2EDC-409E-AB6A-1B5EEBABD4DB}"/>
    <cellStyle name="20% - Accent2 4 5 3" xfId="6172" xr:uid="{00000000-0005-0000-0000-00002A010000}"/>
    <cellStyle name="20% - Accent2 4 5 3 2" xfId="15498" xr:uid="{24A553FE-15D0-4447-BDFC-F204C62943F8}"/>
    <cellStyle name="20% - Accent2 4 5 4" xfId="11281" xr:uid="{0392EF4F-00B9-469A-B645-FBFD0E851883}"/>
    <cellStyle name="20% - Accent2 4 6" xfId="2279" xr:uid="{00000000-0005-0000-0000-00002B010000}"/>
    <cellStyle name="20% - Accent2 4 6 2" xfId="6585" xr:uid="{00000000-0005-0000-0000-00002C010000}"/>
    <cellStyle name="20% - Accent2 4 6 2 2" xfId="15911" xr:uid="{0CC009C0-D8B6-4DE9-B473-5EFADB3E2079}"/>
    <cellStyle name="20% - Accent2 4 6 3" xfId="11694" xr:uid="{A29F88A1-E3BF-4C55-A682-45ACC7B801A2}"/>
    <cellStyle name="20% - Accent2 4 7" xfId="4519" xr:uid="{00000000-0005-0000-0000-00002D010000}"/>
    <cellStyle name="20% - Accent2 4 7 2" xfId="13845" xr:uid="{47B31FA3-223E-4D3F-A71A-FFAE8EE919C0}"/>
    <cellStyle name="20% - Accent2 4 8" xfId="8949" xr:uid="{084C22A9-B904-4AFE-A752-AC1DC2CA76B8}"/>
    <cellStyle name="20% - Accent2 4 8 2" xfId="18273" xr:uid="{2D8FECC2-9677-4888-B3FC-EEEC9B15C895}"/>
    <cellStyle name="20% - Accent2 4 9" xfId="9628" xr:uid="{ADD824CA-C7A4-4D2F-B2D9-C0D421596FE0}"/>
    <cellStyle name="20% - Accent2 5" xfId="578" xr:uid="{00000000-0005-0000-0000-00002E010000}"/>
    <cellStyle name="20% - Accent2 5 2" xfId="2849" xr:uid="{00000000-0005-0000-0000-00002F010000}"/>
    <cellStyle name="20% - Accent2 5 2 2" xfId="7071" xr:uid="{00000000-0005-0000-0000-000030010000}"/>
    <cellStyle name="20% - Accent2 5 2 2 2" xfId="16397" xr:uid="{2683D8CC-371D-4C1F-844C-F38C0124B3F9}"/>
    <cellStyle name="20% - Accent2 5 2 3" xfId="12180" xr:uid="{152C3488-214F-4296-92F0-974F6F5C1536}"/>
    <cellStyle name="20% - Accent2 5 3" xfId="4926" xr:uid="{00000000-0005-0000-0000-000031010000}"/>
    <cellStyle name="20% - Accent2 5 3 2" xfId="14252" xr:uid="{6A23D066-DB9D-48E9-B3D2-55BC990AA0D8}"/>
    <cellStyle name="20% - Accent2 5 4" xfId="9182" xr:uid="{F822E263-B2A4-41B5-BBF9-FCE1A7A30601}"/>
    <cellStyle name="20% - Accent2 5 4 2" xfId="18500" xr:uid="{B34F9F4A-6E3B-4A9E-A4BC-A2CE9A851B50}"/>
    <cellStyle name="20% - Accent2 5 5" xfId="10035" xr:uid="{7E67BCDD-4DF1-4D17-82B8-C763F4F379B4}"/>
    <cellStyle name="20% - Accent2 6" xfId="1031" xr:uid="{00000000-0005-0000-0000-000032010000}"/>
    <cellStyle name="20% - Accent2 6 2" xfId="3262" xr:uid="{00000000-0005-0000-0000-000033010000}"/>
    <cellStyle name="20% - Accent2 6 2 2" xfId="7484" xr:uid="{00000000-0005-0000-0000-000034010000}"/>
    <cellStyle name="20% - Accent2 6 2 2 2" xfId="16810" xr:uid="{315CECC2-5B46-4EE5-98CF-A8EB82C482D6}"/>
    <cellStyle name="20% - Accent2 6 2 3" xfId="12593" xr:uid="{055DB502-7419-4257-BEED-A2502C1D1628}"/>
    <cellStyle name="20% - Accent2 6 3" xfId="5339" xr:uid="{00000000-0005-0000-0000-000035010000}"/>
    <cellStyle name="20% - Accent2 6 3 2" xfId="14665" xr:uid="{66D25183-B8CF-47A7-94AC-568312DE2E47}"/>
    <cellStyle name="20% - Accent2 6 4" xfId="10448" xr:uid="{38684FB0-F01D-40E8-A1C3-DAE9ABC91316}"/>
    <cellStyle name="20% - Accent2 7" xfId="1445" xr:uid="{00000000-0005-0000-0000-000036010000}"/>
    <cellStyle name="20% - Accent2 7 2" xfId="3675" xr:uid="{00000000-0005-0000-0000-000037010000}"/>
    <cellStyle name="20% - Accent2 7 2 2" xfId="7897" xr:uid="{00000000-0005-0000-0000-000038010000}"/>
    <cellStyle name="20% - Accent2 7 2 2 2" xfId="17223" xr:uid="{EDBF0C5F-493E-4A81-87B1-719ED6F473EF}"/>
    <cellStyle name="20% - Accent2 7 2 3" xfId="13006" xr:uid="{D314BC84-6FDE-4975-8DD8-D0F42504FBEC}"/>
    <cellStyle name="20% - Accent2 7 3" xfId="5752" xr:uid="{00000000-0005-0000-0000-000039010000}"/>
    <cellStyle name="20% - Accent2 7 3 2" xfId="15078" xr:uid="{837724B1-8D33-45E1-9D3A-297B5BC1B2F6}"/>
    <cellStyle name="20% - Accent2 7 4" xfId="10861" xr:uid="{F8343803-EBF7-4B0A-8A78-640AC53EF81E}"/>
    <cellStyle name="20% - Accent2 8" xfId="1859" xr:uid="{00000000-0005-0000-0000-00003A010000}"/>
    <cellStyle name="20% - Accent2 8 2" xfId="4088" xr:uid="{00000000-0005-0000-0000-00003B010000}"/>
    <cellStyle name="20% - Accent2 8 2 2" xfId="8310" xr:uid="{00000000-0005-0000-0000-00003C010000}"/>
    <cellStyle name="20% - Accent2 8 2 2 2" xfId="17636" xr:uid="{6C5B4E12-DBF2-4C49-B8FB-A1647DB063A0}"/>
    <cellStyle name="20% - Accent2 8 2 3" xfId="13419" xr:uid="{3628D10A-DE91-4ED4-877D-B0BDFB720CA5}"/>
    <cellStyle name="20% - Accent2 8 3" xfId="6165" xr:uid="{00000000-0005-0000-0000-00003D010000}"/>
    <cellStyle name="20% - Accent2 8 3 2" xfId="15491" xr:uid="{595617A1-A508-4F13-B87A-21F7B8F8C647}"/>
    <cellStyle name="20% - Accent2 8 4" xfId="11274" xr:uid="{C4AF9872-E5D3-4C52-B6DF-7CA7095D1230}"/>
    <cellStyle name="20% - Accent2 9" xfId="2272" xr:uid="{00000000-0005-0000-0000-00003E010000}"/>
    <cellStyle name="20% - Accent2 9 2" xfId="6578" xr:uid="{00000000-0005-0000-0000-00003F010000}"/>
    <cellStyle name="20% - Accent2 9 2 2" xfId="15904" xr:uid="{7768A3D8-7D0E-42CF-ABDA-4FB32E28E479}"/>
    <cellStyle name="20% - Accent2 9 3" xfId="11687" xr:uid="{BCC39B61-869B-4CBB-A97D-96FF5408CFB7}"/>
    <cellStyle name="20% - Accent3" xfId="17" builtinId="38" customBuiltin="1"/>
    <cellStyle name="20% - Accent3 10" xfId="4520" xr:uid="{00000000-0005-0000-0000-000041010000}"/>
    <cellStyle name="20% - Accent3 10 2" xfId="13846" xr:uid="{54865801-B2D1-4068-8F3B-ABE9F9ED955C}"/>
    <cellStyle name="20% - Accent3 11" xfId="8762" xr:uid="{49ACF776-43E7-4BB5-82F5-A8A4FEBC45F8}"/>
    <cellStyle name="20% - Accent3 11 2" xfId="18086" xr:uid="{68D4539C-3506-4B43-82D9-5112042A60ED}"/>
    <cellStyle name="20% - Accent3 12" xfId="9629" xr:uid="{0A410232-2008-4657-B0A7-9B0265AE708D}"/>
    <cellStyle name="20% - Accent3 2" xfId="18" xr:uid="{00000000-0005-0000-0000-000042010000}"/>
    <cellStyle name="20% - Accent3 2 10" xfId="8792" xr:uid="{65E5762F-047C-4860-B47E-71363924E2A5}"/>
    <cellStyle name="20% - Accent3 2 10 2" xfId="18116" xr:uid="{3C08DC57-7519-4D35-BF76-65FA83695C98}"/>
    <cellStyle name="20% - Accent3 2 11" xfId="9630" xr:uid="{73AE2CDE-6D9D-4C4D-8DDB-5B4A136DFB72}"/>
    <cellStyle name="20% - Accent3 2 2" xfId="19" xr:uid="{00000000-0005-0000-0000-000043010000}"/>
    <cellStyle name="20% - Accent3 2 2 10" xfId="9631" xr:uid="{A49BEC9D-CF35-4608-B5DE-EE1D0AB8C04D}"/>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16408" xr:uid="{908AD5F2-E9C0-4CB8-91B5-93BC1E70B61D}"/>
    <cellStyle name="20% - Accent3 2 2 2 2 2 3" xfId="12191" xr:uid="{32BBC527-1939-44A9-B510-8C2264CB1FE2}"/>
    <cellStyle name="20% - Accent3 2 2 2 2 3" xfId="4937" xr:uid="{00000000-0005-0000-0000-000048010000}"/>
    <cellStyle name="20% - Accent3 2 2 2 2 3 2" xfId="14263" xr:uid="{17E128A7-B58B-4515-9459-E4D244ABE64C}"/>
    <cellStyle name="20% - Accent3 2 2 2 2 4" xfId="9527" xr:uid="{B82F9F3C-4714-4F10-BEB2-F90FC0563F53}"/>
    <cellStyle name="20% - Accent3 2 2 2 2 4 2" xfId="18842" xr:uid="{C18A270A-BD58-44BA-A2F5-341D2E9D3BF4}"/>
    <cellStyle name="20% - Accent3 2 2 2 2 5" xfId="10046" xr:uid="{7E2BCB09-9E41-4806-A5A7-E46FD24E8281}"/>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16821" xr:uid="{EE0FEC08-FDC6-4D78-A415-CBBA0690B6AC}"/>
    <cellStyle name="20% - Accent3 2 2 2 3 2 3" xfId="12604" xr:uid="{C995FBF9-808A-4636-9335-CD6359FD8790}"/>
    <cellStyle name="20% - Accent3 2 2 2 3 3" xfId="5350" xr:uid="{00000000-0005-0000-0000-00004C010000}"/>
    <cellStyle name="20% - Accent3 2 2 2 3 3 2" xfId="14676" xr:uid="{EDA99E73-E9D4-4300-8EF3-9C3D977E232F}"/>
    <cellStyle name="20% - Accent3 2 2 2 3 4" xfId="10459" xr:uid="{21372AC6-D476-4D21-872C-69C83F562277}"/>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17234" xr:uid="{64568A05-EFF0-47E0-AE31-66FAF99FE8A6}"/>
    <cellStyle name="20% - Accent3 2 2 2 4 2 3" xfId="13017" xr:uid="{ABB50251-6B9B-4A53-9AAB-DEF941EB2592}"/>
    <cellStyle name="20% - Accent3 2 2 2 4 3" xfId="5763" xr:uid="{00000000-0005-0000-0000-000050010000}"/>
    <cellStyle name="20% - Accent3 2 2 2 4 3 2" xfId="15089" xr:uid="{F1C3EF0A-232F-4A7C-87FD-EB897118AC47}"/>
    <cellStyle name="20% - Accent3 2 2 2 4 4" xfId="10872" xr:uid="{5A20FB1B-76D0-419D-85A0-EEF65453DB9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17647" xr:uid="{8B4CE366-8549-47DC-8D8C-72D61B36693B}"/>
    <cellStyle name="20% - Accent3 2 2 2 5 2 3" xfId="13430" xr:uid="{709ECB8F-E6E1-4F4B-8792-825463B2F370}"/>
    <cellStyle name="20% - Accent3 2 2 2 5 3" xfId="6176" xr:uid="{00000000-0005-0000-0000-000054010000}"/>
    <cellStyle name="20% - Accent3 2 2 2 5 3 2" xfId="15502" xr:uid="{8B102E43-AD92-47B4-84E7-A3A9EEA47709}"/>
    <cellStyle name="20% - Accent3 2 2 2 5 4" xfId="11285" xr:uid="{A6BFA805-CA3E-4BEF-B01D-A1CFA85AB697}"/>
    <cellStyle name="20% - Accent3 2 2 2 6" xfId="2283" xr:uid="{00000000-0005-0000-0000-000055010000}"/>
    <cellStyle name="20% - Accent3 2 2 2 6 2" xfId="6589" xr:uid="{00000000-0005-0000-0000-000056010000}"/>
    <cellStyle name="20% - Accent3 2 2 2 6 2 2" xfId="15915" xr:uid="{EECE17D9-1980-4433-B5CB-DE50542B5692}"/>
    <cellStyle name="20% - Accent3 2 2 2 6 3" xfId="11698" xr:uid="{D5E5415D-0455-4BED-8741-B550FC269C4E}"/>
    <cellStyle name="20% - Accent3 2 2 2 7" xfId="4523" xr:uid="{00000000-0005-0000-0000-000057010000}"/>
    <cellStyle name="20% - Accent3 2 2 2 7 2" xfId="13849" xr:uid="{6CCA0B06-1F2E-4BEF-89DF-443997BB7C87}"/>
    <cellStyle name="20% - Accent3 2 2 2 8" xfId="9102" xr:uid="{77698EAD-FDE4-4105-BE80-980B5219F464}"/>
    <cellStyle name="20% - Accent3 2 2 2 8 2" xfId="18426" xr:uid="{A800C246-4979-4BDD-89DC-1F9FFF3BA57C}"/>
    <cellStyle name="20% - Accent3 2 2 2 9" xfId="9632" xr:uid="{19F053EB-D40B-4AC0-A6E2-AD97F4BF88AD}"/>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16407" xr:uid="{BA3F13B5-D9AB-4D42-ACB4-AC14CA3EF257}"/>
    <cellStyle name="20% - Accent3 2 2 3 2 3" xfId="12190" xr:uid="{F73E5013-C5F7-4D24-BABA-A9DE43068A03}"/>
    <cellStyle name="20% - Accent3 2 2 3 3" xfId="4936" xr:uid="{00000000-0005-0000-0000-00005B010000}"/>
    <cellStyle name="20% - Accent3 2 2 3 3 2" xfId="14262" xr:uid="{7A152630-9B51-4071-A891-7CAC51561F07}"/>
    <cellStyle name="20% - Accent3 2 2 3 4" xfId="9320" xr:uid="{BF070B19-D289-4211-B080-DBB621CAE7BA}"/>
    <cellStyle name="20% - Accent3 2 2 3 4 2" xfId="18635" xr:uid="{252F075E-DDA8-4E09-BCD3-5DBCE0C086BE}"/>
    <cellStyle name="20% - Accent3 2 2 3 5" xfId="10045" xr:uid="{5AE09865-68BF-4A67-A0A3-7E95FD21613C}"/>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16820" xr:uid="{24ABF597-65AF-4D35-84E0-8F4B8F528B53}"/>
    <cellStyle name="20% - Accent3 2 2 4 2 3" xfId="12603" xr:uid="{2E173B0A-9536-419C-BAD8-14BABB0E1BB7}"/>
    <cellStyle name="20% - Accent3 2 2 4 3" xfId="5349" xr:uid="{00000000-0005-0000-0000-00005F010000}"/>
    <cellStyle name="20% - Accent3 2 2 4 3 2" xfId="14675" xr:uid="{EB519BF6-73DE-4359-B220-E64C9AEECD1F}"/>
    <cellStyle name="20% - Accent3 2 2 4 4" xfId="10458" xr:uid="{483DBA3A-B189-4999-81C7-5F3A35AD8ED3}"/>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17233" xr:uid="{415DCB02-B3C1-4CBD-9244-053A7FE8C577}"/>
    <cellStyle name="20% - Accent3 2 2 5 2 3" xfId="13016" xr:uid="{B2AD9B98-28A8-44BB-89BB-360160BA61E6}"/>
    <cellStyle name="20% - Accent3 2 2 5 3" xfId="5762" xr:uid="{00000000-0005-0000-0000-000063010000}"/>
    <cellStyle name="20% - Accent3 2 2 5 3 2" xfId="15088" xr:uid="{C014ACF3-AE4F-4E72-9C38-89A1833427FA}"/>
    <cellStyle name="20% - Accent3 2 2 5 4" xfId="10871" xr:uid="{C6459648-D364-4C60-88F9-DBE7D4216E68}"/>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17646" xr:uid="{EB8A7F1F-46B8-4ADF-AB9E-B2A621E8A75D}"/>
    <cellStyle name="20% - Accent3 2 2 6 2 3" xfId="13429" xr:uid="{DE2F2ABB-4CAF-482D-AB9A-4E9BE1A635CA}"/>
    <cellStyle name="20% - Accent3 2 2 6 3" xfId="6175" xr:uid="{00000000-0005-0000-0000-000067010000}"/>
    <cellStyle name="20% - Accent3 2 2 6 3 2" xfId="15501" xr:uid="{886BECF1-8949-4AC0-BBFC-67D4C36813DE}"/>
    <cellStyle name="20% - Accent3 2 2 6 4" xfId="11284" xr:uid="{47746A1E-20AB-43DA-B41A-E41B3A8C1467}"/>
    <cellStyle name="20% - Accent3 2 2 7" xfId="2282" xr:uid="{00000000-0005-0000-0000-000068010000}"/>
    <cellStyle name="20% - Accent3 2 2 7 2" xfId="6588" xr:uid="{00000000-0005-0000-0000-000069010000}"/>
    <cellStyle name="20% - Accent3 2 2 7 2 2" xfId="15914" xr:uid="{A6D1545B-D2A5-4E64-AE3E-4CEA679AA2BC}"/>
    <cellStyle name="20% - Accent3 2 2 7 3" xfId="11697" xr:uid="{45C20429-9988-405E-88D4-C928F669D6AC}"/>
    <cellStyle name="20% - Accent3 2 2 8" xfId="4522" xr:uid="{00000000-0005-0000-0000-00006A010000}"/>
    <cellStyle name="20% - Accent3 2 2 8 2" xfId="13848" xr:uid="{D2BE8894-B0B9-41B0-8B94-5F2766077A6D}"/>
    <cellStyle name="20% - Accent3 2 2 9" xfId="8895" xr:uid="{0ADDC6BA-FD9D-420D-8F5A-13E0A04BBC7C}"/>
    <cellStyle name="20% - Accent3 2 2 9 2" xfId="18219" xr:uid="{2C407C86-124C-4C30-B956-C3A3901B13D9}"/>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16409" xr:uid="{14382702-75A6-4A72-A1DB-14345EAAF2D2}"/>
    <cellStyle name="20% - Accent3 2 3 2 2 3" xfId="12192" xr:uid="{2BF5E245-6C68-47EE-90CD-955E66694412}"/>
    <cellStyle name="20% - Accent3 2 3 2 3" xfId="4938" xr:uid="{00000000-0005-0000-0000-00006F010000}"/>
    <cellStyle name="20% - Accent3 2 3 2 3 2" xfId="14264" xr:uid="{B7A6E99D-9D69-4A8A-9EF3-10A9EA7CB2D0}"/>
    <cellStyle name="20% - Accent3 2 3 2 4" xfId="9424" xr:uid="{C3588D98-6F24-4F2C-9F96-F34501405613}"/>
    <cellStyle name="20% - Accent3 2 3 2 4 2" xfId="18739" xr:uid="{B7B17D33-CB2B-46B7-8014-62C4B8C3326B}"/>
    <cellStyle name="20% - Accent3 2 3 2 5" xfId="10047" xr:uid="{5FD54337-B27F-48C6-A241-0D3480F859E2}"/>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16822" xr:uid="{DA51BC30-633E-43BB-90B6-90FC87AEE2CB}"/>
    <cellStyle name="20% - Accent3 2 3 3 2 3" xfId="12605" xr:uid="{51A47B5A-B435-41CE-8970-21AB70558AD9}"/>
    <cellStyle name="20% - Accent3 2 3 3 3" xfId="5351" xr:uid="{00000000-0005-0000-0000-000073010000}"/>
    <cellStyle name="20% - Accent3 2 3 3 3 2" xfId="14677" xr:uid="{68E052E7-5AF5-4E99-87B2-D8394B14F985}"/>
    <cellStyle name="20% - Accent3 2 3 3 4" xfId="10460" xr:uid="{5AA45751-493C-49C2-9C5E-5DF3FE3D36F5}"/>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17235" xr:uid="{52F26DC6-95CC-4198-87B3-46FA26E22916}"/>
    <cellStyle name="20% - Accent3 2 3 4 2 3" xfId="13018" xr:uid="{31B5C6AC-F03D-4201-A037-D21F69E03A54}"/>
    <cellStyle name="20% - Accent3 2 3 4 3" xfId="5764" xr:uid="{00000000-0005-0000-0000-000077010000}"/>
    <cellStyle name="20% - Accent3 2 3 4 3 2" xfId="15090" xr:uid="{11DD5F30-1A2F-48CF-9475-96C53D56F875}"/>
    <cellStyle name="20% - Accent3 2 3 4 4" xfId="10873" xr:uid="{CDF1852D-A0BC-4080-AE54-0732D234E32B}"/>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17648" xr:uid="{CA4DFDB1-38DA-4D23-8B62-94EC2F4A2421}"/>
    <cellStyle name="20% - Accent3 2 3 5 2 3" xfId="13431" xr:uid="{39C0EC02-D8F1-48AE-83F6-92D933054608}"/>
    <cellStyle name="20% - Accent3 2 3 5 3" xfId="6177" xr:uid="{00000000-0005-0000-0000-00007B010000}"/>
    <cellStyle name="20% - Accent3 2 3 5 3 2" xfId="15503" xr:uid="{C9D35984-3413-4115-A2B3-89F3ECCF7CE6}"/>
    <cellStyle name="20% - Accent3 2 3 5 4" xfId="11286" xr:uid="{CC5131DE-07B9-4CCE-9DF0-66A2E792C31D}"/>
    <cellStyle name="20% - Accent3 2 3 6" xfId="2284" xr:uid="{00000000-0005-0000-0000-00007C010000}"/>
    <cellStyle name="20% - Accent3 2 3 6 2" xfId="6590" xr:uid="{00000000-0005-0000-0000-00007D010000}"/>
    <cellStyle name="20% - Accent3 2 3 6 2 2" xfId="15916" xr:uid="{67F611C0-21B4-428F-A358-961C35D8F54C}"/>
    <cellStyle name="20% - Accent3 2 3 6 3" xfId="11699" xr:uid="{AFA175FC-8E2C-424B-A0BC-12DA339EB7FC}"/>
    <cellStyle name="20% - Accent3 2 3 7" xfId="4524" xr:uid="{00000000-0005-0000-0000-00007E010000}"/>
    <cellStyle name="20% - Accent3 2 3 7 2" xfId="13850" xr:uid="{811C129D-3485-4DEB-9483-BDC7FBE7009B}"/>
    <cellStyle name="20% - Accent3 2 3 8" xfId="8999" xr:uid="{2B5D0148-B6EA-4DEA-92B1-644886C27051}"/>
    <cellStyle name="20% - Accent3 2 3 8 2" xfId="18323" xr:uid="{B7289F73-4D4A-483F-B2B7-34F517239D23}"/>
    <cellStyle name="20% - Accent3 2 3 9" xfId="9633" xr:uid="{6CF1669A-1F4E-4DA5-8312-32204213C645}"/>
    <cellStyle name="20% - Accent3 2 4" xfId="587" xr:uid="{00000000-0005-0000-0000-00007F010000}"/>
    <cellStyle name="20% - Accent3 2 4 2" xfId="2858" xr:uid="{00000000-0005-0000-0000-000080010000}"/>
    <cellStyle name="20% - Accent3 2 4 2 2" xfId="7080" xr:uid="{00000000-0005-0000-0000-000081010000}"/>
    <cellStyle name="20% - Accent3 2 4 2 2 2" xfId="16406" xr:uid="{AFDF433C-47BF-4AFC-AC0B-1C4E8A33F3C4}"/>
    <cellStyle name="20% - Accent3 2 4 2 3" xfId="12189" xr:uid="{4B4B3BDE-32B5-4045-BCE3-6FFB901B3346}"/>
    <cellStyle name="20% - Accent3 2 4 3" xfId="4935" xr:uid="{00000000-0005-0000-0000-000082010000}"/>
    <cellStyle name="20% - Accent3 2 4 3 2" xfId="14261" xr:uid="{1E15B59C-A883-49B8-8B6E-E33BD66C2772}"/>
    <cellStyle name="20% - Accent3 2 4 4" xfId="9216" xr:uid="{A12C3877-5492-4CD3-AD22-81B3F0AB1EDD}"/>
    <cellStyle name="20% - Accent3 2 4 4 2" xfId="18532" xr:uid="{2335E0AB-FF84-4C04-92B7-304F1EB820EC}"/>
    <cellStyle name="20% - Accent3 2 4 5" xfId="10044" xr:uid="{4C339549-24A7-4392-89C0-DBB650C11B0F}"/>
    <cellStyle name="20% - Accent3 2 5" xfId="1040" xr:uid="{00000000-0005-0000-0000-000083010000}"/>
    <cellStyle name="20% - Accent3 2 5 2" xfId="3271" xr:uid="{00000000-0005-0000-0000-000084010000}"/>
    <cellStyle name="20% - Accent3 2 5 2 2" xfId="7493" xr:uid="{00000000-0005-0000-0000-000085010000}"/>
    <cellStyle name="20% - Accent3 2 5 2 2 2" xfId="16819" xr:uid="{DEE52E1C-FF49-437E-AFBE-3568A6624C06}"/>
    <cellStyle name="20% - Accent3 2 5 2 3" xfId="12602" xr:uid="{82D800AC-1EF0-49AC-AAB7-842DCA71071F}"/>
    <cellStyle name="20% - Accent3 2 5 3" xfId="5348" xr:uid="{00000000-0005-0000-0000-000086010000}"/>
    <cellStyle name="20% - Accent3 2 5 3 2" xfId="14674" xr:uid="{C3C98813-0BE2-44C2-88AB-03A8D67229B9}"/>
    <cellStyle name="20% - Accent3 2 5 4" xfId="10457" xr:uid="{1319BAF5-5DCE-4FB1-B602-182D98F8E2D6}"/>
    <cellStyle name="20% - Accent3 2 6" xfId="1454" xr:uid="{00000000-0005-0000-0000-000087010000}"/>
    <cellStyle name="20% - Accent3 2 6 2" xfId="3684" xr:uid="{00000000-0005-0000-0000-000088010000}"/>
    <cellStyle name="20% - Accent3 2 6 2 2" xfId="7906" xr:uid="{00000000-0005-0000-0000-000089010000}"/>
    <cellStyle name="20% - Accent3 2 6 2 2 2" xfId="17232" xr:uid="{73CF3A3B-D164-426C-9C2D-D5DE825D7413}"/>
    <cellStyle name="20% - Accent3 2 6 2 3" xfId="13015" xr:uid="{252E219E-9F87-44B6-BDEE-3349E29501E5}"/>
    <cellStyle name="20% - Accent3 2 6 3" xfId="5761" xr:uid="{00000000-0005-0000-0000-00008A010000}"/>
    <cellStyle name="20% - Accent3 2 6 3 2" xfId="15087" xr:uid="{5A44FC50-C65F-4249-982D-8FD9B3BCB34F}"/>
    <cellStyle name="20% - Accent3 2 6 4" xfId="10870" xr:uid="{7D44A39D-A56A-4076-BCE8-945929F0E1E2}"/>
    <cellStyle name="20% - Accent3 2 7" xfId="1868" xr:uid="{00000000-0005-0000-0000-00008B010000}"/>
    <cellStyle name="20% - Accent3 2 7 2" xfId="4097" xr:uid="{00000000-0005-0000-0000-00008C010000}"/>
    <cellStyle name="20% - Accent3 2 7 2 2" xfId="8319" xr:uid="{00000000-0005-0000-0000-00008D010000}"/>
    <cellStyle name="20% - Accent3 2 7 2 2 2" xfId="17645" xr:uid="{6AAE0285-662A-4C8A-A518-F8EDACD0FC5C}"/>
    <cellStyle name="20% - Accent3 2 7 2 3" xfId="13428" xr:uid="{D0A66FD2-F123-4D1D-9EF2-54BD63A27C80}"/>
    <cellStyle name="20% - Accent3 2 7 3" xfId="6174" xr:uid="{00000000-0005-0000-0000-00008E010000}"/>
    <cellStyle name="20% - Accent3 2 7 3 2" xfId="15500" xr:uid="{60A163AE-7A1C-439A-A8EF-ED3F3C324F6C}"/>
    <cellStyle name="20% - Accent3 2 7 4" xfId="11283" xr:uid="{6A6562E2-D0F9-4919-9055-F07AB505B4CD}"/>
    <cellStyle name="20% - Accent3 2 8" xfId="2281" xr:uid="{00000000-0005-0000-0000-00008F010000}"/>
    <cellStyle name="20% - Accent3 2 8 2" xfId="6587" xr:uid="{00000000-0005-0000-0000-000090010000}"/>
    <cellStyle name="20% - Accent3 2 8 2 2" xfId="15913" xr:uid="{8601273B-AFBF-4F5A-855B-D92EEDA1DE91}"/>
    <cellStyle name="20% - Accent3 2 8 3" xfId="11696" xr:uid="{EAC17327-D5DC-483F-8770-1C6DB5769EA2}"/>
    <cellStyle name="20% - Accent3 2 9" xfId="4521" xr:uid="{00000000-0005-0000-0000-000091010000}"/>
    <cellStyle name="20% - Accent3 2 9 2" xfId="13847" xr:uid="{9E8D3D4E-C000-4242-9852-79692B8FF1A4}"/>
    <cellStyle name="20% - Accent3 3" xfId="22" xr:uid="{00000000-0005-0000-0000-000092010000}"/>
    <cellStyle name="20% - Accent3 3 10" xfId="9634" xr:uid="{0170A36E-C4F3-48E2-A955-8B88C28E909C}"/>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16411" xr:uid="{EA6D22B8-F50B-482F-8B79-324C5E2499A0}"/>
    <cellStyle name="20% - Accent3 3 2 2 2 3" xfId="12194" xr:uid="{481ADDC1-2D23-4034-B665-ADC57D0A4C21}"/>
    <cellStyle name="20% - Accent3 3 2 2 3" xfId="4940" xr:uid="{00000000-0005-0000-0000-000097010000}"/>
    <cellStyle name="20% - Accent3 3 2 2 3 2" xfId="14266" xr:uid="{75787180-28D6-4B7F-808A-2C3DAF210B44}"/>
    <cellStyle name="20% - Accent3 3 2 2 4" xfId="9497" xr:uid="{43A0E151-F418-49A1-AF18-121DEB02B6D4}"/>
    <cellStyle name="20% - Accent3 3 2 2 4 2" xfId="18812" xr:uid="{0C9F3110-84E4-4AA0-BF79-ADDFDD8EE5B2}"/>
    <cellStyle name="20% - Accent3 3 2 2 5" xfId="10049" xr:uid="{72CD1755-5628-4A6A-AFB3-1677740DCC4A}"/>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16824" xr:uid="{5918123D-2A3A-485B-A71B-AECAAF0573ED}"/>
    <cellStyle name="20% - Accent3 3 2 3 2 3" xfId="12607" xr:uid="{09263863-DEF9-4AA5-958D-3B0A71F1BC12}"/>
    <cellStyle name="20% - Accent3 3 2 3 3" xfId="5353" xr:uid="{00000000-0005-0000-0000-00009B010000}"/>
    <cellStyle name="20% - Accent3 3 2 3 3 2" xfId="14679" xr:uid="{C7D2226A-470E-4F1B-9886-E58EEB92D68A}"/>
    <cellStyle name="20% - Accent3 3 2 3 4" xfId="10462" xr:uid="{E9F003F4-F2FD-40AC-B64A-86E88346FF81}"/>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17237" xr:uid="{3A6518D2-1358-4DCF-8BBF-77A952F16268}"/>
    <cellStyle name="20% - Accent3 3 2 4 2 3" xfId="13020" xr:uid="{E37CAE8B-72A2-449B-950F-D75432D0AA66}"/>
    <cellStyle name="20% - Accent3 3 2 4 3" xfId="5766" xr:uid="{00000000-0005-0000-0000-00009F010000}"/>
    <cellStyle name="20% - Accent3 3 2 4 3 2" xfId="15092" xr:uid="{BAFDC94B-B504-4B6B-B83D-40CDDAFE5FC5}"/>
    <cellStyle name="20% - Accent3 3 2 4 4" xfId="10875" xr:uid="{33A2FB17-25F5-4F23-BF68-EE050B68A322}"/>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17650" xr:uid="{6C3E84E1-1DB5-4DAB-878E-36AC73B3123D}"/>
    <cellStyle name="20% - Accent3 3 2 5 2 3" xfId="13433" xr:uid="{25DC8E02-808F-4DA0-A3BB-8D7B30EBCDEC}"/>
    <cellStyle name="20% - Accent3 3 2 5 3" xfId="6179" xr:uid="{00000000-0005-0000-0000-0000A3010000}"/>
    <cellStyle name="20% - Accent3 3 2 5 3 2" xfId="15505" xr:uid="{CD9E8F35-99D4-4176-BF31-8A3E2A89A2C5}"/>
    <cellStyle name="20% - Accent3 3 2 5 4" xfId="11288" xr:uid="{096729E4-8608-4693-8A49-501C22032BA4}"/>
    <cellStyle name="20% - Accent3 3 2 6" xfId="2286" xr:uid="{00000000-0005-0000-0000-0000A4010000}"/>
    <cellStyle name="20% - Accent3 3 2 6 2" xfId="6592" xr:uid="{00000000-0005-0000-0000-0000A5010000}"/>
    <cellStyle name="20% - Accent3 3 2 6 2 2" xfId="15918" xr:uid="{E4EF6552-86AD-4FD2-8AF0-B7934DCD9111}"/>
    <cellStyle name="20% - Accent3 3 2 6 3" xfId="11701" xr:uid="{4DD9534C-24BD-4500-83C6-8A5681B8B8A2}"/>
    <cellStyle name="20% - Accent3 3 2 7" xfId="4526" xr:uid="{00000000-0005-0000-0000-0000A6010000}"/>
    <cellStyle name="20% - Accent3 3 2 7 2" xfId="13852" xr:uid="{838805D0-AD81-4D7B-8183-13DCD3F9679E}"/>
    <cellStyle name="20% - Accent3 3 2 8" xfId="9072" xr:uid="{422EC144-F6F8-460E-8B93-316BBF9707FB}"/>
    <cellStyle name="20% - Accent3 3 2 8 2" xfId="18396" xr:uid="{D501348B-2629-46AE-B609-7E57B55B3227}"/>
    <cellStyle name="20% - Accent3 3 2 9" xfId="9635" xr:uid="{BF598EED-C523-4D2A-818B-8C5B27EE00E1}"/>
    <cellStyle name="20% - Accent3 3 3" xfId="591" xr:uid="{00000000-0005-0000-0000-0000A7010000}"/>
    <cellStyle name="20% - Accent3 3 3 2" xfId="2862" xr:uid="{00000000-0005-0000-0000-0000A8010000}"/>
    <cellStyle name="20% - Accent3 3 3 2 2" xfId="7084" xr:uid="{00000000-0005-0000-0000-0000A9010000}"/>
    <cellStyle name="20% - Accent3 3 3 2 2 2" xfId="16410" xr:uid="{C0DFABA8-7F42-43FC-B8A5-EA2A610E53CE}"/>
    <cellStyle name="20% - Accent3 3 3 2 3" xfId="12193" xr:uid="{4C9205E8-5986-4F6F-9D11-2E73DC66F2DD}"/>
    <cellStyle name="20% - Accent3 3 3 3" xfId="4939" xr:uid="{00000000-0005-0000-0000-0000AA010000}"/>
    <cellStyle name="20% - Accent3 3 3 3 2" xfId="14265" xr:uid="{1E49A6B7-022F-457C-9D1E-1D2493C9A6F3}"/>
    <cellStyle name="20% - Accent3 3 3 4" xfId="9290" xr:uid="{8511D0A3-BAF4-4D49-BFEA-2ED828678819}"/>
    <cellStyle name="20% - Accent3 3 3 4 2" xfId="18605" xr:uid="{54D3C79C-79C8-4BE2-BF5C-D4F2BB5CB7A0}"/>
    <cellStyle name="20% - Accent3 3 3 5" xfId="10048" xr:uid="{FB4B532C-137D-4BF3-AFA9-A4AA76AF8175}"/>
    <cellStyle name="20% - Accent3 3 4" xfId="1044" xr:uid="{00000000-0005-0000-0000-0000AB010000}"/>
    <cellStyle name="20% - Accent3 3 4 2" xfId="3275" xr:uid="{00000000-0005-0000-0000-0000AC010000}"/>
    <cellStyle name="20% - Accent3 3 4 2 2" xfId="7497" xr:uid="{00000000-0005-0000-0000-0000AD010000}"/>
    <cellStyle name="20% - Accent3 3 4 2 2 2" xfId="16823" xr:uid="{E7E40AC3-2E18-4C5F-AA07-A2039184F19D}"/>
    <cellStyle name="20% - Accent3 3 4 2 3" xfId="12606" xr:uid="{BFDE08AF-7E77-4ACD-A105-225CAE8679F2}"/>
    <cellStyle name="20% - Accent3 3 4 3" xfId="5352" xr:uid="{00000000-0005-0000-0000-0000AE010000}"/>
    <cellStyle name="20% - Accent3 3 4 3 2" xfId="14678" xr:uid="{36149705-E764-4760-A8E5-98B3A203E1F7}"/>
    <cellStyle name="20% - Accent3 3 4 4" xfId="10461" xr:uid="{2E2B7792-FE28-4573-B7BC-94E7138413C0}"/>
    <cellStyle name="20% - Accent3 3 5" xfId="1458" xr:uid="{00000000-0005-0000-0000-0000AF010000}"/>
    <cellStyle name="20% - Accent3 3 5 2" xfId="3688" xr:uid="{00000000-0005-0000-0000-0000B0010000}"/>
    <cellStyle name="20% - Accent3 3 5 2 2" xfId="7910" xr:uid="{00000000-0005-0000-0000-0000B1010000}"/>
    <cellStyle name="20% - Accent3 3 5 2 2 2" xfId="17236" xr:uid="{2626124D-1B96-4774-A1D3-3CFB68FCCCD2}"/>
    <cellStyle name="20% - Accent3 3 5 2 3" xfId="13019" xr:uid="{DFFEE577-1C94-42DD-94C1-F901DF81564F}"/>
    <cellStyle name="20% - Accent3 3 5 3" xfId="5765" xr:uid="{00000000-0005-0000-0000-0000B2010000}"/>
    <cellStyle name="20% - Accent3 3 5 3 2" xfId="15091" xr:uid="{F354EEF9-67DE-4B95-B8FD-95E6EF291A0A}"/>
    <cellStyle name="20% - Accent3 3 5 4" xfId="10874" xr:uid="{41502E13-35AD-4244-9B2F-41FEB160618A}"/>
    <cellStyle name="20% - Accent3 3 6" xfId="1872" xr:uid="{00000000-0005-0000-0000-0000B3010000}"/>
    <cellStyle name="20% - Accent3 3 6 2" xfId="4101" xr:uid="{00000000-0005-0000-0000-0000B4010000}"/>
    <cellStyle name="20% - Accent3 3 6 2 2" xfId="8323" xr:uid="{00000000-0005-0000-0000-0000B5010000}"/>
    <cellStyle name="20% - Accent3 3 6 2 2 2" xfId="17649" xr:uid="{D78D007C-A220-49BE-98C4-328A2583DF95}"/>
    <cellStyle name="20% - Accent3 3 6 2 3" xfId="13432" xr:uid="{72284464-41D2-4385-9612-D1585F588188}"/>
    <cellStyle name="20% - Accent3 3 6 3" xfId="6178" xr:uid="{00000000-0005-0000-0000-0000B6010000}"/>
    <cellStyle name="20% - Accent3 3 6 3 2" xfId="15504" xr:uid="{13D6B416-D198-46E7-9CE2-F84A84242624}"/>
    <cellStyle name="20% - Accent3 3 6 4" xfId="11287" xr:uid="{BCA9645F-DF58-4ACE-9543-054A90A03815}"/>
    <cellStyle name="20% - Accent3 3 7" xfId="2285" xr:uid="{00000000-0005-0000-0000-0000B7010000}"/>
    <cellStyle name="20% - Accent3 3 7 2" xfId="6591" xr:uid="{00000000-0005-0000-0000-0000B8010000}"/>
    <cellStyle name="20% - Accent3 3 7 2 2" xfId="15917" xr:uid="{CC453D72-3520-4C2D-9BD6-24B091A5F1C3}"/>
    <cellStyle name="20% - Accent3 3 7 3" xfId="11700" xr:uid="{29324019-EDC1-491A-80A9-C8AADFB99841}"/>
    <cellStyle name="20% - Accent3 3 8" xfId="4525" xr:uid="{00000000-0005-0000-0000-0000B9010000}"/>
    <cellStyle name="20% - Accent3 3 8 2" xfId="13851" xr:uid="{1E3CC285-2345-4EBC-922E-1B742AD341FD}"/>
    <cellStyle name="20% - Accent3 3 9" xfId="8865" xr:uid="{FFA3EBA3-F40D-47A2-8AA1-A3A9E7BB9A8E}"/>
    <cellStyle name="20% - Accent3 3 9 2" xfId="18189" xr:uid="{035355C1-259C-4CA1-9A72-85E4ACFA1655}"/>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2 2 2" xfId="16412" xr:uid="{3261FD43-E5C2-4DB7-82F3-4EA3C1DCAE44}"/>
    <cellStyle name="20% - Accent3 4 2 2 3" xfId="12195" xr:uid="{9FCBA6C5-3336-4B76-827E-BBE5FF48D15D}"/>
    <cellStyle name="20% - Accent3 4 2 3" xfId="4941" xr:uid="{00000000-0005-0000-0000-0000BE010000}"/>
    <cellStyle name="20% - Accent3 4 2 3 2" xfId="14267" xr:uid="{9676A08C-3729-43DF-AF4E-D9402E6F95C1}"/>
    <cellStyle name="20% - Accent3 4 2 4" xfId="9376" xr:uid="{92AC27CA-0B0B-4AFE-8457-D3F19BE2837F}"/>
    <cellStyle name="20% - Accent3 4 2 4 2" xfId="18691" xr:uid="{CE2D8AC1-B69C-4DE3-B369-5FBCF27B6D85}"/>
    <cellStyle name="20% - Accent3 4 2 5" xfId="10050" xr:uid="{96F127BC-75C1-4443-B6E4-70770ADC43FF}"/>
    <cellStyle name="20% - Accent3 4 3" xfId="1046" xr:uid="{00000000-0005-0000-0000-0000BF010000}"/>
    <cellStyle name="20% - Accent3 4 3 2" xfId="3277" xr:uid="{00000000-0005-0000-0000-0000C0010000}"/>
    <cellStyle name="20% - Accent3 4 3 2 2" xfId="7499" xr:uid="{00000000-0005-0000-0000-0000C1010000}"/>
    <cellStyle name="20% - Accent3 4 3 2 2 2" xfId="16825" xr:uid="{26FA2C14-73A0-4F01-8C8C-3BF3E2FDC083}"/>
    <cellStyle name="20% - Accent3 4 3 2 3" xfId="12608" xr:uid="{651639C0-467A-44EE-BD63-A498335DE2E5}"/>
    <cellStyle name="20% - Accent3 4 3 3" xfId="5354" xr:uid="{00000000-0005-0000-0000-0000C2010000}"/>
    <cellStyle name="20% - Accent3 4 3 3 2" xfId="14680" xr:uid="{97D539C5-2F9C-40FE-9E85-CEC8CABBE1AA}"/>
    <cellStyle name="20% - Accent3 4 3 4" xfId="10463" xr:uid="{CB380629-0FE0-4F22-B63D-171E9C15CAB4}"/>
    <cellStyle name="20% - Accent3 4 4" xfId="1460" xr:uid="{00000000-0005-0000-0000-0000C3010000}"/>
    <cellStyle name="20% - Accent3 4 4 2" xfId="3690" xr:uid="{00000000-0005-0000-0000-0000C4010000}"/>
    <cellStyle name="20% - Accent3 4 4 2 2" xfId="7912" xr:uid="{00000000-0005-0000-0000-0000C5010000}"/>
    <cellStyle name="20% - Accent3 4 4 2 2 2" xfId="17238" xr:uid="{78A700B9-4974-40CD-ACA6-CCECC77E981F}"/>
    <cellStyle name="20% - Accent3 4 4 2 3" xfId="13021" xr:uid="{E236CD96-BE48-4358-B0F2-11ECA6400D42}"/>
    <cellStyle name="20% - Accent3 4 4 3" xfId="5767" xr:uid="{00000000-0005-0000-0000-0000C6010000}"/>
    <cellStyle name="20% - Accent3 4 4 3 2" xfId="15093" xr:uid="{92162927-B127-41DC-899E-CAECAF80E8FA}"/>
    <cellStyle name="20% - Accent3 4 4 4" xfId="10876" xr:uid="{2A4A9F2A-2C7F-40E2-9D47-AAF358C9132A}"/>
    <cellStyle name="20% - Accent3 4 5" xfId="1874" xr:uid="{00000000-0005-0000-0000-0000C7010000}"/>
    <cellStyle name="20% - Accent3 4 5 2" xfId="4103" xr:uid="{00000000-0005-0000-0000-0000C8010000}"/>
    <cellStyle name="20% - Accent3 4 5 2 2" xfId="8325" xr:uid="{00000000-0005-0000-0000-0000C9010000}"/>
    <cellStyle name="20% - Accent3 4 5 2 2 2" xfId="17651" xr:uid="{76A24F7C-CC36-42DD-BA5D-6DBD5566B9BB}"/>
    <cellStyle name="20% - Accent3 4 5 2 3" xfId="13434" xr:uid="{6F75F22B-4C33-40A4-A8C2-6C63796D417F}"/>
    <cellStyle name="20% - Accent3 4 5 3" xfId="6180" xr:uid="{00000000-0005-0000-0000-0000CA010000}"/>
    <cellStyle name="20% - Accent3 4 5 3 2" xfId="15506" xr:uid="{B3FAE7FE-9F6D-4551-9181-9C3682071949}"/>
    <cellStyle name="20% - Accent3 4 5 4" xfId="11289" xr:uid="{94DB9C79-1D78-40A6-B2F8-B633A6305B19}"/>
    <cellStyle name="20% - Accent3 4 6" xfId="2287" xr:uid="{00000000-0005-0000-0000-0000CB010000}"/>
    <cellStyle name="20% - Accent3 4 6 2" xfId="6593" xr:uid="{00000000-0005-0000-0000-0000CC010000}"/>
    <cellStyle name="20% - Accent3 4 6 2 2" xfId="15919" xr:uid="{4951BAEB-B0EB-4738-87D5-B64AC64DEB74}"/>
    <cellStyle name="20% - Accent3 4 6 3" xfId="11702" xr:uid="{9B3BEB22-4802-4DA0-BDCD-CE25EEED1E9B}"/>
    <cellStyle name="20% - Accent3 4 7" xfId="4527" xr:uid="{00000000-0005-0000-0000-0000CD010000}"/>
    <cellStyle name="20% - Accent3 4 7 2" xfId="13853" xr:uid="{1982F108-9E8F-4A9C-8519-38E3329FB30D}"/>
    <cellStyle name="20% - Accent3 4 8" xfId="8951" xr:uid="{3CB7770B-4F12-4C44-B65D-06C641FEE851}"/>
    <cellStyle name="20% - Accent3 4 8 2" xfId="18275" xr:uid="{2CDA13DD-8113-4D4D-B73B-B0FCB08F02AA}"/>
    <cellStyle name="20% - Accent3 4 9" xfId="9636" xr:uid="{7D4CA868-10B5-4190-98F8-89E6D82917F7}"/>
    <cellStyle name="20% - Accent3 5" xfId="586" xr:uid="{00000000-0005-0000-0000-0000CE010000}"/>
    <cellStyle name="20% - Accent3 5 2" xfId="2857" xr:uid="{00000000-0005-0000-0000-0000CF010000}"/>
    <cellStyle name="20% - Accent3 5 2 2" xfId="7079" xr:uid="{00000000-0005-0000-0000-0000D0010000}"/>
    <cellStyle name="20% - Accent3 5 2 2 2" xfId="16405" xr:uid="{21A709A4-5EF8-4E75-8D91-D632C7DC5375}"/>
    <cellStyle name="20% - Accent3 5 2 3" xfId="12188" xr:uid="{9DEC73BA-C5FC-44A6-9416-674CADA91B40}"/>
    <cellStyle name="20% - Accent3 5 3" xfId="4934" xr:uid="{00000000-0005-0000-0000-0000D1010000}"/>
    <cellStyle name="20% - Accent3 5 3 2" xfId="14260" xr:uid="{41285E1C-78B4-4920-804E-CC41819C0D31}"/>
    <cellStyle name="20% - Accent3 5 4" xfId="9184" xr:uid="{F51B2D95-9593-4370-A6D2-AFEF087D7920}"/>
    <cellStyle name="20% - Accent3 5 4 2" xfId="18502" xr:uid="{3CBB221A-8BB0-4E4B-95D6-7A29177A61FE}"/>
    <cellStyle name="20% - Accent3 5 5" xfId="10043" xr:uid="{29EFC63C-DE18-4330-A973-28D7F442496A}"/>
    <cellStyle name="20% - Accent3 6" xfId="1039" xr:uid="{00000000-0005-0000-0000-0000D2010000}"/>
    <cellStyle name="20% - Accent3 6 2" xfId="3270" xr:uid="{00000000-0005-0000-0000-0000D3010000}"/>
    <cellStyle name="20% - Accent3 6 2 2" xfId="7492" xr:uid="{00000000-0005-0000-0000-0000D4010000}"/>
    <cellStyle name="20% - Accent3 6 2 2 2" xfId="16818" xr:uid="{F096AFFC-1582-4F99-A3D9-43455B0F5D3A}"/>
    <cellStyle name="20% - Accent3 6 2 3" xfId="12601" xr:uid="{F2D1299B-7806-43E8-853B-D7B99D1248C2}"/>
    <cellStyle name="20% - Accent3 6 3" xfId="5347" xr:uid="{00000000-0005-0000-0000-0000D5010000}"/>
    <cellStyle name="20% - Accent3 6 3 2" xfId="14673" xr:uid="{020E9D2F-60D2-402C-AE8D-ADC6E1B8F4E8}"/>
    <cellStyle name="20% - Accent3 6 4" xfId="10456" xr:uid="{95DCED8E-B642-454B-A099-3179E161DC9B}"/>
    <cellStyle name="20% - Accent3 7" xfId="1453" xr:uid="{00000000-0005-0000-0000-0000D6010000}"/>
    <cellStyle name="20% - Accent3 7 2" xfId="3683" xr:uid="{00000000-0005-0000-0000-0000D7010000}"/>
    <cellStyle name="20% - Accent3 7 2 2" xfId="7905" xr:uid="{00000000-0005-0000-0000-0000D8010000}"/>
    <cellStyle name="20% - Accent3 7 2 2 2" xfId="17231" xr:uid="{D39107AD-F568-4712-BF94-62DAB546C85E}"/>
    <cellStyle name="20% - Accent3 7 2 3" xfId="13014" xr:uid="{3DB30F06-354E-46C1-ADB3-8CC0779B50D1}"/>
    <cellStyle name="20% - Accent3 7 3" xfId="5760" xr:uid="{00000000-0005-0000-0000-0000D9010000}"/>
    <cellStyle name="20% - Accent3 7 3 2" xfId="15086" xr:uid="{62BF2825-89D6-4F17-AF21-48EF19F1A06F}"/>
    <cellStyle name="20% - Accent3 7 4" xfId="10869" xr:uid="{047491CF-15BA-4366-ACD8-997CD88432EC}"/>
    <cellStyle name="20% - Accent3 8" xfId="1867" xr:uid="{00000000-0005-0000-0000-0000DA010000}"/>
    <cellStyle name="20% - Accent3 8 2" xfId="4096" xr:uid="{00000000-0005-0000-0000-0000DB010000}"/>
    <cellStyle name="20% - Accent3 8 2 2" xfId="8318" xr:uid="{00000000-0005-0000-0000-0000DC010000}"/>
    <cellStyle name="20% - Accent3 8 2 2 2" xfId="17644" xr:uid="{DCDCB364-08DD-45D3-A612-73D3CE20332F}"/>
    <cellStyle name="20% - Accent3 8 2 3" xfId="13427" xr:uid="{E840F2CA-146F-4C10-A7E1-A18054004832}"/>
    <cellStyle name="20% - Accent3 8 3" xfId="6173" xr:uid="{00000000-0005-0000-0000-0000DD010000}"/>
    <cellStyle name="20% - Accent3 8 3 2" xfId="15499" xr:uid="{F21FECBB-3011-4154-A913-9109E04C4189}"/>
    <cellStyle name="20% - Accent3 8 4" xfId="11282" xr:uid="{BFAFA4BD-FD6E-48E3-B90D-57DB895DE064}"/>
    <cellStyle name="20% - Accent3 9" xfId="2280" xr:uid="{00000000-0005-0000-0000-0000DE010000}"/>
    <cellStyle name="20% - Accent3 9 2" xfId="6586" xr:uid="{00000000-0005-0000-0000-0000DF010000}"/>
    <cellStyle name="20% - Accent3 9 2 2" xfId="15912" xr:uid="{8FA4AB96-5161-4148-9E54-1C8FB80C4016}"/>
    <cellStyle name="20% - Accent3 9 3" xfId="11695" xr:uid="{F317C75C-A8B2-43BE-A500-325E3AE52F80}"/>
    <cellStyle name="20% - Accent4" xfId="25" builtinId="42" customBuiltin="1"/>
    <cellStyle name="20% - Accent4 10" xfId="4528" xr:uid="{00000000-0005-0000-0000-0000E1010000}"/>
    <cellStyle name="20% - Accent4 10 2" xfId="13854" xr:uid="{75075FC3-5D13-4152-A572-4A4A728A3964}"/>
    <cellStyle name="20% - Accent4 11" xfId="8764" xr:uid="{4A9BF508-806C-496D-AEC5-5842E4A62892}"/>
    <cellStyle name="20% - Accent4 11 2" xfId="18088" xr:uid="{3E07FE1B-5FD1-46F6-B062-C8BF597729A8}"/>
    <cellStyle name="20% - Accent4 12" xfId="9637" xr:uid="{17036128-8528-4B30-9EA7-87848BB8FCE1}"/>
    <cellStyle name="20% - Accent4 2" xfId="26" xr:uid="{00000000-0005-0000-0000-0000E2010000}"/>
    <cellStyle name="20% - Accent4 2 10" xfId="8794" xr:uid="{31A2F477-5237-45C2-B43F-25AC049A95FF}"/>
    <cellStyle name="20% - Accent4 2 10 2" xfId="18118" xr:uid="{6058FF80-D4E8-48E4-BF45-636D517F6600}"/>
    <cellStyle name="20% - Accent4 2 11" xfId="9638" xr:uid="{8FEF0FE6-A408-4AB1-B8AA-2F0A9F59FA11}"/>
    <cellStyle name="20% - Accent4 2 2" xfId="27" xr:uid="{00000000-0005-0000-0000-0000E3010000}"/>
    <cellStyle name="20% - Accent4 2 2 10" xfId="9639" xr:uid="{6F23AAA2-4396-4877-8C9B-0F0D4A9843D6}"/>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16416" xr:uid="{6AF4935F-33D1-4AAB-A095-3F7EC3B51AF2}"/>
    <cellStyle name="20% - Accent4 2 2 2 2 2 3" xfId="12199" xr:uid="{06F11A71-88F1-435E-97FF-3594CC9003C7}"/>
    <cellStyle name="20% - Accent4 2 2 2 2 3" xfId="4945" xr:uid="{00000000-0005-0000-0000-0000E8010000}"/>
    <cellStyle name="20% - Accent4 2 2 2 2 3 2" xfId="14271" xr:uid="{0C8A95E1-D130-45FC-B2A4-AAD199B42F1A}"/>
    <cellStyle name="20% - Accent4 2 2 2 2 4" xfId="9529" xr:uid="{0C40CE19-1873-4316-818D-CC943AAFBB7B}"/>
    <cellStyle name="20% - Accent4 2 2 2 2 4 2" xfId="18844" xr:uid="{CD1CD6CA-2ABB-4927-A04C-269FA3164893}"/>
    <cellStyle name="20% - Accent4 2 2 2 2 5" xfId="10054" xr:uid="{E2368BC7-BE47-42F3-A122-CF66F3282DFD}"/>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16829" xr:uid="{746F4FB2-570F-47C1-8F5D-1F62D88AA9D3}"/>
    <cellStyle name="20% - Accent4 2 2 2 3 2 3" xfId="12612" xr:uid="{9B4B405A-9A85-4F00-98F3-295D52DCAD77}"/>
    <cellStyle name="20% - Accent4 2 2 2 3 3" xfId="5358" xr:uid="{00000000-0005-0000-0000-0000EC010000}"/>
    <cellStyle name="20% - Accent4 2 2 2 3 3 2" xfId="14684" xr:uid="{55DB8064-778A-495E-AD3F-E9F8CD369005}"/>
    <cellStyle name="20% - Accent4 2 2 2 3 4" xfId="10467" xr:uid="{AB079CEF-C3EE-4A38-A1E2-2323521DA358}"/>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17242" xr:uid="{B941B2FE-D11D-48B6-B9A1-21F7F6A8E26F}"/>
    <cellStyle name="20% - Accent4 2 2 2 4 2 3" xfId="13025" xr:uid="{5167C041-567E-4DAE-BABB-BAAF758285D3}"/>
    <cellStyle name="20% - Accent4 2 2 2 4 3" xfId="5771" xr:uid="{00000000-0005-0000-0000-0000F0010000}"/>
    <cellStyle name="20% - Accent4 2 2 2 4 3 2" xfId="15097" xr:uid="{FC0875C9-C4FB-4A8E-BDBE-572C5DE272A2}"/>
    <cellStyle name="20% - Accent4 2 2 2 4 4" xfId="10880" xr:uid="{8A30B4B2-93AE-4B8B-A00C-1B1699D119D9}"/>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17655" xr:uid="{BA6F6BFE-34B6-4FE6-9754-B80FC0174120}"/>
    <cellStyle name="20% - Accent4 2 2 2 5 2 3" xfId="13438" xr:uid="{CA978F0F-7FCE-4C7E-8769-B7C85BFC2152}"/>
    <cellStyle name="20% - Accent4 2 2 2 5 3" xfId="6184" xr:uid="{00000000-0005-0000-0000-0000F4010000}"/>
    <cellStyle name="20% - Accent4 2 2 2 5 3 2" xfId="15510" xr:uid="{F2820707-FF41-45DE-9990-5C6A8349EB8A}"/>
    <cellStyle name="20% - Accent4 2 2 2 5 4" xfId="11293" xr:uid="{51C6ACD5-F8D4-421D-9D1E-A004623EF709}"/>
    <cellStyle name="20% - Accent4 2 2 2 6" xfId="2291" xr:uid="{00000000-0005-0000-0000-0000F5010000}"/>
    <cellStyle name="20% - Accent4 2 2 2 6 2" xfId="6597" xr:uid="{00000000-0005-0000-0000-0000F6010000}"/>
    <cellStyle name="20% - Accent4 2 2 2 6 2 2" xfId="15923" xr:uid="{FDD08FAB-717C-4C50-A533-EE7AD22C0769}"/>
    <cellStyle name="20% - Accent4 2 2 2 6 3" xfId="11706" xr:uid="{BE6C05D8-EA16-4812-9556-D1E8E3B5C25B}"/>
    <cellStyle name="20% - Accent4 2 2 2 7" xfId="4531" xr:uid="{00000000-0005-0000-0000-0000F7010000}"/>
    <cellStyle name="20% - Accent4 2 2 2 7 2" xfId="13857" xr:uid="{30F90FA1-8BA8-4956-B1C5-9ABBCEAE9F87}"/>
    <cellStyle name="20% - Accent4 2 2 2 8" xfId="9104" xr:uid="{526BE306-22BA-4A85-81B2-34AEB56F0D90}"/>
    <cellStyle name="20% - Accent4 2 2 2 8 2" xfId="18428" xr:uid="{54EF2518-240B-4448-B4D0-B825C0D8B6AC}"/>
    <cellStyle name="20% - Accent4 2 2 2 9" xfId="9640" xr:uid="{B45ABBBB-0485-472E-A3BE-CFBCBF6A5E8D}"/>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16415" xr:uid="{6D4E6D92-D6BC-43D1-9F0B-9A016A302405}"/>
    <cellStyle name="20% - Accent4 2 2 3 2 3" xfId="12198" xr:uid="{752D1A3D-D802-4F5B-B3C8-A8C0B508F0CA}"/>
    <cellStyle name="20% - Accent4 2 2 3 3" xfId="4944" xr:uid="{00000000-0005-0000-0000-0000FB010000}"/>
    <cellStyle name="20% - Accent4 2 2 3 3 2" xfId="14270" xr:uid="{D9D96112-F548-4FF9-A6B6-7E98850DDC77}"/>
    <cellStyle name="20% - Accent4 2 2 3 4" xfId="9322" xr:uid="{003BBE99-27AA-4036-A373-4475953A88F4}"/>
    <cellStyle name="20% - Accent4 2 2 3 4 2" xfId="18637" xr:uid="{720BD474-0530-41A8-A027-1950E08D588A}"/>
    <cellStyle name="20% - Accent4 2 2 3 5" xfId="10053" xr:uid="{C3D06963-2F24-4DB0-ACDF-E31DC0D3A1B8}"/>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16828" xr:uid="{FB96BF27-5BBA-47ED-A4E4-417AEBE92D06}"/>
    <cellStyle name="20% - Accent4 2 2 4 2 3" xfId="12611" xr:uid="{8FEDA03C-2D24-482A-BEDA-40BDEF72F3CB}"/>
    <cellStyle name="20% - Accent4 2 2 4 3" xfId="5357" xr:uid="{00000000-0005-0000-0000-0000FF010000}"/>
    <cellStyle name="20% - Accent4 2 2 4 3 2" xfId="14683" xr:uid="{283131A5-4352-49F7-A257-E1E2AC6BE0E8}"/>
    <cellStyle name="20% - Accent4 2 2 4 4" xfId="10466" xr:uid="{648F5EA5-0625-41B5-8A88-B661334C2140}"/>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17241" xr:uid="{388A5CCA-D455-4B58-8DFF-4051990E656E}"/>
    <cellStyle name="20% - Accent4 2 2 5 2 3" xfId="13024" xr:uid="{FD17454B-64D3-4356-B82F-595BD28B8218}"/>
    <cellStyle name="20% - Accent4 2 2 5 3" xfId="5770" xr:uid="{00000000-0005-0000-0000-000003020000}"/>
    <cellStyle name="20% - Accent4 2 2 5 3 2" xfId="15096" xr:uid="{50F45D99-5478-4EAC-97AB-77C269846954}"/>
    <cellStyle name="20% - Accent4 2 2 5 4" xfId="10879" xr:uid="{6FE22082-7032-4B97-B049-0DB3C1CCC9FE}"/>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17654" xr:uid="{9A296486-421A-412B-BCE3-3EB9F30C46AD}"/>
    <cellStyle name="20% - Accent4 2 2 6 2 3" xfId="13437" xr:uid="{16AA7B33-6C4F-4D16-B0F0-BF8B1DDC4050}"/>
    <cellStyle name="20% - Accent4 2 2 6 3" xfId="6183" xr:uid="{00000000-0005-0000-0000-000007020000}"/>
    <cellStyle name="20% - Accent4 2 2 6 3 2" xfId="15509" xr:uid="{88313BDA-BBD3-4E23-AED4-173785D21B00}"/>
    <cellStyle name="20% - Accent4 2 2 6 4" xfId="11292" xr:uid="{02B8178A-3ED5-45F2-BF9D-D1017C9EF3CD}"/>
    <cellStyle name="20% - Accent4 2 2 7" xfId="2290" xr:uid="{00000000-0005-0000-0000-000008020000}"/>
    <cellStyle name="20% - Accent4 2 2 7 2" xfId="6596" xr:uid="{00000000-0005-0000-0000-000009020000}"/>
    <cellStyle name="20% - Accent4 2 2 7 2 2" xfId="15922" xr:uid="{81347A5F-45E8-40F2-B558-6417AC13F5E1}"/>
    <cellStyle name="20% - Accent4 2 2 7 3" xfId="11705" xr:uid="{36CC487F-FD09-483F-82D5-EAE683BFE659}"/>
    <cellStyle name="20% - Accent4 2 2 8" xfId="4530" xr:uid="{00000000-0005-0000-0000-00000A020000}"/>
    <cellStyle name="20% - Accent4 2 2 8 2" xfId="13856" xr:uid="{3451555C-73BD-471D-89BA-108470203BDC}"/>
    <cellStyle name="20% - Accent4 2 2 9" xfId="8897" xr:uid="{3A58A73C-0193-4EAC-8E12-5BF8743CE9BA}"/>
    <cellStyle name="20% - Accent4 2 2 9 2" xfId="18221" xr:uid="{5444A0D0-4C23-472E-989E-B4CBAD737A17}"/>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16417" xr:uid="{4347FC67-C5E0-4F55-A9C9-0663241ACE75}"/>
    <cellStyle name="20% - Accent4 2 3 2 2 3" xfId="12200" xr:uid="{10E659B0-3E44-4DF7-8062-5F7C6B337B88}"/>
    <cellStyle name="20% - Accent4 2 3 2 3" xfId="4946" xr:uid="{00000000-0005-0000-0000-00000F020000}"/>
    <cellStyle name="20% - Accent4 2 3 2 3 2" xfId="14272" xr:uid="{6875357D-5637-4449-AB6A-96BB80C59EA7}"/>
    <cellStyle name="20% - Accent4 2 3 2 4" xfId="9426" xr:uid="{5B247D51-FBFD-4799-8395-E3F1C04297B8}"/>
    <cellStyle name="20% - Accent4 2 3 2 4 2" xfId="18741" xr:uid="{E99907DA-70A3-466F-A3A9-70A3DF56E40E}"/>
    <cellStyle name="20% - Accent4 2 3 2 5" xfId="10055" xr:uid="{B68AF5EF-65F2-45AC-8DE3-8B7F41221961}"/>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16830" xr:uid="{E826C4D5-C8F3-4628-93DF-BE724A8D30E4}"/>
    <cellStyle name="20% - Accent4 2 3 3 2 3" xfId="12613" xr:uid="{FE6B9CE7-42BB-4BC2-8E65-FE0C36CF546A}"/>
    <cellStyle name="20% - Accent4 2 3 3 3" xfId="5359" xr:uid="{00000000-0005-0000-0000-000013020000}"/>
    <cellStyle name="20% - Accent4 2 3 3 3 2" xfId="14685" xr:uid="{57F30AB9-7E59-4B46-A413-2DF187C95CF8}"/>
    <cellStyle name="20% - Accent4 2 3 3 4" xfId="10468" xr:uid="{B1F5E4D4-6C77-4433-B484-FC30C214C1C2}"/>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17243" xr:uid="{199C4734-D997-4F46-9FBE-6B09E21A087A}"/>
    <cellStyle name="20% - Accent4 2 3 4 2 3" xfId="13026" xr:uid="{73AE338D-08BA-4088-9C8D-E9B371A4CFD9}"/>
    <cellStyle name="20% - Accent4 2 3 4 3" xfId="5772" xr:uid="{00000000-0005-0000-0000-000017020000}"/>
    <cellStyle name="20% - Accent4 2 3 4 3 2" xfId="15098" xr:uid="{43BD7A93-9003-4CDF-8C8E-89BF045554B7}"/>
    <cellStyle name="20% - Accent4 2 3 4 4" xfId="10881" xr:uid="{4AEF2B00-7B83-4CCE-8882-043B3FD24583}"/>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17656" xr:uid="{256B5757-62B5-40C3-B589-8DDFB530DEC1}"/>
    <cellStyle name="20% - Accent4 2 3 5 2 3" xfId="13439" xr:uid="{D39F9CDA-F8EF-4764-8A56-172787C92CE0}"/>
    <cellStyle name="20% - Accent4 2 3 5 3" xfId="6185" xr:uid="{00000000-0005-0000-0000-00001B020000}"/>
    <cellStyle name="20% - Accent4 2 3 5 3 2" xfId="15511" xr:uid="{9DA1B78E-AFDD-4463-8202-3811EE973484}"/>
    <cellStyle name="20% - Accent4 2 3 5 4" xfId="11294" xr:uid="{B39EB331-7932-497D-9FEF-DE0F8E0618CB}"/>
    <cellStyle name="20% - Accent4 2 3 6" xfId="2292" xr:uid="{00000000-0005-0000-0000-00001C020000}"/>
    <cellStyle name="20% - Accent4 2 3 6 2" xfId="6598" xr:uid="{00000000-0005-0000-0000-00001D020000}"/>
    <cellStyle name="20% - Accent4 2 3 6 2 2" xfId="15924" xr:uid="{4E7D5601-8107-472D-9BF8-A4B82125239E}"/>
    <cellStyle name="20% - Accent4 2 3 6 3" xfId="11707" xr:uid="{E72F8C62-A40C-40DB-9409-68367BF35650}"/>
    <cellStyle name="20% - Accent4 2 3 7" xfId="4532" xr:uid="{00000000-0005-0000-0000-00001E020000}"/>
    <cellStyle name="20% - Accent4 2 3 7 2" xfId="13858" xr:uid="{47318AF9-8234-4195-9F66-19507EB3438A}"/>
    <cellStyle name="20% - Accent4 2 3 8" xfId="9001" xr:uid="{B9DE6BBA-06E2-4FC8-B645-F20E60244072}"/>
    <cellStyle name="20% - Accent4 2 3 8 2" xfId="18325" xr:uid="{3483CC30-638F-4233-A092-3B84CA9BE62E}"/>
    <cellStyle name="20% - Accent4 2 3 9" xfId="9641" xr:uid="{B52DCAA3-5755-469B-9F3C-3B3171719EFE}"/>
    <cellStyle name="20% - Accent4 2 4" xfId="595" xr:uid="{00000000-0005-0000-0000-00001F020000}"/>
    <cellStyle name="20% - Accent4 2 4 2" xfId="2866" xr:uid="{00000000-0005-0000-0000-000020020000}"/>
    <cellStyle name="20% - Accent4 2 4 2 2" xfId="7088" xr:uid="{00000000-0005-0000-0000-000021020000}"/>
    <cellStyle name="20% - Accent4 2 4 2 2 2" xfId="16414" xr:uid="{4105308E-E487-4879-A927-35FD2CF77882}"/>
    <cellStyle name="20% - Accent4 2 4 2 3" xfId="12197" xr:uid="{3C435666-C534-4FD1-86E7-EA7489E87F63}"/>
    <cellStyle name="20% - Accent4 2 4 3" xfId="4943" xr:uid="{00000000-0005-0000-0000-000022020000}"/>
    <cellStyle name="20% - Accent4 2 4 3 2" xfId="14269" xr:uid="{B4961A03-1B86-427F-BE06-11BCAF37404E}"/>
    <cellStyle name="20% - Accent4 2 4 4" xfId="9218" xr:uid="{EEA9CEE5-7B27-41EB-B571-13D0ADC44445}"/>
    <cellStyle name="20% - Accent4 2 4 4 2" xfId="18534" xr:uid="{8D2ABC20-CEFE-48A4-A7F7-7AE435945586}"/>
    <cellStyle name="20% - Accent4 2 4 5" xfId="10052" xr:uid="{0E20D0C4-7B3A-4137-8AA5-675F06B93252}"/>
    <cellStyle name="20% - Accent4 2 5" xfId="1048" xr:uid="{00000000-0005-0000-0000-000023020000}"/>
    <cellStyle name="20% - Accent4 2 5 2" xfId="3279" xr:uid="{00000000-0005-0000-0000-000024020000}"/>
    <cellStyle name="20% - Accent4 2 5 2 2" xfId="7501" xr:uid="{00000000-0005-0000-0000-000025020000}"/>
    <cellStyle name="20% - Accent4 2 5 2 2 2" xfId="16827" xr:uid="{B9265E09-ECE7-4CAB-B0A6-85DB0615D4B9}"/>
    <cellStyle name="20% - Accent4 2 5 2 3" xfId="12610" xr:uid="{30724103-1A9C-496F-A1DB-B0CBB7992A5F}"/>
    <cellStyle name="20% - Accent4 2 5 3" xfId="5356" xr:uid="{00000000-0005-0000-0000-000026020000}"/>
    <cellStyle name="20% - Accent4 2 5 3 2" xfId="14682" xr:uid="{25DBBDA9-060F-44D0-BE6E-F53730E932DD}"/>
    <cellStyle name="20% - Accent4 2 5 4" xfId="10465" xr:uid="{E18BC37F-ED88-4F50-8A74-114DCBCB1E7D}"/>
    <cellStyle name="20% - Accent4 2 6" xfId="1462" xr:uid="{00000000-0005-0000-0000-000027020000}"/>
    <cellStyle name="20% - Accent4 2 6 2" xfId="3692" xr:uid="{00000000-0005-0000-0000-000028020000}"/>
    <cellStyle name="20% - Accent4 2 6 2 2" xfId="7914" xr:uid="{00000000-0005-0000-0000-000029020000}"/>
    <cellStyle name="20% - Accent4 2 6 2 2 2" xfId="17240" xr:uid="{3B3E3BA8-54DF-45F4-A0BC-839E71779B21}"/>
    <cellStyle name="20% - Accent4 2 6 2 3" xfId="13023" xr:uid="{46FEEF46-BBE0-4B26-913F-AE947997ECEF}"/>
    <cellStyle name="20% - Accent4 2 6 3" xfId="5769" xr:uid="{00000000-0005-0000-0000-00002A020000}"/>
    <cellStyle name="20% - Accent4 2 6 3 2" xfId="15095" xr:uid="{542D338D-DEBC-44ED-BCE3-FEDA2C156BB8}"/>
    <cellStyle name="20% - Accent4 2 6 4" xfId="10878" xr:uid="{D30DA598-08FE-4AF7-9FCA-D58F16601603}"/>
    <cellStyle name="20% - Accent4 2 7" xfId="1876" xr:uid="{00000000-0005-0000-0000-00002B020000}"/>
    <cellStyle name="20% - Accent4 2 7 2" xfId="4105" xr:uid="{00000000-0005-0000-0000-00002C020000}"/>
    <cellStyle name="20% - Accent4 2 7 2 2" xfId="8327" xr:uid="{00000000-0005-0000-0000-00002D020000}"/>
    <cellStyle name="20% - Accent4 2 7 2 2 2" xfId="17653" xr:uid="{6CE0245D-9424-4B0D-A99A-E7D4B66D5100}"/>
    <cellStyle name="20% - Accent4 2 7 2 3" xfId="13436" xr:uid="{1700B98F-3C36-4230-9C7D-57528370D626}"/>
    <cellStyle name="20% - Accent4 2 7 3" xfId="6182" xr:uid="{00000000-0005-0000-0000-00002E020000}"/>
    <cellStyle name="20% - Accent4 2 7 3 2" xfId="15508" xr:uid="{97B88F9E-2844-49D2-87E1-B709F7455C60}"/>
    <cellStyle name="20% - Accent4 2 7 4" xfId="11291" xr:uid="{4F71F9C8-E1B2-4789-916E-AC2017EA8728}"/>
    <cellStyle name="20% - Accent4 2 8" xfId="2289" xr:uid="{00000000-0005-0000-0000-00002F020000}"/>
    <cellStyle name="20% - Accent4 2 8 2" xfId="6595" xr:uid="{00000000-0005-0000-0000-000030020000}"/>
    <cellStyle name="20% - Accent4 2 8 2 2" xfId="15921" xr:uid="{5D204F3B-FE89-4165-92F7-88304DE51523}"/>
    <cellStyle name="20% - Accent4 2 8 3" xfId="11704" xr:uid="{4A6E171C-A742-4865-8E15-4654307C9E05}"/>
    <cellStyle name="20% - Accent4 2 9" xfId="4529" xr:uid="{00000000-0005-0000-0000-000031020000}"/>
    <cellStyle name="20% - Accent4 2 9 2" xfId="13855" xr:uid="{A919D58A-DF0B-4084-91BF-0B6C13AFA64C}"/>
    <cellStyle name="20% - Accent4 3" xfId="30" xr:uid="{00000000-0005-0000-0000-000032020000}"/>
    <cellStyle name="20% - Accent4 3 10" xfId="9642" xr:uid="{92A96D29-F9B0-4A04-9599-7B87182B2F8B}"/>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16419" xr:uid="{138C784C-365B-4929-94F8-E14DF684195F}"/>
    <cellStyle name="20% - Accent4 3 2 2 2 3" xfId="12202" xr:uid="{7D1284E4-CAD0-4676-88A7-9F21ECB577B2}"/>
    <cellStyle name="20% - Accent4 3 2 2 3" xfId="4948" xr:uid="{00000000-0005-0000-0000-000037020000}"/>
    <cellStyle name="20% - Accent4 3 2 2 3 2" xfId="14274" xr:uid="{6E71648E-4E17-4B67-8E8D-9690D0C94E50}"/>
    <cellStyle name="20% - Accent4 3 2 2 4" xfId="9499" xr:uid="{019308F4-938B-408B-A627-483AF94276A0}"/>
    <cellStyle name="20% - Accent4 3 2 2 4 2" xfId="18814" xr:uid="{ABD04930-4357-44D7-8EDF-6E24C3744CE0}"/>
    <cellStyle name="20% - Accent4 3 2 2 5" xfId="10057" xr:uid="{27C70B5D-BB94-4202-9835-BB9B840E6A3D}"/>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16832" xr:uid="{E1A9DFA0-419A-427F-8CB3-BE14A43C1885}"/>
    <cellStyle name="20% - Accent4 3 2 3 2 3" xfId="12615" xr:uid="{CC11B7BB-44B2-4FEC-BE75-BE4D4368C74F}"/>
    <cellStyle name="20% - Accent4 3 2 3 3" xfId="5361" xr:uid="{00000000-0005-0000-0000-00003B020000}"/>
    <cellStyle name="20% - Accent4 3 2 3 3 2" xfId="14687" xr:uid="{64104D31-7613-4663-AEFE-5086E17B49C1}"/>
    <cellStyle name="20% - Accent4 3 2 3 4" xfId="10470" xr:uid="{BF9D304F-237F-4149-BB46-A1D8488033FD}"/>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17245" xr:uid="{1A3D4211-B40F-47AB-99DB-62E9FFF29E0D}"/>
    <cellStyle name="20% - Accent4 3 2 4 2 3" xfId="13028" xr:uid="{AFD58E50-06DA-49AB-973B-05D3B7BAC58E}"/>
    <cellStyle name="20% - Accent4 3 2 4 3" xfId="5774" xr:uid="{00000000-0005-0000-0000-00003F020000}"/>
    <cellStyle name="20% - Accent4 3 2 4 3 2" xfId="15100" xr:uid="{11CB2B97-FBC2-41D9-B548-F894E5F29D1D}"/>
    <cellStyle name="20% - Accent4 3 2 4 4" xfId="10883" xr:uid="{729577D5-8E03-4C20-AAF7-BA25284E6836}"/>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17658" xr:uid="{46DD6246-4B2B-4E3C-BE1D-AD9F17BC93D2}"/>
    <cellStyle name="20% - Accent4 3 2 5 2 3" xfId="13441" xr:uid="{FE130C92-B516-4BC0-AD10-961F03A0FA13}"/>
    <cellStyle name="20% - Accent4 3 2 5 3" xfId="6187" xr:uid="{00000000-0005-0000-0000-000043020000}"/>
    <cellStyle name="20% - Accent4 3 2 5 3 2" xfId="15513" xr:uid="{28401CEC-98BD-4DFF-A88A-9E6BEEC26679}"/>
    <cellStyle name="20% - Accent4 3 2 5 4" xfId="11296" xr:uid="{69FA7938-90BA-4E6F-9EED-27D8810D1DA4}"/>
    <cellStyle name="20% - Accent4 3 2 6" xfId="2294" xr:uid="{00000000-0005-0000-0000-000044020000}"/>
    <cellStyle name="20% - Accent4 3 2 6 2" xfId="6600" xr:uid="{00000000-0005-0000-0000-000045020000}"/>
    <cellStyle name="20% - Accent4 3 2 6 2 2" xfId="15926" xr:uid="{3B029528-5A15-42EE-9BF9-6C7AE07FDA56}"/>
    <cellStyle name="20% - Accent4 3 2 6 3" xfId="11709" xr:uid="{8319E6B7-A617-4E7B-8A37-BA96E9E2CA83}"/>
    <cellStyle name="20% - Accent4 3 2 7" xfId="4534" xr:uid="{00000000-0005-0000-0000-000046020000}"/>
    <cellStyle name="20% - Accent4 3 2 7 2" xfId="13860" xr:uid="{864C5244-3F69-416F-B055-D83D60FDABA1}"/>
    <cellStyle name="20% - Accent4 3 2 8" xfId="9074" xr:uid="{BA25EAA8-2B5F-4309-91A3-FC61FCEF209C}"/>
    <cellStyle name="20% - Accent4 3 2 8 2" xfId="18398" xr:uid="{5D7A95E7-4EE5-400A-8EE9-85C36218165C}"/>
    <cellStyle name="20% - Accent4 3 2 9" xfId="9643" xr:uid="{E7D867F1-A25A-4F89-85EF-B14887B88333}"/>
    <cellStyle name="20% - Accent4 3 3" xfId="599" xr:uid="{00000000-0005-0000-0000-000047020000}"/>
    <cellStyle name="20% - Accent4 3 3 2" xfId="2870" xr:uid="{00000000-0005-0000-0000-000048020000}"/>
    <cellStyle name="20% - Accent4 3 3 2 2" xfId="7092" xr:uid="{00000000-0005-0000-0000-000049020000}"/>
    <cellStyle name="20% - Accent4 3 3 2 2 2" xfId="16418" xr:uid="{375AD73D-6A51-4E6A-A5B5-13A8ABA33CA4}"/>
    <cellStyle name="20% - Accent4 3 3 2 3" xfId="12201" xr:uid="{2E0091E2-983C-474F-9A91-196D02F8BFED}"/>
    <cellStyle name="20% - Accent4 3 3 3" xfId="4947" xr:uid="{00000000-0005-0000-0000-00004A020000}"/>
    <cellStyle name="20% - Accent4 3 3 3 2" xfId="14273" xr:uid="{5F90997B-1471-4485-A5E9-41AF5E2479C8}"/>
    <cellStyle name="20% - Accent4 3 3 4" xfId="9292" xr:uid="{E33AB5E9-A8F9-45CB-AD95-0E461E901C30}"/>
    <cellStyle name="20% - Accent4 3 3 4 2" xfId="18607" xr:uid="{78C71AAE-9998-4141-9E99-54A52BDB4A8E}"/>
    <cellStyle name="20% - Accent4 3 3 5" xfId="10056" xr:uid="{C286B146-7A42-496E-A6E1-32FE39E6AC44}"/>
    <cellStyle name="20% - Accent4 3 4" xfId="1052" xr:uid="{00000000-0005-0000-0000-00004B020000}"/>
    <cellStyle name="20% - Accent4 3 4 2" xfId="3283" xr:uid="{00000000-0005-0000-0000-00004C020000}"/>
    <cellStyle name="20% - Accent4 3 4 2 2" xfId="7505" xr:uid="{00000000-0005-0000-0000-00004D020000}"/>
    <cellStyle name="20% - Accent4 3 4 2 2 2" xfId="16831" xr:uid="{A281A0A4-3498-46E7-A1D5-7B2957014244}"/>
    <cellStyle name="20% - Accent4 3 4 2 3" xfId="12614" xr:uid="{1F7BB8C9-3D2D-4CE9-A958-BE4A0A7D88B0}"/>
    <cellStyle name="20% - Accent4 3 4 3" xfId="5360" xr:uid="{00000000-0005-0000-0000-00004E020000}"/>
    <cellStyle name="20% - Accent4 3 4 3 2" xfId="14686" xr:uid="{BB89927E-ABFA-4694-8B6B-6A84C34EB90D}"/>
    <cellStyle name="20% - Accent4 3 4 4" xfId="10469" xr:uid="{D71F0E3D-87E5-429C-829E-C1D6285CFB94}"/>
    <cellStyle name="20% - Accent4 3 5" xfId="1466" xr:uid="{00000000-0005-0000-0000-00004F020000}"/>
    <cellStyle name="20% - Accent4 3 5 2" xfId="3696" xr:uid="{00000000-0005-0000-0000-000050020000}"/>
    <cellStyle name="20% - Accent4 3 5 2 2" xfId="7918" xr:uid="{00000000-0005-0000-0000-000051020000}"/>
    <cellStyle name="20% - Accent4 3 5 2 2 2" xfId="17244" xr:uid="{20ACCE35-CFA0-4380-ACD8-B0F38BBF3D9F}"/>
    <cellStyle name="20% - Accent4 3 5 2 3" xfId="13027" xr:uid="{4B951652-6899-454A-AE88-78C3D8C03A5F}"/>
    <cellStyle name="20% - Accent4 3 5 3" xfId="5773" xr:uid="{00000000-0005-0000-0000-000052020000}"/>
    <cellStyle name="20% - Accent4 3 5 3 2" xfId="15099" xr:uid="{EE36AAC6-86F8-4118-9768-F1D15F0AEE08}"/>
    <cellStyle name="20% - Accent4 3 5 4" xfId="10882" xr:uid="{42DD207A-0DF7-4357-8E49-46741596B1B3}"/>
    <cellStyle name="20% - Accent4 3 6" xfId="1880" xr:uid="{00000000-0005-0000-0000-000053020000}"/>
    <cellStyle name="20% - Accent4 3 6 2" xfId="4109" xr:uid="{00000000-0005-0000-0000-000054020000}"/>
    <cellStyle name="20% - Accent4 3 6 2 2" xfId="8331" xr:uid="{00000000-0005-0000-0000-000055020000}"/>
    <cellStyle name="20% - Accent4 3 6 2 2 2" xfId="17657" xr:uid="{4FAD56BF-7884-4B14-AEEA-82F5A393E323}"/>
    <cellStyle name="20% - Accent4 3 6 2 3" xfId="13440" xr:uid="{20B22605-B9CC-424A-B6C7-B161BDA82EC2}"/>
    <cellStyle name="20% - Accent4 3 6 3" xfId="6186" xr:uid="{00000000-0005-0000-0000-000056020000}"/>
    <cellStyle name="20% - Accent4 3 6 3 2" xfId="15512" xr:uid="{CC446892-CA87-4EEB-B1A0-811108B8D852}"/>
    <cellStyle name="20% - Accent4 3 6 4" xfId="11295" xr:uid="{52DF579B-0AA4-44CD-BE5A-944953877A6C}"/>
    <cellStyle name="20% - Accent4 3 7" xfId="2293" xr:uid="{00000000-0005-0000-0000-000057020000}"/>
    <cellStyle name="20% - Accent4 3 7 2" xfId="6599" xr:uid="{00000000-0005-0000-0000-000058020000}"/>
    <cellStyle name="20% - Accent4 3 7 2 2" xfId="15925" xr:uid="{2B84A1A5-1A4C-41F2-A463-E76E03F78924}"/>
    <cellStyle name="20% - Accent4 3 7 3" xfId="11708" xr:uid="{9D4F63FC-C20C-4F4A-913E-05253D62E9E7}"/>
    <cellStyle name="20% - Accent4 3 8" xfId="4533" xr:uid="{00000000-0005-0000-0000-000059020000}"/>
    <cellStyle name="20% - Accent4 3 8 2" xfId="13859" xr:uid="{B24418E8-C5F8-4674-8215-7CA0825A1622}"/>
    <cellStyle name="20% - Accent4 3 9" xfId="8867" xr:uid="{27FB4CEF-7F56-4AEC-B5AC-6B6A1477FBD8}"/>
    <cellStyle name="20% - Accent4 3 9 2" xfId="18191" xr:uid="{302E4CB2-8D18-4ACE-8E10-466DF839A8CD}"/>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2 2 2" xfId="16420" xr:uid="{0CEDD0EA-0CB9-4704-B95C-401899594774}"/>
    <cellStyle name="20% - Accent4 4 2 2 3" xfId="12203" xr:uid="{E0C5BB46-6A5C-48A6-9AD2-681E1E92B02C}"/>
    <cellStyle name="20% - Accent4 4 2 3" xfId="4949" xr:uid="{00000000-0005-0000-0000-00005E020000}"/>
    <cellStyle name="20% - Accent4 4 2 3 2" xfId="14275" xr:uid="{18F18105-5501-47CC-8F68-E70695E5D1B6}"/>
    <cellStyle name="20% - Accent4 4 2 4" xfId="9378" xr:uid="{761B3D4A-2751-4646-8A50-05A0DD408525}"/>
    <cellStyle name="20% - Accent4 4 2 4 2" xfId="18693" xr:uid="{C06C238B-DD4C-48EA-B70F-2AE67DDB47B9}"/>
    <cellStyle name="20% - Accent4 4 2 5" xfId="10058" xr:uid="{30ADB3FB-862F-44F2-AD2E-F9CA75CF0469}"/>
    <cellStyle name="20% - Accent4 4 3" xfId="1054" xr:uid="{00000000-0005-0000-0000-00005F020000}"/>
    <cellStyle name="20% - Accent4 4 3 2" xfId="3285" xr:uid="{00000000-0005-0000-0000-000060020000}"/>
    <cellStyle name="20% - Accent4 4 3 2 2" xfId="7507" xr:uid="{00000000-0005-0000-0000-000061020000}"/>
    <cellStyle name="20% - Accent4 4 3 2 2 2" xfId="16833" xr:uid="{60A73E1E-0F98-42E4-92E8-CEE93DD41977}"/>
    <cellStyle name="20% - Accent4 4 3 2 3" xfId="12616" xr:uid="{F2A791DF-5069-45B1-939D-FCAECD5F92D4}"/>
    <cellStyle name="20% - Accent4 4 3 3" xfId="5362" xr:uid="{00000000-0005-0000-0000-000062020000}"/>
    <cellStyle name="20% - Accent4 4 3 3 2" xfId="14688" xr:uid="{9E423F5E-8302-469B-8D0C-5265AB58151A}"/>
    <cellStyle name="20% - Accent4 4 3 4" xfId="10471" xr:uid="{BE8B787B-9ADF-4BDF-8991-D31493B958F2}"/>
    <cellStyle name="20% - Accent4 4 4" xfId="1468" xr:uid="{00000000-0005-0000-0000-000063020000}"/>
    <cellStyle name="20% - Accent4 4 4 2" xfId="3698" xr:uid="{00000000-0005-0000-0000-000064020000}"/>
    <cellStyle name="20% - Accent4 4 4 2 2" xfId="7920" xr:uid="{00000000-0005-0000-0000-000065020000}"/>
    <cellStyle name="20% - Accent4 4 4 2 2 2" xfId="17246" xr:uid="{992F22E0-5F5E-4719-B48F-15A8701F435C}"/>
    <cellStyle name="20% - Accent4 4 4 2 3" xfId="13029" xr:uid="{C6F5460F-7565-4C6F-98C2-FFAE9669E5D5}"/>
    <cellStyle name="20% - Accent4 4 4 3" xfId="5775" xr:uid="{00000000-0005-0000-0000-000066020000}"/>
    <cellStyle name="20% - Accent4 4 4 3 2" xfId="15101" xr:uid="{7A0F9FF6-2A48-4887-A062-09F2E3CD7677}"/>
    <cellStyle name="20% - Accent4 4 4 4" xfId="10884" xr:uid="{B5A16B92-1CE6-4863-B8B3-7810AC5C5FEB}"/>
    <cellStyle name="20% - Accent4 4 5" xfId="1882" xr:uid="{00000000-0005-0000-0000-000067020000}"/>
    <cellStyle name="20% - Accent4 4 5 2" xfId="4111" xr:uid="{00000000-0005-0000-0000-000068020000}"/>
    <cellStyle name="20% - Accent4 4 5 2 2" xfId="8333" xr:uid="{00000000-0005-0000-0000-000069020000}"/>
    <cellStyle name="20% - Accent4 4 5 2 2 2" xfId="17659" xr:uid="{96578C3E-F433-4B80-8BEA-C0B9D77AFE40}"/>
    <cellStyle name="20% - Accent4 4 5 2 3" xfId="13442" xr:uid="{D6E21623-53F5-4190-B3DA-81E1308E3A8C}"/>
    <cellStyle name="20% - Accent4 4 5 3" xfId="6188" xr:uid="{00000000-0005-0000-0000-00006A020000}"/>
    <cellStyle name="20% - Accent4 4 5 3 2" xfId="15514" xr:uid="{A88C4E97-AC89-4595-9054-5A4BE7CA9FA5}"/>
    <cellStyle name="20% - Accent4 4 5 4" xfId="11297" xr:uid="{E6B77A4B-0BD1-4360-A6D0-A35351960199}"/>
    <cellStyle name="20% - Accent4 4 6" xfId="2295" xr:uid="{00000000-0005-0000-0000-00006B020000}"/>
    <cellStyle name="20% - Accent4 4 6 2" xfId="6601" xr:uid="{00000000-0005-0000-0000-00006C020000}"/>
    <cellStyle name="20% - Accent4 4 6 2 2" xfId="15927" xr:uid="{F4E0C52E-7776-4AE1-8043-9D29BCDA7E66}"/>
    <cellStyle name="20% - Accent4 4 6 3" xfId="11710" xr:uid="{F58C7790-923F-4BDA-B1B4-657D51922193}"/>
    <cellStyle name="20% - Accent4 4 7" xfId="4535" xr:uid="{00000000-0005-0000-0000-00006D020000}"/>
    <cellStyle name="20% - Accent4 4 7 2" xfId="13861" xr:uid="{EA00985B-1483-4487-9F4B-4C4A4FAAED51}"/>
    <cellStyle name="20% - Accent4 4 8" xfId="8953" xr:uid="{66D1590A-BB3A-4B79-BA94-169F97E79370}"/>
    <cellStyle name="20% - Accent4 4 8 2" xfId="18277" xr:uid="{525D32C4-7028-4FCE-9F9F-732054B91E95}"/>
    <cellStyle name="20% - Accent4 4 9" xfId="9644" xr:uid="{566B0CA3-3B04-4E8F-9A75-DA5FFBB9BAEE}"/>
    <cellStyle name="20% - Accent4 5" xfId="594" xr:uid="{00000000-0005-0000-0000-00006E020000}"/>
    <cellStyle name="20% - Accent4 5 2" xfId="2865" xr:uid="{00000000-0005-0000-0000-00006F020000}"/>
    <cellStyle name="20% - Accent4 5 2 2" xfId="7087" xr:uid="{00000000-0005-0000-0000-000070020000}"/>
    <cellStyle name="20% - Accent4 5 2 2 2" xfId="16413" xr:uid="{1A914D97-A29E-44F3-8C96-9545FB39BA5F}"/>
    <cellStyle name="20% - Accent4 5 2 3" xfId="12196" xr:uid="{23E0DDD7-A8EF-4C6C-B0B3-1D2A5D6CED80}"/>
    <cellStyle name="20% - Accent4 5 3" xfId="4942" xr:uid="{00000000-0005-0000-0000-000071020000}"/>
    <cellStyle name="20% - Accent4 5 3 2" xfId="14268" xr:uid="{E6E9FD19-4AE6-477E-867B-EA5B9486354D}"/>
    <cellStyle name="20% - Accent4 5 4" xfId="9186" xr:uid="{E62ED282-F767-404B-ADA1-4F8E5B4D01EB}"/>
    <cellStyle name="20% - Accent4 5 4 2" xfId="18504" xr:uid="{C76D45C4-9527-43A6-A2B5-94E481697E95}"/>
    <cellStyle name="20% - Accent4 5 5" xfId="10051" xr:uid="{0DA052EE-7D1D-4A31-B35E-89D0264186A1}"/>
    <cellStyle name="20% - Accent4 6" xfId="1047" xr:uid="{00000000-0005-0000-0000-000072020000}"/>
    <cellStyle name="20% - Accent4 6 2" xfId="3278" xr:uid="{00000000-0005-0000-0000-000073020000}"/>
    <cellStyle name="20% - Accent4 6 2 2" xfId="7500" xr:uid="{00000000-0005-0000-0000-000074020000}"/>
    <cellStyle name="20% - Accent4 6 2 2 2" xfId="16826" xr:uid="{AE74E329-942B-4DCA-B000-802207C10304}"/>
    <cellStyle name="20% - Accent4 6 2 3" xfId="12609" xr:uid="{547407AB-227E-4D7A-979C-B72FACC83965}"/>
    <cellStyle name="20% - Accent4 6 3" xfId="5355" xr:uid="{00000000-0005-0000-0000-000075020000}"/>
    <cellStyle name="20% - Accent4 6 3 2" xfId="14681" xr:uid="{8E3E7208-2EB7-4DB0-A141-7B9EDFDD952C}"/>
    <cellStyle name="20% - Accent4 6 4" xfId="10464" xr:uid="{7BC44201-6923-4B59-BC98-A682BF90B4E6}"/>
    <cellStyle name="20% - Accent4 7" xfId="1461" xr:uid="{00000000-0005-0000-0000-000076020000}"/>
    <cellStyle name="20% - Accent4 7 2" xfId="3691" xr:uid="{00000000-0005-0000-0000-000077020000}"/>
    <cellStyle name="20% - Accent4 7 2 2" xfId="7913" xr:uid="{00000000-0005-0000-0000-000078020000}"/>
    <cellStyle name="20% - Accent4 7 2 2 2" xfId="17239" xr:uid="{653674B8-77BC-489C-B5E4-285B142D15F6}"/>
    <cellStyle name="20% - Accent4 7 2 3" xfId="13022" xr:uid="{66EFAA45-5CB9-4ACE-92EC-AF2FF7C29539}"/>
    <cellStyle name="20% - Accent4 7 3" xfId="5768" xr:uid="{00000000-0005-0000-0000-000079020000}"/>
    <cellStyle name="20% - Accent4 7 3 2" xfId="15094" xr:uid="{80EABF8E-6CD1-4AB2-8B5A-E7E91E64CFD3}"/>
    <cellStyle name="20% - Accent4 7 4" xfId="10877" xr:uid="{5A2E3DA6-A8ED-4B3E-880F-B0F971FD9B92}"/>
    <cellStyle name="20% - Accent4 8" xfId="1875" xr:uid="{00000000-0005-0000-0000-00007A020000}"/>
    <cellStyle name="20% - Accent4 8 2" xfId="4104" xr:uid="{00000000-0005-0000-0000-00007B020000}"/>
    <cellStyle name="20% - Accent4 8 2 2" xfId="8326" xr:uid="{00000000-0005-0000-0000-00007C020000}"/>
    <cellStyle name="20% - Accent4 8 2 2 2" xfId="17652" xr:uid="{8F8EF1D0-F001-4616-90C1-FB77A638DA36}"/>
    <cellStyle name="20% - Accent4 8 2 3" xfId="13435" xr:uid="{0A0E6E8B-EC4E-48DB-8A42-35188F84D0B4}"/>
    <cellStyle name="20% - Accent4 8 3" xfId="6181" xr:uid="{00000000-0005-0000-0000-00007D020000}"/>
    <cellStyle name="20% - Accent4 8 3 2" xfId="15507" xr:uid="{1B882E58-2D04-46BB-A6A7-3F62F8948AD9}"/>
    <cellStyle name="20% - Accent4 8 4" xfId="11290" xr:uid="{4A9EA43F-D967-40B8-8E2E-30816BB56684}"/>
    <cellStyle name="20% - Accent4 9" xfId="2288" xr:uid="{00000000-0005-0000-0000-00007E020000}"/>
    <cellStyle name="20% - Accent4 9 2" xfId="6594" xr:uid="{00000000-0005-0000-0000-00007F020000}"/>
    <cellStyle name="20% - Accent4 9 2 2" xfId="15920" xr:uid="{93531505-0814-447A-8AA5-E32841940CF5}"/>
    <cellStyle name="20% - Accent4 9 3" xfId="11703" xr:uid="{2B751D33-9E2C-4AAF-8618-15582EAE9C96}"/>
    <cellStyle name="20% - Accent5" xfId="33" builtinId="46" customBuiltin="1"/>
    <cellStyle name="20% - Accent5 10" xfId="4536" xr:uid="{00000000-0005-0000-0000-000081020000}"/>
    <cellStyle name="20% - Accent5 10 2" xfId="13862" xr:uid="{8A1BC4FA-D6D8-48DB-A78A-A1FFBE84A83B}"/>
    <cellStyle name="20% - Accent5 11" xfId="8766" xr:uid="{A87C980D-48BC-4AA3-98F7-53B2F02F228C}"/>
    <cellStyle name="20% - Accent5 11 2" xfId="18090" xr:uid="{DCD72AE0-E084-4426-8173-C8D71C227F15}"/>
    <cellStyle name="20% - Accent5 12" xfId="9645" xr:uid="{7829FBC5-6994-4EE9-B318-34A481A1779C}"/>
    <cellStyle name="20% - Accent5 2" xfId="34" xr:uid="{00000000-0005-0000-0000-000082020000}"/>
    <cellStyle name="20% - Accent5 2 10" xfId="8796" xr:uid="{5BBF4372-A7B1-47A0-AC3D-4A60EDC1A5F8}"/>
    <cellStyle name="20% - Accent5 2 10 2" xfId="18120" xr:uid="{782385E8-4E1C-4DDD-A2D4-2BE65A5E8B64}"/>
    <cellStyle name="20% - Accent5 2 11" xfId="9646" xr:uid="{0C1D5A03-195E-48E0-8CA5-C4891E87281E}"/>
    <cellStyle name="20% - Accent5 2 2" xfId="35" xr:uid="{00000000-0005-0000-0000-000083020000}"/>
    <cellStyle name="20% - Accent5 2 2 10" xfId="9647" xr:uid="{77219775-DF35-4086-B612-E5A91792C954}"/>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16424" xr:uid="{0BACA4EE-F6B1-4D02-A70D-46580CB97AAC}"/>
    <cellStyle name="20% - Accent5 2 2 2 2 2 3" xfId="12207" xr:uid="{FBCE552E-DD71-44D5-853C-65100BE24CC4}"/>
    <cellStyle name="20% - Accent5 2 2 2 2 3" xfId="4953" xr:uid="{00000000-0005-0000-0000-000088020000}"/>
    <cellStyle name="20% - Accent5 2 2 2 2 3 2" xfId="14279" xr:uid="{BF948319-1A7A-4293-BB77-D46D3EC2D00B}"/>
    <cellStyle name="20% - Accent5 2 2 2 2 4" xfId="9531" xr:uid="{5DC5F027-F767-49FB-B9DE-2ACABCF8AC5A}"/>
    <cellStyle name="20% - Accent5 2 2 2 2 4 2" xfId="18846" xr:uid="{A0DB8A24-AD2F-4304-B751-D3C9A3B61267}"/>
    <cellStyle name="20% - Accent5 2 2 2 2 5" xfId="10062" xr:uid="{CDE16594-CEC3-4C9E-A567-C052DD878D87}"/>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16837" xr:uid="{2F9E1A3C-9CDA-4BB9-A4DC-E1FE179EA7B4}"/>
    <cellStyle name="20% - Accent5 2 2 2 3 2 3" xfId="12620" xr:uid="{05DDC29A-FDB1-419B-A183-A8B3FF52C909}"/>
    <cellStyle name="20% - Accent5 2 2 2 3 3" xfId="5366" xr:uid="{00000000-0005-0000-0000-00008C020000}"/>
    <cellStyle name="20% - Accent5 2 2 2 3 3 2" xfId="14692" xr:uid="{E0CF5E07-080A-4994-A1B4-3121B3510B8C}"/>
    <cellStyle name="20% - Accent5 2 2 2 3 4" xfId="10475" xr:uid="{EBCB107F-1E12-485D-9F89-B82883E9399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17250" xr:uid="{B3CA89A4-88F5-4AEF-89A8-7621559777BE}"/>
    <cellStyle name="20% - Accent5 2 2 2 4 2 3" xfId="13033" xr:uid="{315C57B5-DAEB-4418-8D24-FC5999AA4666}"/>
    <cellStyle name="20% - Accent5 2 2 2 4 3" xfId="5779" xr:uid="{00000000-0005-0000-0000-000090020000}"/>
    <cellStyle name="20% - Accent5 2 2 2 4 3 2" xfId="15105" xr:uid="{EB62E819-B79F-4347-ABCD-2BEE7091490A}"/>
    <cellStyle name="20% - Accent5 2 2 2 4 4" xfId="10888" xr:uid="{21100F75-FA7D-4501-A740-3EA7752A0A4E}"/>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17663" xr:uid="{CE5E27D7-3FC8-465F-BE8C-4CB2795A63AA}"/>
    <cellStyle name="20% - Accent5 2 2 2 5 2 3" xfId="13446" xr:uid="{BF4A03F4-A17F-4CE5-A2DB-FBF6BC41BC92}"/>
    <cellStyle name="20% - Accent5 2 2 2 5 3" xfId="6192" xr:uid="{00000000-0005-0000-0000-000094020000}"/>
    <cellStyle name="20% - Accent5 2 2 2 5 3 2" xfId="15518" xr:uid="{0C6D24DC-96FE-4D2E-84C5-8DA78D1FD9CC}"/>
    <cellStyle name="20% - Accent5 2 2 2 5 4" xfId="11301" xr:uid="{2F0E8E72-33C0-44E4-8A40-5A9CA2B1215B}"/>
    <cellStyle name="20% - Accent5 2 2 2 6" xfId="2299" xr:uid="{00000000-0005-0000-0000-000095020000}"/>
    <cellStyle name="20% - Accent5 2 2 2 6 2" xfId="6605" xr:uid="{00000000-0005-0000-0000-000096020000}"/>
    <cellStyle name="20% - Accent5 2 2 2 6 2 2" xfId="15931" xr:uid="{31F248F2-EF0C-49A6-A172-3603179FA4CF}"/>
    <cellStyle name="20% - Accent5 2 2 2 6 3" xfId="11714" xr:uid="{D2D507C5-FF5A-4FC7-9DEC-52E34BE798B4}"/>
    <cellStyle name="20% - Accent5 2 2 2 7" xfId="4539" xr:uid="{00000000-0005-0000-0000-000097020000}"/>
    <cellStyle name="20% - Accent5 2 2 2 7 2" xfId="13865" xr:uid="{863AB593-9F7B-4FF7-85F3-AB1437B66166}"/>
    <cellStyle name="20% - Accent5 2 2 2 8" xfId="9106" xr:uid="{E7B219CB-83A9-494A-83ED-783719A0F1D9}"/>
    <cellStyle name="20% - Accent5 2 2 2 8 2" xfId="18430" xr:uid="{D6D8DA1B-74E7-45E6-9537-90B7F503A49E}"/>
    <cellStyle name="20% - Accent5 2 2 2 9" xfId="9648" xr:uid="{24BAA9F3-CD98-4FFE-8098-6A6953CEB44A}"/>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16423" xr:uid="{5DD202A1-0D95-453B-BD7E-64541A658F47}"/>
    <cellStyle name="20% - Accent5 2 2 3 2 3" xfId="12206" xr:uid="{A31C053D-7DFF-4381-92A2-602B95FBF30F}"/>
    <cellStyle name="20% - Accent5 2 2 3 3" xfId="4952" xr:uid="{00000000-0005-0000-0000-00009B020000}"/>
    <cellStyle name="20% - Accent5 2 2 3 3 2" xfId="14278" xr:uid="{40267BFB-9CE0-4C59-928F-7D88238E34C6}"/>
    <cellStyle name="20% - Accent5 2 2 3 4" xfId="9324" xr:uid="{6094FEE1-8E2A-466F-9CDF-43EB9EE581FF}"/>
    <cellStyle name="20% - Accent5 2 2 3 4 2" xfId="18639" xr:uid="{114781C0-96FB-4C36-9685-E42C62396771}"/>
    <cellStyle name="20% - Accent5 2 2 3 5" xfId="10061" xr:uid="{6C8AA135-BD32-49D8-9C5E-86B9C49536A2}"/>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16836" xr:uid="{E3CA5410-268A-4CFA-9074-E04202373A29}"/>
    <cellStyle name="20% - Accent5 2 2 4 2 3" xfId="12619" xr:uid="{D262D16B-33D9-4CA5-89E9-4B227276C235}"/>
    <cellStyle name="20% - Accent5 2 2 4 3" xfId="5365" xr:uid="{00000000-0005-0000-0000-00009F020000}"/>
    <cellStyle name="20% - Accent5 2 2 4 3 2" xfId="14691" xr:uid="{3DE89453-7038-422E-BC9B-587F95E4388B}"/>
    <cellStyle name="20% - Accent5 2 2 4 4" xfId="10474" xr:uid="{7D931502-D7BA-4979-9813-1D25B9778830}"/>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17249" xr:uid="{AC1DC882-DE6F-49AC-B979-806622042C17}"/>
    <cellStyle name="20% - Accent5 2 2 5 2 3" xfId="13032" xr:uid="{190659CE-CFD2-49EB-88F2-C4C9562CD654}"/>
    <cellStyle name="20% - Accent5 2 2 5 3" xfId="5778" xr:uid="{00000000-0005-0000-0000-0000A3020000}"/>
    <cellStyle name="20% - Accent5 2 2 5 3 2" xfId="15104" xr:uid="{131999D6-784C-4FBE-81F1-2A1B0B29EA52}"/>
    <cellStyle name="20% - Accent5 2 2 5 4" xfId="10887" xr:uid="{72D3C5A2-19BE-494F-8A6C-64550B9FD432}"/>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17662" xr:uid="{22ED69A1-7F3C-4885-A75C-39D0FF7C1E4B}"/>
    <cellStyle name="20% - Accent5 2 2 6 2 3" xfId="13445" xr:uid="{9A4816CB-0D12-4D8B-B797-646DE242F1F5}"/>
    <cellStyle name="20% - Accent5 2 2 6 3" xfId="6191" xr:uid="{00000000-0005-0000-0000-0000A7020000}"/>
    <cellStyle name="20% - Accent5 2 2 6 3 2" xfId="15517" xr:uid="{E6E0F32C-DAB1-4C43-B14C-AB9FB0353713}"/>
    <cellStyle name="20% - Accent5 2 2 6 4" xfId="11300" xr:uid="{3110D9D0-784E-4043-8F16-F2E752E20DA7}"/>
    <cellStyle name="20% - Accent5 2 2 7" xfId="2298" xr:uid="{00000000-0005-0000-0000-0000A8020000}"/>
    <cellStyle name="20% - Accent5 2 2 7 2" xfId="6604" xr:uid="{00000000-0005-0000-0000-0000A9020000}"/>
    <cellStyle name="20% - Accent5 2 2 7 2 2" xfId="15930" xr:uid="{A855A368-5F40-4241-94A8-867E99FE361C}"/>
    <cellStyle name="20% - Accent5 2 2 7 3" xfId="11713" xr:uid="{5E99EFED-E64F-45B5-9B6B-D33128A7A550}"/>
    <cellStyle name="20% - Accent5 2 2 8" xfId="4538" xr:uid="{00000000-0005-0000-0000-0000AA020000}"/>
    <cellStyle name="20% - Accent5 2 2 8 2" xfId="13864" xr:uid="{4F1543C6-E299-441B-9711-CC4EBBE8857F}"/>
    <cellStyle name="20% - Accent5 2 2 9" xfId="8899" xr:uid="{0E8F9EC8-D565-41C9-B716-FF597FFF35B9}"/>
    <cellStyle name="20% - Accent5 2 2 9 2" xfId="18223" xr:uid="{178A7013-AA6E-46C7-AE90-FC7A59F9E691}"/>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16425" xr:uid="{FB0291D9-021B-48F3-97DA-C4DD444A458A}"/>
    <cellStyle name="20% - Accent5 2 3 2 2 3" xfId="12208" xr:uid="{58A221DD-17FE-4903-AE0F-73003DE1ED16}"/>
    <cellStyle name="20% - Accent5 2 3 2 3" xfId="4954" xr:uid="{00000000-0005-0000-0000-0000AF020000}"/>
    <cellStyle name="20% - Accent5 2 3 2 3 2" xfId="14280" xr:uid="{F06F233E-5443-4B3A-8D74-683E9DE13336}"/>
    <cellStyle name="20% - Accent5 2 3 2 4" xfId="9428" xr:uid="{B7820ACF-E1F3-4653-B5DD-FD829B169E84}"/>
    <cellStyle name="20% - Accent5 2 3 2 4 2" xfId="18743" xr:uid="{0DAA41B6-CAF0-4F23-93CB-E62282F8BEDE}"/>
    <cellStyle name="20% - Accent5 2 3 2 5" xfId="10063" xr:uid="{4B41FBFD-E3A5-4F1D-BEBD-0CF2F8412DBF}"/>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16838" xr:uid="{C5087742-734F-481E-90AB-3F2CE522B255}"/>
    <cellStyle name="20% - Accent5 2 3 3 2 3" xfId="12621" xr:uid="{B785BA12-2431-45D4-92AA-5FE5B4C2F639}"/>
    <cellStyle name="20% - Accent5 2 3 3 3" xfId="5367" xr:uid="{00000000-0005-0000-0000-0000B3020000}"/>
    <cellStyle name="20% - Accent5 2 3 3 3 2" xfId="14693" xr:uid="{773175E2-B217-4D3D-8CA1-A68D57C07655}"/>
    <cellStyle name="20% - Accent5 2 3 3 4" xfId="10476" xr:uid="{78C62594-0573-486B-BDEA-9DE035CEE5F3}"/>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17251" xr:uid="{E3FA840F-DB0A-46FE-AE18-5805925BC9AE}"/>
    <cellStyle name="20% - Accent5 2 3 4 2 3" xfId="13034" xr:uid="{24262951-199A-4359-AE57-7994E399A3A7}"/>
    <cellStyle name="20% - Accent5 2 3 4 3" xfId="5780" xr:uid="{00000000-0005-0000-0000-0000B7020000}"/>
    <cellStyle name="20% - Accent5 2 3 4 3 2" xfId="15106" xr:uid="{4064AF00-2E82-4368-B993-4E6A254E43BF}"/>
    <cellStyle name="20% - Accent5 2 3 4 4" xfId="10889" xr:uid="{8C6D6AD9-E006-466B-8834-D37F578600CF}"/>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17664" xr:uid="{539FE5FA-20D7-4927-9EE6-82A61F5B2529}"/>
    <cellStyle name="20% - Accent5 2 3 5 2 3" xfId="13447" xr:uid="{035A30C0-D98F-4E35-9177-02233FE7CCDB}"/>
    <cellStyle name="20% - Accent5 2 3 5 3" xfId="6193" xr:uid="{00000000-0005-0000-0000-0000BB020000}"/>
    <cellStyle name="20% - Accent5 2 3 5 3 2" xfId="15519" xr:uid="{6D1727C3-6B7C-40D0-A21F-826BE593FE04}"/>
    <cellStyle name="20% - Accent5 2 3 5 4" xfId="11302" xr:uid="{E3D31945-9112-4549-AB05-93962E9E631E}"/>
    <cellStyle name="20% - Accent5 2 3 6" xfId="2300" xr:uid="{00000000-0005-0000-0000-0000BC020000}"/>
    <cellStyle name="20% - Accent5 2 3 6 2" xfId="6606" xr:uid="{00000000-0005-0000-0000-0000BD020000}"/>
    <cellStyle name="20% - Accent5 2 3 6 2 2" xfId="15932" xr:uid="{7FE6F069-22B6-4978-BCEB-BD2B79829A5C}"/>
    <cellStyle name="20% - Accent5 2 3 6 3" xfId="11715" xr:uid="{53367A1A-4F12-4606-813D-4D46259CD7F0}"/>
    <cellStyle name="20% - Accent5 2 3 7" xfId="4540" xr:uid="{00000000-0005-0000-0000-0000BE020000}"/>
    <cellStyle name="20% - Accent5 2 3 7 2" xfId="13866" xr:uid="{7D36D45F-90C0-4502-85A0-39D5F1150766}"/>
    <cellStyle name="20% - Accent5 2 3 8" xfId="9003" xr:uid="{9830E7D1-E361-4BA3-A986-3DCE647EEF8E}"/>
    <cellStyle name="20% - Accent5 2 3 8 2" xfId="18327" xr:uid="{D064A218-43EB-48D2-A6FD-1646EBF656BD}"/>
    <cellStyle name="20% - Accent5 2 3 9" xfId="9649" xr:uid="{0AE77E42-0AD1-44B7-B6A6-0DE2688A2F2B}"/>
    <cellStyle name="20% - Accent5 2 4" xfId="603" xr:uid="{00000000-0005-0000-0000-0000BF020000}"/>
    <cellStyle name="20% - Accent5 2 4 2" xfId="2874" xr:uid="{00000000-0005-0000-0000-0000C0020000}"/>
    <cellStyle name="20% - Accent5 2 4 2 2" xfId="7096" xr:uid="{00000000-0005-0000-0000-0000C1020000}"/>
    <cellStyle name="20% - Accent5 2 4 2 2 2" xfId="16422" xr:uid="{FC03DF03-20DD-4179-B399-FA7256FF6FB1}"/>
    <cellStyle name="20% - Accent5 2 4 2 3" xfId="12205" xr:uid="{27686E37-73D8-4B3F-9671-ABDB460FA476}"/>
    <cellStyle name="20% - Accent5 2 4 3" xfId="4951" xr:uid="{00000000-0005-0000-0000-0000C2020000}"/>
    <cellStyle name="20% - Accent5 2 4 3 2" xfId="14277" xr:uid="{F0CB934D-5091-4E55-96C0-840D19FD38CA}"/>
    <cellStyle name="20% - Accent5 2 4 4" xfId="9220" xr:uid="{A7B88928-FE72-4C1B-B74E-3CA76DBA84CC}"/>
    <cellStyle name="20% - Accent5 2 4 4 2" xfId="18536" xr:uid="{BBE423F8-7E76-4AE5-BA18-107B03D04E31}"/>
    <cellStyle name="20% - Accent5 2 4 5" xfId="10060" xr:uid="{802FC6A2-D315-4D0D-BC70-79ED47DC9F0F}"/>
    <cellStyle name="20% - Accent5 2 5" xfId="1056" xr:uid="{00000000-0005-0000-0000-0000C3020000}"/>
    <cellStyle name="20% - Accent5 2 5 2" xfId="3287" xr:uid="{00000000-0005-0000-0000-0000C4020000}"/>
    <cellStyle name="20% - Accent5 2 5 2 2" xfId="7509" xr:uid="{00000000-0005-0000-0000-0000C5020000}"/>
    <cellStyle name="20% - Accent5 2 5 2 2 2" xfId="16835" xr:uid="{A14CB323-93FE-43D8-B21E-40F5285335E6}"/>
    <cellStyle name="20% - Accent5 2 5 2 3" xfId="12618" xr:uid="{34FFDA56-E9BA-42B6-9257-796E55AE4B9D}"/>
    <cellStyle name="20% - Accent5 2 5 3" xfId="5364" xr:uid="{00000000-0005-0000-0000-0000C6020000}"/>
    <cellStyle name="20% - Accent5 2 5 3 2" xfId="14690" xr:uid="{F647C03F-6C0D-4E7F-86F7-F6A60CF38CF7}"/>
    <cellStyle name="20% - Accent5 2 5 4" xfId="10473" xr:uid="{80600E06-3DF0-42D2-9ABC-5B147D5A23A8}"/>
    <cellStyle name="20% - Accent5 2 6" xfId="1470" xr:uid="{00000000-0005-0000-0000-0000C7020000}"/>
    <cellStyle name="20% - Accent5 2 6 2" xfId="3700" xr:uid="{00000000-0005-0000-0000-0000C8020000}"/>
    <cellStyle name="20% - Accent5 2 6 2 2" xfId="7922" xr:uid="{00000000-0005-0000-0000-0000C9020000}"/>
    <cellStyle name="20% - Accent5 2 6 2 2 2" xfId="17248" xr:uid="{07CF6B28-5F95-49FA-96E5-A705A440D3AA}"/>
    <cellStyle name="20% - Accent5 2 6 2 3" xfId="13031" xr:uid="{0421C44A-44A8-4E1A-9763-3E171E797425}"/>
    <cellStyle name="20% - Accent5 2 6 3" xfId="5777" xr:uid="{00000000-0005-0000-0000-0000CA020000}"/>
    <cellStyle name="20% - Accent5 2 6 3 2" xfId="15103" xr:uid="{BD168B64-F88B-4A22-A1F7-6459D837FAA4}"/>
    <cellStyle name="20% - Accent5 2 6 4" xfId="10886" xr:uid="{71FBD4AE-CAC5-4C5E-84D4-6DBD982A8F98}"/>
    <cellStyle name="20% - Accent5 2 7" xfId="1884" xr:uid="{00000000-0005-0000-0000-0000CB020000}"/>
    <cellStyle name="20% - Accent5 2 7 2" xfId="4113" xr:uid="{00000000-0005-0000-0000-0000CC020000}"/>
    <cellStyle name="20% - Accent5 2 7 2 2" xfId="8335" xr:uid="{00000000-0005-0000-0000-0000CD020000}"/>
    <cellStyle name="20% - Accent5 2 7 2 2 2" xfId="17661" xr:uid="{E32D8E85-686F-4509-B804-1955327399EA}"/>
    <cellStyle name="20% - Accent5 2 7 2 3" xfId="13444" xr:uid="{06DB83C4-0DED-462D-8D13-5D6E37A4A5E0}"/>
    <cellStyle name="20% - Accent5 2 7 3" xfId="6190" xr:uid="{00000000-0005-0000-0000-0000CE020000}"/>
    <cellStyle name="20% - Accent5 2 7 3 2" xfId="15516" xr:uid="{F0C49F4A-FFBC-472B-AC1E-756D5D756E86}"/>
    <cellStyle name="20% - Accent5 2 7 4" xfId="11299" xr:uid="{57D23BB4-79A6-4AAC-A2CC-404EE2DA8A19}"/>
    <cellStyle name="20% - Accent5 2 8" xfId="2297" xr:uid="{00000000-0005-0000-0000-0000CF020000}"/>
    <cellStyle name="20% - Accent5 2 8 2" xfId="6603" xr:uid="{00000000-0005-0000-0000-0000D0020000}"/>
    <cellStyle name="20% - Accent5 2 8 2 2" xfId="15929" xr:uid="{8A53A0CC-B2F4-432A-A389-83BE15D8F022}"/>
    <cellStyle name="20% - Accent5 2 8 3" xfId="11712" xr:uid="{C4D751F5-96CD-488B-8389-63EB78A794B5}"/>
    <cellStyle name="20% - Accent5 2 9" xfId="4537" xr:uid="{00000000-0005-0000-0000-0000D1020000}"/>
    <cellStyle name="20% - Accent5 2 9 2" xfId="13863" xr:uid="{D3BA1229-EB6E-4C77-B29B-18A650A3B819}"/>
    <cellStyle name="20% - Accent5 3" xfId="38" xr:uid="{00000000-0005-0000-0000-0000D2020000}"/>
    <cellStyle name="20% - Accent5 3 10" xfId="9650" xr:uid="{64E9471E-FE08-4821-8F72-2335FB477163}"/>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16427" xr:uid="{5A29FA3F-844E-44C0-9337-41A49E7D0632}"/>
    <cellStyle name="20% - Accent5 3 2 2 2 3" xfId="12210" xr:uid="{EB9C7E73-3B0D-41A5-88D2-CD595D76C510}"/>
    <cellStyle name="20% - Accent5 3 2 2 3" xfId="4956" xr:uid="{00000000-0005-0000-0000-0000D7020000}"/>
    <cellStyle name="20% - Accent5 3 2 2 3 2" xfId="14282" xr:uid="{E21245BB-56F4-448B-88EE-6390D14C2341}"/>
    <cellStyle name="20% - Accent5 3 2 2 4" xfId="9501" xr:uid="{82A590A5-96D4-476E-8E6F-D81EEE08C409}"/>
    <cellStyle name="20% - Accent5 3 2 2 4 2" xfId="18816" xr:uid="{732840A3-50BE-4F8E-A70C-FEE9F6FDE32B}"/>
    <cellStyle name="20% - Accent5 3 2 2 5" xfId="10065" xr:uid="{4C4B670A-09FF-4232-AE1B-EB2B4FACB04F}"/>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16840" xr:uid="{E3244B37-BC57-4ADA-9DCA-D3171973210A}"/>
    <cellStyle name="20% - Accent5 3 2 3 2 3" xfId="12623" xr:uid="{CF1350B8-4D72-40DF-8860-3B617E465F01}"/>
    <cellStyle name="20% - Accent5 3 2 3 3" xfId="5369" xr:uid="{00000000-0005-0000-0000-0000DB020000}"/>
    <cellStyle name="20% - Accent5 3 2 3 3 2" xfId="14695" xr:uid="{DC95FFAA-71C7-4BC1-A1FA-49C743B5E215}"/>
    <cellStyle name="20% - Accent5 3 2 3 4" xfId="10478" xr:uid="{9450DE71-9084-4DB8-8826-7FD0AB947325}"/>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17253" xr:uid="{9D6E2E58-6F9E-4F9F-992F-87122BDCC691}"/>
    <cellStyle name="20% - Accent5 3 2 4 2 3" xfId="13036" xr:uid="{7C091A7B-0B33-48FA-BF43-CDF5B969865B}"/>
    <cellStyle name="20% - Accent5 3 2 4 3" xfId="5782" xr:uid="{00000000-0005-0000-0000-0000DF020000}"/>
    <cellStyle name="20% - Accent5 3 2 4 3 2" xfId="15108" xr:uid="{76186146-0942-45D3-B711-9B22D0ADEEDE}"/>
    <cellStyle name="20% - Accent5 3 2 4 4" xfId="10891" xr:uid="{230E19E8-5185-4E60-A599-DE986286C0F2}"/>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17666" xr:uid="{5C676150-3C1A-4361-91B7-0DC1EB156F48}"/>
    <cellStyle name="20% - Accent5 3 2 5 2 3" xfId="13449" xr:uid="{AF3122F3-8260-40A9-B707-D04A853AD94E}"/>
    <cellStyle name="20% - Accent5 3 2 5 3" xfId="6195" xr:uid="{00000000-0005-0000-0000-0000E3020000}"/>
    <cellStyle name="20% - Accent5 3 2 5 3 2" xfId="15521" xr:uid="{627A8C3F-8CD2-4AA5-80E3-94FEDFB236F8}"/>
    <cellStyle name="20% - Accent5 3 2 5 4" xfId="11304" xr:uid="{0D09CAC8-977F-48E1-9B84-F96C5AED97B3}"/>
    <cellStyle name="20% - Accent5 3 2 6" xfId="2302" xr:uid="{00000000-0005-0000-0000-0000E4020000}"/>
    <cellStyle name="20% - Accent5 3 2 6 2" xfId="6608" xr:uid="{00000000-0005-0000-0000-0000E5020000}"/>
    <cellStyle name="20% - Accent5 3 2 6 2 2" xfId="15934" xr:uid="{6E7D7900-9B05-4E4D-B7BB-089FBA552F1D}"/>
    <cellStyle name="20% - Accent5 3 2 6 3" xfId="11717" xr:uid="{DF57AFF7-58A1-4D4C-B34A-A6C31C4EFCDC}"/>
    <cellStyle name="20% - Accent5 3 2 7" xfId="4542" xr:uid="{00000000-0005-0000-0000-0000E6020000}"/>
    <cellStyle name="20% - Accent5 3 2 7 2" xfId="13868" xr:uid="{510A19A0-9AA4-4B90-8FFE-6787B35F4C7D}"/>
    <cellStyle name="20% - Accent5 3 2 8" xfId="9076" xr:uid="{BEDF1D01-35A3-4513-9363-9C1AFC748168}"/>
    <cellStyle name="20% - Accent5 3 2 8 2" xfId="18400" xr:uid="{1CD44112-B5E4-4A82-9097-AA5416953691}"/>
    <cellStyle name="20% - Accent5 3 2 9" xfId="9651" xr:uid="{2A17B325-3228-43E4-B0FA-03BA55060907}"/>
    <cellStyle name="20% - Accent5 3 3" xfId="607" xr:uid="{00000000-0005-0000-0000-0000E7020000}"/>
    <cellStyle name="20% - Accent5 3 3 2" xfId="2878" xr:uid="{00000000-0005-0000-0000-0000E8020000}"/>
    <cellStyle name="20% - Accent5 3 3 2 2" xfId="7100" xr:uid="{00000000-0005-0000-0000-0000E9020000}"/>
    <cellStyle name="20% - Accent5 3 3 2 2 2" xfId="16426" xr:uid="{BE5828F2-28DB-45CF-AF4D-AA12C0219D37}"/>
    <cellStyle name="20% - Accent5 3 3 2 3" xfId="12209" xr:uid="{F44ACF03-42E2-4701-9008-F24F0D95CB39}"/>
    <cellStyle name="20% - Accent5 3 3 3" xfId="4955" xr:uid="{00000000-0005-0000-0000-0000EA020000}"/>
    <cellStyle name="20% - Accent5 3 3 3 2" xfId="14281" xr:uid="{AF9EDEF0-03DA-4F27-8A13-00C2FB340AD4}"/>
    <cellStyle name="20% - Accent5 3 3 4" xfId="9294" xr:uid="{124960EA-C7A4-4686-BF67-47D6C57F7EEB}"/>
    <cellStyle name="20% - Accent5 3 3 4 2" xfId="18609" xr:uid="{F14F2990-5484-4827-9B51-1F40A4900E06}"/>
    <cellStyle name="20% - Accent5 3 3 5" xfId="10064" xr:uid="{D2A258A6-102C-4288-A8ED-AED20C84F840}"/>
    <cellStyle name="20% - Accent5 3 4" xfId="1060" xr:uid="{00000000-0005-0000-0000-0000EB020000}"/>
    <cellStyle name="20% - Accent5 3 4 2" xfId="3291" xr:uid="{00000000-0005-0000-0000-0000EC020000}"/>
    <cellStyle name="20% - Accent5 3 4 2 2" xfId="7513" xr:uid="{00000000-0005-0000-0000-0000ED020000}"/>
    <cellStyle name="20% - Accent5 3 4 2 2 2" xfId="16839" xr:uid="{A378962D-869E-4B86-B222-F1ECD8FC2DF8}"/>
    <cellStyle name="20% - Accent5 3 4 2 3" xfId="12622" xr:uid="{E279C030-4B00-456A-A21E-E74152C97595}"/>
    <cellStyle name="20% - Accent5 3 4 3" xfId="5368" xr:uid="{00000000-0005-0000-0000-0000EE020000}"/>
    <cellStyle name="20% - Accent5 3 4 3 2" xfId="14694" xr:uid="{63D1202F-1D77-4ED0-A78F-A691F53B6599}"/>
    <cellStyle name="20% - Accent5 3 4 4" xfId="10477" xr:uid="{B9789167-E2BE-4E21-AC41-89679750B80C}"/>
    <cellStyle name="20% - Accent5 3 5" xfId="1474" xr:uid="{00000000-0005-0000-0000-0000EF020000}"/>
    <cellStyle name="20% - Accent5 3 5 2" xfId="3704" xr:uid="{00000000-0005-0000-0000-0000F0020000}"/>
    <cellStyle name="20% - Accent5 3 5 2 2" xfId="7926" xr:uid="{00000000-0005-0000-0000-0000F1020000}"/>
    <cellStyle name="20% - Accent5 3 5 2 2 2" xfId="17252" xr:uid="{CB317061-DBFD-4C90-BFA9-715A32FB2001}"/>
    <cellStyle name="20% - Accent5 3 5 2 3" xfId="13035" xr:uid="{AE8390A6-47A6-4E09-A820-161636AC918D}"/>
    <cellStyle name="20% - Accent5 3 5 3" xfId="5781" xr:uid="{00000000-0005-0000-0000-0000F2020000}"/>
    <cellStyle name="20% - Accent5 3 5 3 2" xfId="15107" xr:uid="{0DF08D0F-B523-4024-86DD-8C91B230A02D}"/>
    <cellStyle name="20% - Accent5 3 5 4" xfId="10890" xr:uid="{00E29A6B-3DF0-4161-8F1C-3A6EF66C1E8C}"/>
    <cellStyle name="20% - Accent5 3 6" xfId="1888" xr:uid="{00000000-0005-0000-0000-0000F3020000}"/>
    <cellStyle name="20% - Accent5 3 6 2" xfId="4117" xr:uid="{00000000-0005-0000-0000-0000F4020000}"/>
    <cellStyle name="20% - Accent5 3 6 2 2" xfId="8339" xr:uid="{00000000-0005-0000-0000-0000F5020000}"/>
    <cellStyle name="20% - Accent5 3 6 2 2 2" xfId="17665" xr:uid="{E03E56DC-A9C0-4CD0-A303-C1E151D71821}"/>
    <cellStyle name="20% - Accent5 3 6 2 3" xfId="13448" xr:uid="{C5CD0642-81F6-46B0-8600-EAEFF287A8A1}"/>
    <cellStyle name="20% - Accent5 3 6 3" xfId="6194" xr:uid="{00000000-0005-0000-0000-0000F6020000}"/>
    <cellStyle name="20% - Accent5 3 6 3 2" xfId="15520" xr:uid="{AB53EE17-A46E-487C-AD28-D8072B516388}"/>
    <cellStyle name="20% - Accent5 3 6 4" xfId="11303" xr:uid="{D2AFF5F3-5764-461F-ACDF-6100BEFFF48A}"/>
    <cellStyle name="20% - Accent5 3 7" xfId="2301" xr:uid="{00000000-0005-0000-0000-0000F7020000}"/>
    <cellStyle name="20% - Accent5 3 7 2" xfId="6607" xr:uid="{00000000-0005-0000-0000-0000F8020000}"/>
    <cellStyle name="20% - Accent5 3 7 2 2" xfId="15933" xr:uid="{77A389BA-6370-402E-8C50-FAB6E922FED5}"/>
    <cellStyle name="20% - Accent5 3 7 3" xfId="11716" xr:uid="{A6B6FFC4-1FCD-4456-AA10-7E53C686FDD9}"/>
    <cellStyle name="20% - Accent5 3 8" xfId="4541" xr:uid="{00000000-0005-0000-0000-0000F9020000}"/>
    <cellStyle name="20% - Accent5 3 8 2" xfId="13867" xr:uid="{82A5B959-E969-4A2C-BFC2-D4F200763D2F}"/>
    <cellStyle name="20% - Accent5 3 9" xfId="8869" xr:uid="{43CC8A87-AEEB-4E51-98E7-F8AE8D86AD2B}"/>
    <cellStyle name="20% - Accent5 3 9 2" xfId="18193" xr:uid="{32DF658B-D125-4B59-92A8-3960AE88D31E}"/>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2 2 2" xfId="16428" xr:uid="{EEC0858D-6F75-473A-B2BF-BF5954DE8B0F}"/>
    <cellStyle name="20% - Accent5 4 2 2 3" xfId="12211" xr:uid="{F0D43BFC-FBBE-4276-9668-AAD90CD8413A}"/>
    <cellStyle name="20% - Accent5 4 2 3" xfId="4957" xr:uid="{00000000-0005-0000-0000-0000FE020000}"/>
    <cellStyle name="20% - Accent5 4 2 3 2" xfId="14283" xr:uid="{09C47090-7418-436F-A55A-2F7073BFDD9F}"/>
    <cellStyle name="20% - Accent5 4 2 4" xfId="9380" xr:uid="{1C764D65-D71C-4646-AD86-15F83BDBF498}"/>
    <cellStyle name="20% - Accent5 4 2 4 2" xfId="18695" xr:uid="{01BB5228-3AF5-4FFE-B625-C074DC59344A}"/>
    <cellStyle name="20% - Accent5 4 2 5" xfId="10066" xr:uid="{51463BB4-F5D9-4A5C-BA0F-0E6A4235A412}"/>
    <cellStyle name="20% - Accent5 4 3" xfId="1062" xr:uid="{00000000-0005-0000-0000-0000FF020000}"/>
    <cellStyle name="20% - Accent5 4 3 2" xfId="3293" xr:uid="{00000000-0005-0000-0000-000000030000}"/>
    <cellStyle name="20% - Accent5 4 3 2 2" xfId="7515" xr:uid="{00000000-0005-0000-0000-000001030000}"/>
    <cellStyle name="20% - Accent5 4 3 2 2 2" xfId="16841" xr:uid="{6E78F540-119F-4B4C-98D8-934A58B4EF7E}"/>
    <cellStyle name="20% - Accent5 4 3 2 3" xfId="12624" xr:uid="{96E00EC3-5B5D-4393-8BC1-9C3141DAE4A4}"/>
    <cellStyle name="20% - Accent5 4 3 3" xfId="5370" xr:uid="{00000000-0005-0000-0000-000002030000}"/>
    <cellStyle name="20% - Accent5 4 3 3 2" xfId="14696" xr:uid="{C9687E70-CD22-4507-9EE4-E66CDCACBA09}"/>
    <cellStyle name="20% - Accent5 4 3 4" xfId="10479" xr:uid="{DFD0C3DB-D39A-41E4-89B0-FC41D9ED3607}"/>
    <cellStyle name="20% - Accent5 4 4" xfId="1476" xr:uid="{00000000-0005-0000-0000-000003030000}"/>
    <cellStyle name="20% - Accent5 4 4 2" xfId="3706" xr:uid="{00000000-0005-0000-0000-000004030000}"/>
    <cellStyle name="20% - Accent5 4 4 2 2" xfId="7928" xr:uid="{00000000-0005-0000-0000-000005030000}"/>
    <cellStyle name="20% - Accent5 4 4 2 2 2" xfId="17254" xr:uid="{34E363B9-EC86-4BD9-BBBA-433C41173CBD}"/>
    <cellStyle name="20% - Accent5 4 4 2 3" xfId="13037" xr:uid="{019370AC-C8C3-409D-B37A-B1872C8F58B0}"/>
    <cellStyle name="20% - Accent5 4 4 3" xfId="5783" xr:uid="{00000000-0005-0000-0000-000006030000}"/>
    <cellStyle name="20% - Accent5 4 4 3 2" xfId="15109" xr:uid="{E59AD599-9DFE-450E-9110-49CD2179804F}"/>
    <cellStyle name="20% - Accent5 4 4 4" xfId="10892" xr:uid="{2A094A3A-BE80-4417-AF2E-4537026BD4C2}"/>
    <cellStyle name="20% - Accent5 4 5" xfId="1890" xr:uid="{00000000-0005-0000-0000-000007030000}"/>
    <cellStyle name="20% - Accent5 4 5 2" xfId="4119" xr:uid="{00000000-0005-0000-0000-000008030000}"/>
    <cellStyle name="20% - Accent5 4 5 2 2" xfId="8341" xr:uid="{00000000-0005-0000-0000-000009030000}"/>
    <cellStyle name="20% - Accent5 4 5 2 2 2" xfId="17667" xr:uid="{1A6A08F9-8D09-42A4-A087-356D80FFDA88}"/>
    <cellStyle name="20% - Accent5 4 5 2 3" xfId="13450" xr:uid="{D9F86D72-563B-47EC-95FE-B5289BB297CC}"/>
    <cellStyle name="20% - Accent5 4 5 3" xfId="6196" xr:uid="{00000000-0005-0000-0000-00000A030000}"/>
    <cellStyle name="20% - Accent5 4 5 3 2" xfId="15522" xr:uid="{40574420-B427-487B-B999-60FAA35BBB97}"/>
    <cellStyle name="20% - Accent5 4 5 4" xfId="11305" xr:uid="{90F99C8D-6B6F-49F9-920C-AF77C9145781}"/>
    <cellStyle name="20% - Accent5 4 6" xfId="2303" xr:uid="{00000000-0005-0000-0000-00000B030000}"/>
    <cellStyle name="20% - Accent5 4 6 2" xfId="6609" xr:uid="{00000000-0005-0000-0000-00000C030000}"/>
    <cellStyle name="20% - Accent5 4 6 2 2" xfId="15935" xr:uid="{7E02C0D9-E700-4EDC-A6CD-ED27F51B458D}"/>
    <cellStyle name="20% - Accent5 4 6 3" xfId="11718" xr:uid="{D40A6AE2-6BD6-4B0A-AEEE-4271FF37D787}"/>
    <cellStyle name="20% - Accent5 4 7" xfId="4543" xr:uid="{00000000-0005-0000-0000-00000D030000}"/>
    <cellStyle name="20% - Accent5 4 7 2" xfId="13869" xr:uid="{BA3B33B7-744A-471C-8FC3-A6733C381A7B}"/>
    <cellStyle name="20% - Accent5 4 8" xfId="8955" xr:uid="{8AD43D76-8747-44EC-8D3B-2720ADF9D1B1}"/>
    <cellStyle name="20% - Accent5 4 8 2" xfId="18279" xr:uid="{A72CE9E3-239A-47FA-B989-FA0181962740}"/>
    <cellStyle name="20% - Accent5 4 9" xfId="9652" xr:uid="{412E6B76-E3C5-43C3-9BC6-2054074169F1}"/>
    <cellStyle name="20% - Accent5 5" xfId="602" xr:uid="{00000000-0005-0000-0000-00000E030000}"/>
    <cellStyle name="20% - Accent5 5 2" xfId="2873" xr:uid="{00000000-0005-0000-0000-00000F030000}"/>
    <cellStyle name="20% - Accent5 5 2 2" xfId="7095" xr:uid="{00000000-0005-0000-0000-000010030000}"/>
    <cellStyle name="20% - Accent5 5 2 2 2" xfId="16421" xr:uid="{0F222408-384A-46FD-BF1F-562B37110BD3}"/>
    <cellStyle name="20% - Accent5 5 2 3" xfId="12204" xr:uid="{1D1F99DF-A9F3-4E58-B8BE-DBA05AC17055}"/>
    <cellStyle name="20% - Accent5 5 3" xfId="4950" xr:uid="{00000000-0005-0000-0000-000011030000}"/>
    <cellStyle name="20% - Accent5 5 3 2" xfId="14276" xr:uid="{EE2BA747-8577-499A-B9C5-AE160327747A}"/>
    <cellStyle name="20% - Accent5 5 4" xfId="9188" xr:uid="{164CF7CE-7706-426C-90AA-4867A06E28BD}"/>
    <cellStyle name="20% - Accent5 5 4 2" xfId="18506" xr:uid="{4E1A7E32-C303-419D-B9D2-56951B12D07C}"/>
    <cellStyle name="20% - Accent5 5 5" xfId="10059" xr:uid="{F20D7700-BDD3-42D1-9BE4-1BFA723061E8}"/>
    <cellStyle name="20% - Accent5 6" xfId="1055" xr:uid="{00000000-0005-0000-0000-000012030000}"/>
    <cellStyle name="20% - Accent5 6 2" xfId="3286" xr:uid="{00000000-0005-0000-0000-000013030000}"/>
    <cellStyle name="20% - Accent5 6 2 2" xfId="7508" xr:uid="{00000000-0005-0000-0000-000014030000}"/>
    <cellStyle name="20% - Accent5 6 2 2 2" xfId="16834" xr:uid="{96FDFA98-FA72-488B-8881-B66E2002D921}"/>
    <cellStyle name="20% - Accent5 6 2 3" xfId="12617" xr:uid="{A0E0EA3F-5A0B-4AEE-8361-5A67CAD9664E}"/>
    <cellStyle name="20% - Accent5 6 3" xfId="5363" xr:uid="{00000000-0005-0000-0000-000015030000}"/>
    <cellStyle name="20% - Accent5 6 3 2" xfId="14689" xr:uid="{85A0B2AC-67E0-4091-81D0-267031299509}"/>
    <cellStyle name="20% - Accent5 6 4" xfId="10472" xr:uid="{E677AB0F-62EE-4501-8E29-792845F408C4}"/>
    <cellStyle name="20% - Accent5 7" xfId="1469" xr:uid="{00000000-0005-0000-0000-000016030000}"/>
    <cellStyle name="20% - Accent5 7 2" xfId="3699" xr:uid="{00000000-0005-0000-0000-000017030000}"/>
    <cellStyle name="20% - Accent5 7 2 2" xfId="7921" xr:uid="{00000000-0005-0000-0000-000018030000}"/>
    <cellStyle name="20% - Accent5 7 2 2 2" xfId="17247" xr:uid="{18D3F0EA-1327-4D47-A4C2-C25D2E91C3A3}"/>
    <cellStyle name="20% - Accent5 7 2 3" xfId="13030" xr:uid="{E11D95E7-8ABD-43F1-A18D-AABAD65AD548}"/>
    <cellStyle name="20% - Accent5 7 3" xfId="5776" xr:uid="{00000000-0005-0000-0000-000019030000}"/>
    <cellStyle name="20% - Accent5 7 3 2" xfId="15102" xr:uid="{6FC719E3-8C14-4F88-8098-8449899A0220}"/>
    <cellStyle name="20% - Accent5 7 4" xfId="10885" xr:uid="{5FF3A48C-4522-4217-9000-5796B7996D6E}"/>
    <cellStyle name="20% - Accent5 8" xfId="1883" xr:uid="{00000000-0005-0000-0000-00001A030000}"/>
    <cellStyle name="20% - Accent5 8 2" xfId="4112" xr:uid="{00000000-0005-0000-0000-00001B030000}"/>
    <cellStyle name="20% - Accent5 8 2 2" xfId="8334" xr:uid="{00000000-0005-0000-0000-00001C030000}"/>
    <cellStyle name="20% - Accent5 8 2 2 2" xfId="17660" xr:uid="{266D9FE3-8FC1-4307-9C2D-0E431E375D6A}"/>
    <cellStyle name="20% - Accent5 8 2 3" xfId="13443" xr:uid="{CA8D4123-AC84-4B40-AB59-BA10A505DF7E}"/>
    <cellStyle name="20% - Accent5 8 3" xfId="6189" xr:uid="{00000000-0005-0000-0000-00001D030000}"/>
    <cellStyle name="20% - Accent5 8 3 2" xfId="15515" xr:uid="{0B90E69C-F42D-4DFE-9DB5-4CBA10EEA963}"/>
    <cellStyle name="20% - Accent5 8 4" xfId="11298" xr:uid="{05F93139-968A-4A4F-B321-DA7DB9B963E4}"/>
    <cellStyle name="20% - Accent5 9" xfId="2296" xr:uid="{00000000-0005-0000-0000-00001E030000}"/>
    <cellStyle name="20% - Accent5 9 2" xfId="6602" xr:uid="{00000000-0005-0000-0000-00001F030000}"/>
    <cellStyle name="20% - Accent5 9 2 2" xfId="15928" xr:uid="{C53ABFA4-4F7E-4E32-9B79-B144A9E24DAF}"/>
    <cellStyle name="20% - Accent5 9 3" xfId="11711" xr:uid="{CC7F4F9E-1C9B-4F7C-B87D-A454029E3AD0}"/>
    <cellStyle name="20% - Accent6" xfId="41" builtinId="50" customBuiltin="1"/>
    <cellStyle name="20% - Accent6 10" xfId="4544" xr:uid="{00000000-0005-0000-0000-000021030000}"/>
    <cellStyle name="20% - Accent6 10 2" xfId="13870" xr:uid="{8F53E325-6F67-4B1B-B43E-6D1CE73C8BCC}"/>
    <cellStyle name="20% - Accent6 11" xfId="8768" xr:uid="{5A1F1293-A19F-445F-908A-D9DBB6265CA0}"/>
    <cellStyle name="20% - Accent6 11 2" xfId="18092" xr:uid="{9DF5F983-0D1D-45EC-A238-7F6C0B9CF53C}"/>
    <cellStyle name="20% - Accent6 12" xfId="9653" xr:uid="{2B3549CC-5634-4C68-9F8C-D2A21142516C}"/>
    <cellStyle name="20% - Accent6 2" xfId="42" xr:uid="{00000000-0005-0000-0000-000022030000}"/>
    <cellStyle name="20% - Accent6 2 10" xfId="8795" xr:uid="{9A35B19E-8802-437A-ABDC-7B06A4E07F58}"/>
    <cellStyle name="20% - Accent6 2 10 2" xfId="18119" xr:uid="{9324FC80-ED33-4CC9-A3C3-E643DC4F7C29}"/>
    <cellStyle name="20% - Accent6 2 11" xfId="9654" xr:uid="{1CBA4626-47D8-4B1A-8FC9-6C59423CB232}"/>
    <cellStyle name="20% - Accent6 2 2" xfId="43" xr:uid="{00000000-0005-0000-0000-000023030000}"/>
    <cellStyle name="20% - Accent6 2 2 10" xfId="9655" xr:uid="{ECC58BCC-013D-4F89-BF3D-8807A9A66392}"/>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16432" xr:uid="{4591BAFA-7BD5-4502-A73C-9547B6FDED01}"/>
    <cellStyle name="20% - Accent6 2 2 2 2 2 3" xfId="12215" xr:uid="{1690CAB5-CA9F-4B3F-98BB-4A6298DBB89A}"/>
    <cellStyle name="20% - Accent6 2 2 2 2 3" xfId="4961" xr:uid="{00000000-0005-0000-0000-000028030000}"/>
    <cellStyle name="20% - Accent6 2 2 2 2 3 2" xfId="14287" xr:uid="{2EBB62AB-9B99-4BEB-98F6-AD3EEEA35E6C}"/>
    <cellStyle name="20% - Accent6 2 2 2 2 4" xfId="9530" xr:uid="{AFD3EE0E-70EF-4C1B-B994-7B8E7E8187BC}"/>
    <cellStyle name="20% - Accent6 2 2 2 2 4 2" xfId="18845" xr:uid="{CD42B0EC-ED95-4281-94AB-630F75146C03}"/>
    <cellStyle name="20% - Accent6 2 2 2 2 5" xfId="10070" xr:uid="{240CB741-8080-43E9-8EFB-839FD2D48FAD}"/>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16845" xr:uid="{F3841298-51BB-4FC6-8C01-E7DC667FA9B9}"/>
    <cellStyle name="20% - Accent6 2 2 2 3 2 3" xfId="12628" xr:uid="{B5C58B63-5645-4125-8B56-5C260B1DC69C}"/>
    <cellStyle name="20% - Accent6 2 2 2 3 3" xfId="5374" xr:uid="{00000000-0005-0000-0000-00002C030000}"/>
    <cellStyle name="20% - Accent6 2 2 2 3 3 2" xfId="14700" xr:uid="{F254D666-3F96-447A-96EA-B951BD8D5B0F}"/>
    <cellStyle name="20% - Accent6 2 2 2 3 4" xfId="10483" xr:uid="{DB0B226E-48C1-43F9-BFC9-9FCD1C58E062}"/>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17258" xr:uid="{F185E96F-B0F6-4478-96D1-1AF9DE52A79B}"/>
    <cellStyle name="20% - Accent6 2 2 2 4 2 3" xfId="13041" xr:uid="{DB746696-2A38-47EE-8884-9F57EEAAD263}"/>
    <cellStyle name="20% - Accent6 2 2 2 4 3" xfId="5787" xr:uid="{00000000-0005-0000-0000-000030030000}"/>
    <cellStyle name="20% - Accent6 2 2 2 4 3 2" xfId="15113" xr:uid="{84EC59DF-EE1D-4449-8084-6AE40735DB57}"/>
    <cellStyle name="20% - Accent6 2 2 2 4 4" xfId="10896" xr:uid="{FD35EE79-89D4-4EE2-BC1A-2192C06CF71A}"/>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17671" xr:uid="{52FDFF02-4C4A-4181-9A9D-F2C2C59B4AFD}"/>
    <cellStyle name="20% - Accent6 2 2 2 5 2 3" xfId="13454" xr:uid="{46E134F3-2CEC-42A7-8E1D-17E92AD252BD}"/>
    <cellStyle name="20% - Accent6 2 2 2 5 3" xfId="6200" xr:uid="{00000000-0005-0000-0000-000034030000}"/>
    <cellStyle name="20% - Accent6 2 2 2 5 3 2" xfId="15526" xr:uid="{766C9517-0A92-4E22-A36E-67B6FE6ED8EC}"/>
    <cellStyle name="20% - Accent6 2 2 2 5 4" xfId="11309" xr:uid="{CC8A3A2D-80A4-47AB-BAA2-4FAAFE40EF5E}"/>
    <cellStyle name="20% - Accent6 2 2 2 6" xfId="2307" xr:uid="{00000000-0005-0000-0000-000035030000}"/>
    <cellStyle name="20% - Accent6 2 2 2 6 2" xfId="6613" xr:uid="{00000000-0005-0000-0000-000036030000}"/>
    <cellStyle name="20% - Accent6 2 2 2 6 2 2" xfId="15939" xr:uid="{CE731E9C-00A0-48AF-979D-33AA9DF83921}"/>
    <cellStyle name="20% - Accent6 2 2 2 6 3" xfId="11722" xr:uid="{82A726CC-376D-482F-ACBF-FB5427E6E231}"/>
    <cellStyle name="20% - Accent6 2 2 2 7" xfId="4547" xr:uid="{00000000-0005-0000-0000-000037030000}"/>
    <cellStyle name="20% - Accent6 2 2 2 7 2" xfId="13873" xr:uid="{65E33B14-8824-400F-A66C-C98874BFE51F}"/>
    <cellStyle name="20% - Accent6 2 2 2 8" xfId="9105" xr:uid="{2D3B6B01-F2FB-4D08-A7F9-9902961EFB46}"/>
    <cellStyle name="20% - Accent6 2 2 2 8 2" xfId="18429" xr:uid="{4D2DE504-822A-4B06-BA65-4BC903C14981}"/>
    <cellStyle name="20% - Accent6 2 2 2 9" xfId="9656" xr:uid="{C1D41F18-7AEB-4871-A0C8-82967314FFE6}"/>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16431" xr:uid="{AF64C020-85ED-43B1-B012-EB4AA3E405D1}"/>
    <cellStyle name="20% - Accent6 2 2 3 2 3" xfId="12214" xr:uid="{137D59F2-36B8-412E-AEF1-31A611E81119}"/>
    <cellStyle name="20% - Accent6 2 2 3 3" xfId="4960" xr:uid="{00000000-0005-0000-0000-00003B030000}"/>
    <cellStyle name="20% - Accent6 2 2 3 3 2" xfId="14286" xr:uid="{4D217915-EE65-4ECF-A016-74F5A260E05E}"/>
    <cellStyle name="20% - Accent6 2 2 3 4" xfId="9323" xr:uid="{93CC3C58-EC1C-4AC6-8D02-E00EFD80A494}"/>
    <cellStyle name="20% - Accent6 2 2 3 4 2" xfId="18638" xr:uid="{31433D82-FB43-4FC6-A218-CD127749392D}"/>
    <cellStyle name="20% - Accent6 2 2 3 5" xfId="10069" xr:uid="{AADCA4E1-EA43-43D9-A154-5645962F3A69}"/>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16844" xr:uid="{CBF7F6B2-A9A9-4417-8949-A78FB7BE8C65}"/>
    <cellStyle name="20% - Accent6 2 2 4 2 3" xfId="12627" xr:uid="{950C37D4-C465-414A-8BE1-7968F7E6E94B}"/>
    <cellStyle name="20% - Accent6 2 2 4 3" xfId="5373" xr:uid="{00000000-0005-0000-0000-00003F030000}"/>
    <cellStyle name="20% - Accent6 2 2 4 3 2" xfId="14699" xr:uid="{7DEB9AE0-1BAE-4413-9355-B3F816F54020}"/>
    <cellStyle name="20% - Accent6 2 2 4 4" xfId="10482" xr:uid="{27961B6B-471E-4642-A21B-3B3F671CA40E}"/>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17257" xr:uid="{706D6E47-508B-43EB-98A6-D1C0B0E98BE9}"/>
    <cellStyle name="20% - Accent6 2 2 5 2 3" xfId="13040" xr:uid="{155A74E1-FBE2-4919-9DFF-A42C9DB4A043}"/>
    <cellStyle name="20% - Accent6 2 2 5 3" xfId="5786" xr:uid="{00000000-0005-0000-0000-000043030000}"/>
    <cellStyle name="20% - Accent6 2 2 5 3 2" xfId="15112" xr:uid="{58395F35-3B9C-4F76-958E-43C4A24CC417}"/>
    <cellStyle name="20% - Accent6 2 2 5 4" xfId="10895" xr:uid="{0A114FAE-5B2D-4018-B43A-E583C451A4B8}"/>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17670" xr:uid="{C9B370B5-192B-4482-8DF0-62A271238598}"/>
    <cellStyle name="20% - Accent6 2 2 6 2 3" xfId="13453" xr:uid="{5FED7C4B-292C-43D1-B095-E6251EA74C4A}"/>
    <cellStyle name="20% - Accent6 2 2 6 3" xfId="6199" xr:uid="{00000000-0005-0000-0000-000047030000}"/>
    <cellStyle name="20% - Accent6 2 2 6 3 2" xfId="15525" xr:uid="{C6CF9792-7544-4E97-885E-99DDD01D2ED1}"/>
    <cellStyle name="20% - Accent6 2 2 6 4" xfId="11308" xr:uid="{8B59CAE0-D585-4D23-A88A-DE44911DAB22}"/>
    <cellStyle name="20% - Accent6 2 2 7" xfId="2306" xr:uid="{00000000-0005-0000-0000-000048030000}"/>
    <cellStyle name="20% - Accent6 2 2 7 2" xfId="6612" xr:uid="{00000000-0005-0000-0000-000049030000}"/>
    <cellStyle name="20% - Accent6 2 2 7 2 2" xfId="15938" xr:uid="{A225FAD2-DDAA-4898-8EF9-DD2FBDC74AB7}"/>
    <cellStyle name="20% - Accent6 2 2 7 3" xfId="11721" xr:uid="{881FA300-A608-460B-AFC3-F72608329BF6}"/>
    <cellStyle name="20% - Accent6 2 2 8" xfId="4546" xr:uid="{00000000-0005-0000-0000-00004A030000}"/>
    <cellStyle name="20% - Accent6 2 2 8 2" xfId="13872" xr:uid="{56D869E0-2E37-4C18-BD1B-5FC68CB015A1}"/>
    <cellStyle name="20% - Accent6 2 2 9" xfId="8898" xr:uid="{88686F75-037F-4072-9BDC-942546C51E8F}"/>
    <cellStyle name="20% - Accent6 2 2 9 2" xfId="18222" xr:uid="{1B96C1D4-E52F-4F04-8D6D-1A632C76BD9D}"/>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16433" xr:uid="{EC72D020-B6C1-4F63-876A-CC06D4813465}"/>
    <cellStyle name="20% - Accent6 2 3 2 2 3" xfId="12216" xr:uid="{9C385E56-DCB6-4F27-BF86-132735159BAF}"/>
    <cellStyle name="20% - Accent6 2 3 2 3" xfId="4962" xr:uid="{00000000-0005-0000-0000-00004F030000}"/>
    <cellStyle name="20% - Accent6 2 3 2 3 2" xfId="14288" xr:uid="{F9D8403C-FDE6-46FE-B228-DEDD670D09AF}"/>
    <cellStyle name="20% - Accent6 2 3 2 4" xfId="9427" xr:uid="{009378B6-C0A8-4C7C-A9A2-F91104842D93}"/>
    <cellStyle name="20% - Accent6 2 3 2 4 2" xfId="18742" xr:uid="{02657697-6518-483E-AB79-3DAB44EB4732}"/>
    <cellStyle name="20% - Accent6 2 3 2 5" xfId="10071" xr:uid="{A9806F8D-F431-433F-A939-9BF761B7F7A6}"/>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16846" xr:uid="{1D22C390-AA09-4467-9558-B9C0D59718E5}"/>
    <cellStyle name="20% - Accent6 2 3 3 2 3" xfId="12629" xr:uid="{EAECBBE2-B2DA-469E-9B51-ACD1EF5E2EE1}"/>
    <cellStyle name="20% - Accent6 2 3 3 3" xfId="5375" xr:uid="{00000000-0005-0000-0000-000053030000}"/>
    <cellStyle name="20% - Accent6 2 3 3 3 2" xfId="14701" xr:uid="{0F2DA521-184C-4DF0-BD3B-D779061EE43F}"/>
    <cellStyle name="20% - Accent6 2 3 3 4" xfId="10484" xr:uid="{4223A03F-836D-4DD7-B94A-BF304758BFC3}"/>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17259" xr:uid="{6F2331AC-54A7-4FBB-8A6A-515A777986F3}"/>
    <cellStyle name="20% - Accent6 2 3 4 2 3" xfId="13042" xr:uid="{038B9A36-B273-4B47-A0B4-6AE64A93FE2B}"/>
    <cellStyle name="20% - Accent6 2 3 4 3" xfId="5788" xr:uid="{00000000-0005-0000-0000-000057030000}"/>
    <cellStyle name="20% - Accent6 2 3 4 3 2" xfId="15114" xr:uid="{C8CE6FC2-4CAF-4CCE-A9EA-9F3C5A7C459F}"/>
    <cellStyle name="20% - Accent6 2 3 4 4" xfId="10897" xr:uid="{24D03205-EEEC-4687-9147-48B6131E8064}"/>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17672" xr:uid="{68528F75-25D0-4C11-AFC3-905A51720933}"/>
    <cellStyle name="20% - Accent6 2 3 5 2 3" xfId="13455" xr:uid="{6C278821-F6A8-48DA-94BB-0E77D7B772C2}"/>
    <cellStyle name="20% - Accent6 2 3 5 3" xfId="6201" xr:uid="{00000000-0005-0000-0000-00005B030000}"/>
    <cellStyle name="20% - Accent6 2 3 5 3 2" xfId="15527" xr:uid="{F5F49468-5C7A-426F-ADA9-17BD7B773950}"/>
    <cellStyle name="20% - Accent6 2 3 5 4" xfId="11310" xr:uid="{E9D2DBF4-AE01-46A3-99FE-9E4EABD20B23}"/>
    <cellStyle name="20% - Accent6 2 3 6" xfId="2308" xr:uid="{00000000-0005-0000-0000-00005C030000}"/>
    <cellStyle name="20% - Accent6 2 3 6 2" xfId="6614" xr:uid="{00000000-0005-0000-0000-00005D030000}"/>
    <cellStyle name="20% - Accent6 2 3 6 2 2" xfId="15940" xr:uid="{06607E6A-6EC9-4C84-9D3A-7EB648C37554}"/>
    <cellStyle name="20% - Accent6 2 3 6 3" xfId="11723" xr:uid="{7AFAF170-BA28-4F45-9593-28F8F2F2F0BC}"/>
    <cellStyle name="20% - Accent6 2 3 7" xfId="4548" xr:uid="{00000000-0005-0000-0000-00005E030000}"/>
    <cellStyle name="20% - Accent6 2 3 7 2" xfId="13874" xr:uid="{4495E367-E742-4E85-A5E7-3D6E106510B3}"/>
    <cellStyle name="20% - Accent6 2 3 8" xfId="9002" xr:uid="{F69877AB-868C-474F-8F88-C5F2F1F2C041}"/>
    <cellStyle name="20% - Accent6 2 3 8 2" xfId="18326" xr:uid="{AB03A0A1-1A77-4B4D-8EBE-8D68C258A5C2}"/>
    <cellStyle name="20% - Accent6 2 3 9" xfId="9657" xr:uid="{D47CCA34-9ECE-47E5-95DA-86731E1473D8}"/>
    <cellStyle name="20% - Accent6 2 4" xfId="611" xr:uid="{00000000-0005-0000-0000-00005F030000}"/>
    <cellStyle name="20% - Accent6 2 4 2" xfId="2882" xr:uid="{00000000-0005-0000-0000-000060030000}"/>
    <cellStyle name="20% - Accent6 2 4 2 2" xfId="7104" xr:uid="{00000000-0005-0000-0000-000061030000}"/>
    <cellStyle name="20% - Accent6 2 4 2 2 2" xfId="16430" xr:uid="{CEA0FDC7-1D22-4147-97DF-DCDE55FC9019}"/>
    <cellStyle name="20% - Accent6 2 4 2 3" xfId="12213" xr:uid="{3962839B-22DD-49C1-9310-84B454171498}"/>
    <cellStyle name="20% - Accent6 2 4 3" xfId="4959" xr:uid="{00000000-0005-0000-0000-000062030000}"/>
    <cellStyle name="20% - Accent6 2 4 3 2" xfId="14285" xr:uid="{3F88BA3A-D868-434D-9112-F705C3A5E4FF}"/>
    <cellStyle name="20% - Accent6 2 4 4" xfId="9219" xr:uid="{C8AD75F8-261B-45C4-93F0-0E0A49EEEF79}"/>
    <cellStyle name="20% - Accent6 2 4 4 2" xfId="18535" xr:uid="{1A08DDB2-C6F8-4377-A2AF-46A83B819680}"/>
    <cellStyle name="20% - Accent6 2 4 5" xfId="10068" xr:uid="{88C74272-6BE2-4537-AD79-711BD11D2347}"/>
    <cellStyle name="20% - Accent6 2 5" xfId="1064" xr:uid="{00000000-0005-0000-0000-000063030000}"/>
    <cellStyle name="20% - Accent6 2 5 2" xfId="3295" xr:uid="{00000000-0005-0000-0000-000064030000}"/>
    <cellStyle name="20% - Accent6 2 5 2 2" xfId="7517" xr:uid="{00000000-0005-0000-0000-000065030000}"/>
    <cellStyle name="20% - Accent6 2 5 2 2 2" xfId="16843" xr:uid="{5C9021B3-5400-47A7-A94F-EB3B330BA003}"/>
    <cellStyle name="20% - Accent6 2 5 2 3" xfId="12626" xr:uid="{28B19F2A-8207-4EE5-8C8F-D1708EAE9B7A}"/>
    <cellStyle name="20% - Accent6 2 5 3" xfId="5372" xr:uid="{00000000-0005-0000-0000-000066030000}"/>
    <cellStyle name="20% - Accent6 2 5 3 2" xfId="14698" xr:uid="{F2277BFF-FBAE-4672-BA67-52C62F1E2229}"/>
    <cellStyle name="20% - Accent6 2 5 4" xfId="10481" xr:uid="{BDDAC10A-5C29-4AC4-9D4B-AC5B56B98730}"/>
    <cellStyle name="20% - Accent6 2 6" xfId="1478" xr:uid="{00000000-0005-0000-0000-000067030000}"/>
    <cellStyle name="20% - Accent6 2 6 2" xfId="3708" xr:uid="{00000000-0005-0000-0000-000068030000}"/>
    <cellStyle name="20% - Accent6 2 6 2 2" xfId="7930" xr:uid="{00000000-0005-0000-0000-000069030000}"/>
    <cellStyle name="20% - Accent6 2 6 2 2 2" xfId="17256" xr:uid="{23545E05-57DA-410D-B03D-562EAC33EA37}"/>
    <cellStyle name="20% - Accent6 2 6 2 3" xfId="13039" xr:uid="{7D1CCA66-043D-40CA-BD47-B5711179133B}"/>
    <cellStyle name="20% - Accent6 2 6 3" xfId="5785" xr:uid="{00000000-0005-0000-0000-00006A030000}"/>
    <cellStyle name="20% - Accent6 2 6 3 2" xfId="15111" xr:uid="{026640FC-B507-4549-A3EB-AC8F7A617980}"/>
    <cellStyle name="20% - Accent6 2 6 4" xfId="10894" xr:uid="{BCAB44FA-43EA-4ECD-84C5-2C988A2393BB}"/>
    <cellStyle name="20% - Accent6 2 7" xfId="1892" xr:uid="{00000000-0005-0000-0000-00006B030000}"/>
    <cellStyle name="20% - Accent6 2 7 2" xfId="4121" xr:uid="{00000000-0005-0000-0000-00006C030000}"/>
    <cellStyle name="20% - Accent6 2 7 2 2" xfId="8343" xr:uid="{00000000-0005-0000-0000-00006D030000}"/>
    <cellStyle name="20% - Accent6 2 7 2 2 2" xfId="17669" xr:uid="{BEDDF916-3F3B-4645-A8D7-7EDA33810E04}"/>
    <cellStyle name="20% - Accent6 2 7 2 3" xfId="13452" xr:uid="{F1AFFE37-6140-48E9-93A0-20FC697C1C61}"/>
    <cellStyle name="20% - Accent6 2 7 3" xfId="6198" xr:uid="{00000000-0005-0000-0000-00006E030000}"/>
    <cellStyle name="20% - Accent6 2 7 3 2" xfId="15524" xr:uid="{2E3797EF-45D1-451B-9689-3B7978738701}"/>
    <cellStyle name="20% - Accent6 2 7 4" xfId="11307" xr:uid="{71DAEE93-AAFD-4220-BCD3-EF14A0B7AE66}"/>
    <cellStyle name="20% - Accent6 2 8" xfId="2305" xr:uid="{00000000-0005-0000-0000-00006F030000}"/>
    <cellStyle name="20% - Accent6 2 8 2" xfId="6611" xr:uid="{00000000-0005-0000-0000-000070030000}"/>
    <cellStyle name="20% - Accent6 2 8 2 2" xfId="15937" xr:uid="{2A283D66-E3DB-4C6C-826B-033557938D88}"/>
    <cellStyle name="20% - Accent6 2 8 3" xfId="11720" xr:uid="{87CCEFFD-FD73-4C45-9492-97615AAA7411}"/>
    <cellStyle name="20% - Accent6 2 9" xfId="4545" xr:uid="{00000000-0005-0000-0000-000071030000}"/>
    <cellStyle name="20% - Accent6 2 9 2" xfId="13871" xr:uid="{A172DC13-D7E9-4A33-9E73-011A353CA4CA}"/>
    <cellStyle name="20% - Accent6 3" xfId="46" xr:uid="{00000000-0005-0000-0000-000072030000}"/>
    <cellStyle name="20% - Accent6 3 10" xfId="9658" xr:uid="{9E703267-6ADA-4274-93D8-6B6F58EB3571}"/>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16435" xr:uid="{CC33154C-F389-4790-AED5-51E925556420}"/>
    <cellStyle name="20% - Accent6 3 2 2 2 3" xfId="12218" xr:uid="{4C38DBF0-8886-4536-965F-390687FA4541}"/>
    <cellStyle name="20% - Accent6 3 2 2 3" xfId="4964" xr:uid="{00000000-0005-0000-0000-000077030000}"/>
    <cellStyle name="20% - Accent6 3 2 2 3 2" xfId="14290" xr:uid="{7F4ADF8B-AEA3-485D-AD28-2A2DED71E563}"/>
    <cellStyle name="20% - Accent6 3 2 2 4" xfId="9503" xr:uid="{A5A3EDF8-16EA-4A86-8795-C3BA46FE244A}"/>
    <cellStyle name="20% - Accent6 3 2 2 4 2" xfId="18818" xr:uid="{6C254471-553B-47E9-B342-92574382D5D8}"/>
    <cellStyle name="20% - Accent6 3 2 2 5" xfId="10073" xr:uid="{9C7D5223-5BB8-4B32-B00A-48433551BEFD}"/>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16848" xr:uid="{FAD5B848-9461-45AD-9AD1-2BE976D9D454}"/>
    <cellStyle name="20% - Accent6 3 2 3 2 3" xfId="12631" xr:uid="{8CE18950-502B-43DA-8070-BF4E8B23406E}"/>
    <cellStyle name="20% - Accent6 3 2 3 3" xfId="5377" xr:uid="{00000000-0005-0000-0000-00007B030000}"/>
    <cellStyle name="20% - Accent6 3 2 3 3 2" xfId="14703" xr:uid="{B2F6161D-6D64-4A8A-83F3-9FC3C3ED44E3}"/>
    <cellStyle name="20% - Accent6 3 2 3 4" xfId="10486" xr:uid="{3C618D59-D8E4-44BB-BBDB-0613E358E6C9}"/>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17261" xr:uid="{76531ED4-2749-49E3-B987-4DF35604EA3B}"/>
    <cellStyle name="20% - Accent6 3 2 4 2 3" xfId="13044" xr:uid="{2A37F039-82B5-45FE-B0A1-4F9D816DE23F}"/>
    <cellStyle name="20% - Accent6 3 2 4 3" xfId="5790" xr:uid="{00000000-0005-0000-0000-00007F030000}"/>
    <cellStyle name="20% - Accent6 3 2 4 3 2" xfId="15116" xr:uid="{0C2E92B6-98ED-434F-85DE-939913EE1570}"/>
    <cellStyle name="20% - Accent6 3 2 4 4" xfId="10899" xr:uid="{F216B87F-9D51-4666-8819-4AFAA0144B67}"/>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17674" xr:uid="{0EE5B0F4-4605-488F-91A3-0E6425D7D44D}"/>
    <cellStyle name="20% - Accent6 3 2 5 2 3" xfId="13457" xr:uid="{E6A606A4-CEBD-4CD5-8AF4-CC09E079F1BF}"/>
    <cellStyle name="20% - Accent6 3 2 5 3" xfId="6203" xr:uid="{00000000-0005-0000-0000-000083030000}"/>
    <cellStyle name="20% - Accent6 3 2 5 3 2" xfId="15529" xr:uid="{D198DF19-340C-4914-849F-67A9B0676A02}"/>
    <cellStyle name="20% - Accent6 3 2 5 4" xfId="11312" xr:uid="{7A9DBFBC-CDA9-4219-A63E-483B28F427C2}"/>
    <cellStyle name="20% - Accent6 3 2 6" xfId="2310" xr:uid="{00000000-0005-0000-0000-000084030000}"/>
    <cellStyle name="20% - Accent6 3 2 6 2" xfId="6616" xr:uid="{00000000-0005-0000-0000-000085030000}"/>
    <cellStyle name="20% - Accent6 3 2 6 2 2" xfId="15942" xr:uid="{3770BDE8-0B32-4F5A-A769-1534B35965F8}"/>
    <cellStyle name="20% - Accent6 3 2 6 3" xfId="11725" xr:uid="{C594C1AC-0025-4F6A-ACEB-1B671C5E7754}"/>
    <cellStyle name="20% - Accent6 3 2 7" xfId="4550" xr:uid="{00000000-0005-0000-0000-000086030000}"/>
    <cellStyle name="20% - Accent6 3 2 7 2" xfId="13876" xr:uid="{4AD4DA55-754B-4F06-9746-0AAB99BF2BFF}"/>
    <cellStyle name="20% - Accent6 3 2 8" xfId="9078" xr:uid="{55C63253-C10A-44F0-A9A1-D3E9AD1B1E77}"/>
    <cellStyle name="20% - Accent6 3 2 8 2" xfId="18402" xr:uid="{B4F48957-3061-4F36-8744-5889191AE48B}"/>
    <cellStyle name="20% - Accent6 3 2 9" xfId="9659" xr:uid="{1CCEA287-5A78-4BC5-B16A-DF79C481999F}"/>
    <cellStyle name="20% - Accent6 3 3" xfId="615" xr:uid="{00000000-0005-0000-0000-000087030000}"/>
    <cellStyle name="20% - Accent6 3 3 2" xfId="2886" xr:uid="{00000000-0005-0000-0000-000088030000}"/>
    <cellStyle name="20% - Accent6 3 3 2 2" xfId="7108" xr:uid="{00000000-0005-0000-0000-000089030000}"/>
    <cellStyle name="20% - Accent6 3 3 2 2 2" xfId="16434" xr:uid="{BDF96BD5-4008-44F4-AF6F-DB9B89B3FBC9}"/>
    <cellStyle name="20% - Accent6 3 3 2 3" xfId="12217" xr:uid="{3E378726-08A2-49EA-8813-AA2A10B1249D}"/>
    <cellStyle name="20% - Accent6 3 3 3" xfId="4963" xr:uid="{00000000-0005-0000-0000-00008A030000}"/>
    <cellStyle name="20% - Accent6 3 3 3 2" xfId="14289" xr:uid="{66E345D8-2201-4C7A-BE56-F5E7E00D45D5}"/>
    <cellStyle name="20% - Accent6 3 3 4" xfId="9296" xr:uid="{68DBDAD1-945F-459A-93CE-56D312D1EDE4}"/>
    <cellStyle name="20% - Accent6 3 3 4 2" xfId="18611" xr:uid="{C0AA67E6-EFA3-4C29-B868-A7E3E19B419F}"/>
    <cellStyle name="20% - Accent6 3 3 5" xfId="10072" xr:uid="{DF12D931-2F85-4BE4-8286-F2DB5811027A}"/>
    <cellStyle name="20% - Accent6 3 4" xfId="1068" xr:uid="{00000000-0005-0000-0000-00008B030000}"/>
    <cellStyle name="20% - Accent6 3 4 2" xfId="3299" xr:uid="{00000000-0005-0000-0000-00008C030000}"/>
    <cellStyle name="20% - Accent6 3 4 2 2" xfId="7521" xr:uid="{00000000-0005-0000-0000-00008D030000}"/>
    <cellStyle name="20% - Accent6 3 4 2 2 2" xfId="16847" xr:uid="{D0646B21-EF60-4AC9-B2E0-394FCBF2A3C0}"/>
    <cellStyle name="20% - Accent6 3 4 2 3" xfId="12630" xr:uid="{F188460A-F062-4AE1-852F-45FE5B8BBE37}"/>
    <cellStyle name="20% - Accent6 3 4 3" xfId="5376" xr:uid="{00000000-0005-0000-0000-00008E030000}"/>
    <cellStyle name="20% - Accent6 3 4 3 2" xfId="14702" xr:uid="{15F09BC3-EC8D-4452-A54F-04742117B58E}"/>
    <cellStyle name="20% - Accent6 3 4 4" xfId="10485" xr:uid="{41CDB27D-8ACA-4AC7-B15D-6B782E0D554E}"/>
    <cellStyle name="20% - Accent6 3 5" xfId="1482" xr:uid="{00000000-0005-0000-0000-00008F030000}"/>
    <cellStyle name="20% - Accent6 3 5 2" xfId="3712" xr:uid="{00000000-0005-0000-0000-000090030000}"/>
    <cellStyle name="20% - Accent6 3 5 2 2" xfId="7934" xr:uid="{00000000-0005-0000-0000-000091030000}"/>
    <cellStyle name="20% - Accent6 3 5 2 2 2" xfId="17260" xr:uid="{63C98C14-B6AB-46D7-A095-E95F9DE42E7E}"/>
    <cellStyle name="20% - Accent6 3 5 2 3" xfId="13043" xr:uid="{59C1575F-69F9-44C1-B85C-6339973DBECC}"/>
    <cellStyle name="20% - Accent6 3 5 3" xfId="5789" xr:uid="{00000000-0005-0000-0000-000092030000}"/>
    <cellStyle name="20% - Accent6 3 5 3 2" xfId="15115" xr:uid="{7D6111DD-6832-4FC0-B689-D6DC12584055}"/>
    <cellStyle name="20% - Accent6 3 5 4" xfId="10898" xr:uid="{096F4777-FBD9-45B5-B113-2BBFAA472C70}"/>
    <cellStyle name="20% - Accent6 3 6" xfId="1896" xr:uid="{00000000-0005-0000-0000-000093030000}"/>
    <cellStyle name="20% - Accent6 3 6 2" xfId="4125" xr:uid="{00000000-0005-0000-0000-000094030000}"/>
    <cellStyle name="20% - Accent6 3 6 2 2" xfId="8347" xr:uid="{00000000-0005-0000-0000-000095030000}"/>
    <cellStyle name="20% - Accent6 3 6 2 2 2" xfId="17673" xr:uid="{ECC31592-9AFD-4BFF-B4AB-CD29C498C0EC}"/>
    <cellStyle name="20% - Accent6 3 6 2 3" xfId="13456" xr:uid="{1CD23D4A-B8E5-4DE2-89BE-DA093B88E814}"/>
    <cellStyle name="20% - Accent6 3 6 3" xfId="6202" xr:uid="{00000000-0005-0000-0000-000096030000}"/>
    <cellStyle name="20% - Accent6 3 6 3 2" xfId="15528" xr:uid="{DA69D9BD-1912-450F-9CA1-8D0992372E11}"/>
    <cellStyle name="20% - Accent6 3 6 4" xfId="11311" xr:uid="{B57F57C7-AFF7-431F-A35B-42BAA41A9CFB}"/>
    <cellStyle name="20% - Accent6 3 7" xfId="2309" xr:uid="{00000000-0005-0000-0000-000097030000}"/>
    <cellStyle name="20% - Accent6 3 7 2" xfId="6615" xr:uid="{00000000-0005-0000-0000-000098030000}"/>
    <cellStyle name="20% - Accent6 3 7 2 2" xfId="15941" xr:uid="{B1B44002-3F17-4659-9B3E-1B43337DD810}"/>
    <cellStyle name="20% - Accent6 3 7 3" xfId="11724" xr:uid="{0DFCD2B2-29C1-4C17-A336-584F95574F84}"/>
    <cellStyle name="20% - Accent6 3 8" xfId="4549" xr:uid="{00000000-0005-0000-0000-000099030000}"/>
    <cellStyle name="20% - Accent6 3 8 2" xfId="13875" xr:uid="{FB976E8C-5721-48DB-9C0B-8B5F461CD192}"/>
    <cellStyle name="20% - Accent6 3 9" xfId="8871" xr:uid="{6A653046-C3D6-46DC-9DAA-DA1241CBE9F0}"/>
    <cellStyle name="20% - Accent6 3 9 2" xfId="18195" xr:uid="{B3AD6FB9-B764-41E3-BA8C-99150F43B8EB}"/>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2 2 2" xfId="16436" xr:uid="{08ACEB4D-41D3-4323-9E85-BB61B0F73C91}"/>
    <cellStyle name="20% - Accent6 4 2 2 3" xfId="12219" xr:uid="{BC5D9A59-3822-4066-ACD5-6BCB0756D265}"/>
    <cellStyle name="20% - Accent6 4 2 3" xfId="4965" xr:uid="{00000000-0005-0000-0000-00009E030000}"/>
    <cellStyle name="20% - Accent6 4 2 3 2" xfId="14291" xr:uid="{71991B86-1F0A-4928-8EB3-C66633DA95C6}"/>
    <cellStyle name="20% - Accent6 4 2 4" xfId="9382" xr:uid="{704ED43C-A59A-4E80-A03F-B933767E3A55}"/>
    <cellStyle name="20% - Accent6 4 2 4 2" xfId="18697" xr:uid="{22455887-B508-46A2-8ADF-2F0CE143564B}"/>
    <cellStyle name="20% - Accent6 4 2 5" xfId="10074" xr:uid="{20C91ECC-6DE4-461B-B587-8BB0AFB07CFF}"/>
    <cellStyle name="20% - Accent6 4 3" xfId="1070" xr:uid="{00000000-0005-0000-0000-00009F030000}"/>
    <cellStyle name="20% - Accent6 4 3 2" xfId="3301" xr:uid="{00000000-0005-0000-0000-0000A0030000}"/>
    <cellStyle name="20% - Accent6 4 3 2 2" xfId="7523" xr:uid="{00000000-0005-0000-0000-0000A1030000}"/>
    <cellStyle name="20% - Accent6 4 3 2 2 2" xfId="16849" xr:uid="{D00D6DAA-B771-4CDC-A002-28030936282D}"/>
    <cellStyle name="20% - Accent6 4 3 2 3" xfId="12632" xr:uid="{AA785F90-5B32-49CE-B066-DFEBF87C6020}"/>
    <cellStyle name="20% - Accent6 4 3 3" xfId="5378" xr:uid="{00000000-0005-0000-0000-0000A2030000}"/>
    <cellStyle name="20% - Accent6 4 3 3 2" xfId="14704" xr:uid="{385C1AEC-95CE-4887-857E-4C9B2A193FAE}"/>
    <cellStyle name="20% - Accent6 4 3 4" xfId="10487" xr:uid="{D24B7F9F-E519-462A-A5A9-C9D67C6DCABE}"/>
    <cellStyle name="20% - Accent6 4 4" xfId="1484" xr:uid="{00000000-0005-0000-0000-0000A3030000}"/>
    <cellStyle name="20% - Accent6 4 4 2" xfId="3714" xr:uid="{00000000-0005-0000-0000-0000A4030000}"/>
    <cellStyle name="20% - Accent6 4 4 2 2" xfId="7936" xr:uid="{00000000-0005-0000-0000-0000A5030000}"/>
    <cellStyle name="20% - Accent6 4 4 2 2 2" xfId="17262" xr:uid="{8A273878-D774-4B1E-8FF3-C186ACFFD197}"/>
    <cellStyle name="20% - Accent6 4 4 2 3" xfId="13045" xr:uid="{30411313-3859-401B-802A-71EACC85F476}"/>
    <cellStyle name="20% - Accent6 4 4 3" xfId="5791" xr:uid="{00000000-0005-0000-0000-0000A6030000}"/>
    <cellStyle name="20% - Accent6 4 4 3 2" xfId="15117" xr:uid="{3A9A3F15-0862-45DB-B75B-3237913388DA}"/>
    <cellStyle name="20% - Accent6 4 4 4" xfId="10900" xr:uid="{E374A35C-0B30-4B17-9FFD-D62556C1D3EC}"/>
    <cellStyle name="20% - Accent6 4 5" xfId="1898" xr:uid="{00000000-0005-0000-0000-0000A7030000}"/>
    <cellStyle name="20% - Accent6 4 5 2" xfId="4127" xr:uid="{00000000-0005-0000-0000-0000A8030000}"/>
    <cellStyle name="20% - Accent6 4 5 2 2" xfId="8349" xr:uid="{00000000-0005-0000-0000-0000A9030000}"/>
    <cellStyle name="20% - Accent6 4 5 2 2 2" xfId="17675" xr:uid="{F76B5738-D2D9-40DE-9101-07A87A22548F}"/>
    <cellStyle name="20% - Accent6 4 5 2 3" xfId="13458" xr:uid="{C9609115-9F21-4D11-A810-C10CB1D9B596}"/>
    <cellStyle name="20% - Accent6 4 5 3" xfId="6204" xr:uid="{00000000-0005-0000-0000-0000AA030000}"/>
    <cellStyle name="20% - Accent6 4 5 3 2" xfId="15530" xr:uid="{59211E48-7D28-4EDB-93CA-C75718785A81}"/>
    <cellStyle name="20% - Accent6 4 5 4" xfId="11313" xr:uid="{5BADF971-F167-4A82-9159-2CB62A5728C3}"/>
    <cellStyle name="20% - Accent6 4 6" xfId="2311" xr:uid="{00000000-0005-0000-0000-0000AB030000}"/>
    <cellStyle name="20% - Accent6 4 6 2" xfId="6617" xr:uid="{00000000-0005-0000-0000-0000AC030000}"/>
    <cellStyle name="20% - Accent6 4 6 2 2" xfId="15943" xr:uid="{3F753A14-9687-4B00-B7BF-760A3F6DFDF9}"/>
    <cellStyle name="20% - Accent6 4 6 3" xfId="11726" xr:uid="{765FD814-163E-4C40-A2C3-5235CC299B5A}"/>
    <cellStyle name="20% - Accent6 4 7" xfId="4551" xr:uid="{00000000-0005-0000-0000-0000AD030000}"/>
    <cellStyle name="20% - Accent6 4 7 2" xfId="13877" xr:uid="{E6D4247F-BE87-405A-8D26-088C54ADAA1E}"/>
    <cellStyle name="20% - Accent6 4 8" xfId="8957" xr:uid="{03E1DA3A-6A3F-4C0D-9844-2D38E7BA13BC}"/>
    <cellStyle name="20% - Accent6 4 8 2" xfId="18281" xr:uid="{0E95FB6C-4319-41A9-8CCA-080AF10275FE}"/>
    <cellStyle name="20% - Accent6 4 9" xfId="9660" xr:uid="{731F0750-FBC8-42EF-A9B5-A4AB595265C8}"/>
    <cellStyle name="20% - Accent6 5" xfId="610" xr:uid="{00000000-0005-0000-0000-0000AE030000}"/>
    <cellStyle name="20% - Accent6 5 2" xfId="2881" xr:uid="{00000000-0005-0000-0000-0000AF030000}"/>
    <cellStyle name="20% - Accent6 5 2 2" xfId="7103" xr:uid="{00000000-0005-0000-0000-0000B0030000}"/>
    <cellStyle name="20% - Accent6 5 2 2 2" xfId="16429" xr:uid="{1427A12E-2E7E-4D7D-B07A-E09129D2A188}"/>
    <cellStyle name="20% - Accent6 5 2 3" xfId="12212" xr:uid="{90E4342D-E9F1-4589-ABD7-AAA5F58389D5}"/>
    <cellStyle name="20% - Accent6 5 3" xfId="4958" xr:uid="{00000000-0005-0000-0000-0000B1030000}"/>
    <cellStyle name="20% - Accent6 5 3 2" xfId="14284" xr:uid="{BF3EE634-CA1A-46A2-9940-07F2BE6D71D5}"/>
    <cellStyle name="20% - Accent6 5 4" xfId="9191" xr:uid="{C812E2E5-5572-4E86-9CB6-C7C53792C044}"/>
    <cellStyle name="20% - Accent6 5 4 2" xfId="18508" xr:uid="{91A55144-4A67-4439-9CB5-642B75F02DB8}"/>
    <cellStyle name="20% - Accent6 5 5" xfId="10067" xr:uid="{C34A9ED7-8994-46A6-B525-7080A9732ECB}"/>
    <cellStyle name="20% - Accent6 6" xfId="1063" xr:uid="{00000000-0005-0000-0000-0000B2030000}"/>
    <cellStyle name="20% - Accent6 6 2" xfId="3294" xr:uid="{00000000-0005-0000-0000-0000B3030000}"/>
    <cellStyle name="20% - Accent6 6 2 2" xfId="7516" xr:uid="{00000000-0005-0000-0000-0000B4030000}"/>
    <cellStyle name="20% - Accent6 6 2 2 2" xfId="16842" xr:uid="{4C8414C5-86CC-430E-BB19-B21C8186243B}"/>
    <cellStyle name="20% - Accent6 6 2 3" xfId="12625" xr:uid="{9FA68522-2DFF-4E99-AFFD-0FF0703D2FD5}"/>
    <cellStyle name="20% - Accent6 6 3" xfId="5371" xr:uid="{00000000-0005-0000-0000-0000B5030000}"/>
    <cellStyle name="20% - Accent6 6 3 2" xfId="14697" xr:uid="{A845AF0B-23E8-44D0-831A-9A9C885AA0EA}"/>
    <cellStyle name="20% - Accent6 6 4" xfId="10480" xr:uid="{C592C972-4A50-487B-897E-A7C053D34D34}"/>
    <cellStyle name="20% - Accent6 7" xfId="1477" xr:uid="{00000000-0005-0000-0000-0000B6030000}"/>
    <cellStyle name="20% - Accent6 7 2" xfId="3707" xr:uid="{00000000-0005-0000-0000-0000B7030000}"/>
    <cellStyle name="20% - Accent6 7 2 2" xfId="7929" xr:uid="{00000000-0005-0000-0000-0000B8030000}"/>
    <cellStyle name="20% - Accent6 7 2 2 2" xfId="17255" xr:uid="{E278551C-319A-4376-8074-D61265AB350D}"/>
    <cellStyle name="20% - Accent6 7 2 3" xfId="13038" xr:uid="{E8A0C4F3-2993-4584-9B88-1081737D6AD2}"/>
    <cellStyle name="20% - Accent6 7 3" xfId="5784" xr:uid="{00000000-0005-0000-0000-0000B9030000}"/>
    <cellStyle name="20% - Accent6 7 3 2" xfId="15110" xr:uid="{9315E21D-A849-4637-82E7-6D72FED09B57}"/>
    <cellStyle name="20% - Accent6 7 4" xfId="10893" xr:uid="{13FB9FAF-6503-47D1-A8F2-E686D2C4B3B4}"/>
    <cellStyle name="20% - Accent6 8" xfId="1891" xr:uid="{00000000-0005-0000-0000-0000BA030000}"/>
    <cellStyle name="20% - Accent6 8 2" xfId="4120" xr:uid="{00000000-0005-0000-0000-0000BB030000}"/>
    <cellStyle name="20% - Accent6 8 2 2" xfId="8342" xr:uid="{00000000-0005-0000-0000-0000BC030000}"/>
    <cellStyle name="20% - Accent6 8 2 2 2" xfId="17668" xr:uid="{5275AAD1-20C7-4D81-A137-62872A7A94C2}"/>
    <cellStyle name="20% - Accent6 8 2 3" xfId="13451" xr:uid="{E7E86B4A-41C9-48F3-96E6-A6A0AB702C78}"/>
    <cellStyle name="20% - Accent6 8 3" xfId="6197" xr:uid="{00000000-0005-0000-0000-0000BD030000}"/>
    <cellStyle name="20% - Accent6 8 3 2" xfId="15523" xr:uid="{14035DFF-6A75-4A5D-9D0D-826A56DDC6F9}"/>
    <cellStyle name="20% - Accent6 8 4" xfId="11306" xr:uid="{12458B43-DE5B-4779-9C59-1111B8E76C1B}"/>
    <cellStyle name="20% - Accent6 9" xfId="2304" xr:uid="{00000000-0005-0000-0000-0000BE030000}"/>
    <cellStyle name="20% - Accent6 9 2" xfId="6610" xr:uid="{00000000-0005-0000-0000-0000BF030000}"/>
    <cellStyle name="20% - Accent6 9 2 2" xfId="15936" xr:uid="{0E70C1FD-E0EF-4AC7-ABB6-08DAAFD1440B}"/>
    <cellStyle name="20% - Accent6 9 3" xfId="11719" xr:uid="{2E25DF08-5D28-4A30-A668-78543F8CBBE4}"/>
    <cellStyle name="40% - Accent1" xfId="49" builtinId="31" customBuiltin="1"/>
    <cellStyle name="40% - Accent1 10" xfId="4552" xr:uid="{00000000-0005-0000-0000-0000C1030000}"/>
    <cellStyle name="40% - Accent1 10 2" xfId="13878" xr:uid="{E2E13828-6FC9-46CA-9DAE-9138DB898075}"/>
    <cellStyle name="40% - Accent1 11" xfId="8759" xr:uid="{E0AA4078-00FF-4C00-81ED-1F048AC6C533}"/>
    <cellStyle name="40% - Accent1 11 2" xfId="18083" xr:uid="{549A28E2-F348-4FA5-9E8C-C5052C6A8FF0}"/>
    <cellStyle name="40% - Accent1 12" xfId="9661" xr:uid="{38A9F6F9-42FB-4FB4-A599-C9D01E541DB5}"/>
    <cellStyle name="40% - Accent1 2" xfId="50" xr:uid="{00000000-0005-0000-0000-0000C2030000}"/>
    <cellStyle name="40% - Accent1 2 10" xfId="8798" xr:uid="{82026451-631C-40CA-BC49-BE5DA2EA921A}"/>
    <cellStyle name="40% - Accent1 2 10 2" xfId="18122" xr:uid="{F37EAFC8-60EB-45CD-8FD8-FCF77DDF112D}"/>
    <cellStyle name="40% - Accent1 2 11" xfId="9662" xr:uid="{A6AC951A-55F8-401E-A6DF-4A74B76EE440}"/>
    <cellStyle name="40% - Accent1 2 2" xfId="51" xr:uid="{00000000-0005-0000-0000-0000C3030000}"/>
    <cellStyle name="40% - Accent1 2 2 10" xfId="9663" xr:uid="{30D374FD-C1E3-42F5-8274-A572335C51A2}"/>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16440" xr:uid="{8FB0466B-FE48-4A8D-9727-E69EFABAFD15}"/>
    <cellStyle name="40% - Accent1 2 2 2 2 2 3" xfId="12223" xr:uid="{9EA06FBD-01DE-47D5-BFC1-C91F130378C0}"/>
    <cellStyle name="40% - Accent1 2 2 2 2 3" xfId="4969" xr:uid="{00000000-0005-0000-0000-0000C8030000}"/>
    <cellStyle name="40% - Accent1 2 2 2 2 3 2" xfId="14295" xr:uid="{3462D07B-79FB-4AB1-9C2C-379B28B641EF}"/>
    <cellStyle name="40% - Accent1 2 2 2 2 4" xfId="9533" xr:uid="{757B5AC4-115E-4B90-B4EA-505C31F9B178}"/>
    <cellStyle name="40% - Accent1 2 2 2 2 4 2" xfId="18848" xr:uid="{D85E2EAF-B5DB-4965-AE45-6D51EC77B748}"/>
    <cellStyle name="40% - Accent1 2 2 2 2 5" xfId="10078" xr:uid="{867155B8-A1D8-4495-9475-096D2F584832}"/>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16853" xr:uid="{3AAC4205-5380-4C78-B2A4-8B54A02D1548}"/>
    <cellStyle name="40% - Accent1 2 2 2 3 2 3" xfId="12636" xr:uid="{FCDB0BE0-9DAB-4C5D-8A00-9765E5E871F4}"/>
    <cellStyle name="40% - Accent1 2 2 2 3 3" xfId="5382" xr:uid="{00000000-0005-0000-0000-0000CC030000}"/>
    <cellStyle name="40% - Accent1 2 2 2 3 3 2" xfId="14708" xr:uid="{E76FE27E-32D3-4A2F-9E74-1450D2D5B0E0}"/>
    <cellStyle name="40% - Accent1 2 2 2 3 4" xfId="10491" xr:uid="{37F7DEEC-C4AA-4B5E-89E1-C5AA6D0668A4}"/>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17266" xr:uid="{4B6D279F-874A-4A87-B84C-6A95F828A75E}"/>
    <cellStyle name="40% - Accent1 2 2 2 4 2 3" xfId="13049" xr:uid="{3BF66877-793C-457F-BC81-549819442CE9}"/>
    <cellStyle name="40% - Accent1 2 2 2 4 3" xfId="5795" xr:uid="{00000000-0005-0000-0000-0000D0030000}"/>
    <cellStyle name="40% - Accent1 2 2 2 4 3 2" xfId="15121" xr:uid="{3418BF6A-F484-4876-BBC6-0CBCAAD09C3C}"/>
    <cellStyle name="40% - Accent1 2 2 2 4 4" xfId="10904" xr:uid="{617CC889-A968-41FB-830F-0384CDB70FDF}"/>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17679" xr:uid="{BBE68043-9E48-4396-A5D7-9C733C67B751}"/>
    <cellStyle name="40% - Accent1 2 2 2 5 2 3" xfId="13462" xr:uid="{2D1C2BFA-C886-43D5-A3A7-82C5B091DE55}"/>
    <cellStyle name="40% - Accent1 2 2 2 5 3" xfId="6208" xr:uid="{00000000-0005-0000-0000-0000D4030000}"/>
    <cellStyle name="40% - Accent1 2 2 2 5 3 2" xfId="15534" xr:uid="{A968EB90-08C4-4605-8DC4-60D096342797}"/>
    <cellStyle name="40% - Accent1 2 2 2 5 4" xfId="11317" xr:uid="{11F28C71-995E-411D-B551-8C74A8ECD7BF}"/>
    <cellStyle name="40% - Accent1 2 2 2 6" xfId="2315" xr:uid="{00000000-0005-0000-0000-0000D5030000}"/>
    <cellStyle name="40% - Accent1 2 2 2 6 2" xfId="6621" xr:uid="{00000000-0005-0000-0000-0000D6030000}"/>
    <cellStyle name="40% - Accent1 2 2 2 6 2 2" xfId="15947" xr:uid="{ED98AB07-AFDD-4D53-A147-EDD64C1074B8}"/>
    <cellStyle name="40% - Accent1 2 2 2 6 3" xfId="11730" xr:uid="{CEF2C18D-6F1E-469D-ABBB-AF8D7A6D2784}"/>
    <cellStyle name="40% - Accent1 2 2 2 7" xfId="4555" xr:uid="{00000000-0005-0000-0000-0000D7030000}"/>
    <cellStyle name="40% - Accent1 2 2 2 7 2" xfId="13881" xr:uid="{7B2C6BCA-7CFC-4157-95F3-0173906D512B}"/>
    <cellStyle name="40% - Accent1 2 2 2 8" xfId="9108" xr:uid="{1189B5E8-DD3C-4F9A-ACD3-DB853C0AC60B}"/>
    <cellStyle name="40% - Accent1 2 2 2 8 2" xfId="18432" xr:uid="{90E40AD3-DBF7-4FC2-8C58-E6599487ECF0}"/>
    <cellStyle name="40% - Accent1 2 2 2 9" xfId="9664" xr:uid="{AE664561-FBAE-4AAA-983A-0D04C3653594}"/>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16439" xr:uid="{1C5ECC53-AE6A-404E-9999-FEFAA911CF9D}"/>
    <cellStyle name="40% - Accent1 2 2 3 2 3" xfId="12222" xr:uid="{3173903E-C909-4C33-B359-E692DA5184B3}"/>
    <cellStyle name="40% - Accent1 2 2 3 3" xfId="4968" xr:uid="{00000000-0005-0000-0000-0000DB030000}"/>
    <cellStyle name="40% - Accent1 2 2 3 3 2" xfId="14294" xr:uid="{CAB58035-AED7-4273-8F63-61729AAE147D}"/>
    <cellStyle name="40% - Accent1 2 2 3 4" xfId="9326" xr:uid="{6D693950-F4D3-4A82-8C01-49E2379281D4}"/>
    <cellStyle name="40% - Accent1 2 2 3 4 2" xfId="18641" xr:uid="{65E032E1-FDBB-44DF-8D9E-CA40DF3BD329}"/>
    <cellStyle name="40% - Accent1 2 2 3 5" xfId="10077" xr:uid="{94242E80-8689-473F-AA60-7383EB945275}"/>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16852" xr:uid="{5043E78B-2F5D-4D58-BEA1-4D3B2C1C0962}"/>
    <cellStyle name="40% - Accent1 2 2 4 2 3" xfId="12635" xr:uid="{7C00683D-099D-48CB-9C03-FFFB53A5D73F}"/>
    <cellStyle name="40% - Accent1 2 2 4 3" xfId="5381" xr:uid="{00000000-0005-0000-0000-0000DF030000}"/>
    <cellStyle name="40% - Accent1 2 2 4 3 2" xfId="14707" xr:uid="{C3E0475C-237A-40BA-9170-BB82277F5E84}"/>
    <cellStyle name="40% - Accent1 2 2 4 4" xfId="10490" xr:uid="{C11B0DC9-F671-40BA-BB8B-A3B26750667D}"/>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17265" xr:uid="{FA139636-6C5C-4EB8-9C1A-1F14F6F47ACF}"/>
    <cellStyle name="40% - Accent1 2 2 5 2 3" xfId="13048" xr:uid="{79CA1B42-FAD4-452E-BC94-F1A9AFB0BF71}"/>
    <cellStyle name="40% - Accent1 2 2 5 3" xfId="5794" xr:uid="{00000000-0005-0000-0000-0000E3030000}"/>
    <cellStyle name="40% - Accent1 2 2 5 3 2" xfId="15120" xr:uid="{D14C97A8-837E-41BC-9D55-4885AA0C61FA}"/>
    <cellStyle name="40% - Accent1 2 2 5 4" xfId="10903" xr:uid="{297D4AB1-BD8F-4B7E-AB23-ED56A6A81F4C}"/>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17678" xr:uid="{F32FA3A8-F9ED-4B33-A234-D8377DE6F70B}"/>
    <cellStyle name="40% - Accent1 2 2 6 2 3" xfId="13461" xr:uid="{9B6796C2-BC65-4F87-BCAF-F842A862C31A}"/>
    <cellStyle name="40% - Accent1 2 2 6 3" xfId="6207" xr:uid="{00000000-0005-0000-0000-0000E7030000}"/>
    <cellStyle name="40% - Accent1 2 2 6 3 2" xfId="15533" xr:uid="{5AB96EFE-8A3D-484D-AC47-DE6EC7F4C913}"/>
    <cellStyle name="40% - Accent1 2 2 6 4" xfId="11316" xr:uid="{C9DE70F4-EE9B-4858-9EF2-19FCAABAD96E}"/>
    <cellStyle name="40% - Accent1 2 2 7" xfId="2314" xr:uid="{00000000-0005-0000-0000-0000E8030000}"/>
    <cellStyle name="40% - Accent1 2 2 7 2" xfId="6620" xr:uid="{00000000-0005-0000-0000-0000E9030000}"/>
    <cellStyle name="40% - Accent1 2 2 7 2 2" xfId="15946" xr:uid="{516C54E9-8CFC-4DBF-9240-521177BFA077}"/>
    <cellStyle name="40% - Accent1 2 2 7 3" xfId="11729" xr:uid="{23F8A0C4-862A-4E52-A8A1-A318D5F29EB7}"/>
    <cellStyle name="40% - Accent1 2 2 8" xfId="4554" xr:uid="{00000000-0005-0000-0000-0000EA030000}"/>
    <cellStyle name="40% - Accent1 2 2 8 2" xfId="13880" xr:uid="{CCBFB8EB-A81D-406E-ADCA-5BEABB70A795}"/>
    <cellStyle name="40% - Accent1 2 2 9" xfId="8901" xr:uid="{10130317-AF31-4351-8201-FD8BD447EA3C}"/>
    <cellStyle name="40% - Accent1 2 2 9 2" xfId="18225" xr:uid="{01BEDA10-E84F-42C0-8AFB-50DD63AD1F2B}"/>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16441" xr:uid="{111C042C-59A9-4364-900F-8394C422D3E4}"/>
    <cellStyle name="40% - Accent1 2 3 2 2 3" xfId="12224" xr:uid="{B67030C6-735E-4207-93E1-0FEAF2EBD3E3}"/>
    <cellStyle name="40% - Accent1 2 3 2 3" xfId="4970" xr:uid="{00000000-0005-0000-0000-0000EF030000}"/>
    <cellStyle name="40% - Accent1 2 3 2 3 2" xfId="14296" xr:uid="{E7F9BC62-D111-462D-8C63-CCF12C290016}"/>
    <cellStyle name="40% - Accent1 2 3 2 4" xfId="9430" xr:uid="{C79D1FB2-141C-4301-8F37-B3B9643C0550}"/>
    <cellStyle name="40% - Accent1 2 3 2 4 2" xfId="18745" xr:uid="{8B1DDC93-DFDA-417F-9DEE-DEFE485CB0B4}"/>
    <cellStyle name="40% - Accent1 2 3 2 5" xfId="10079" xr:uid="{B5B5701A-ADD5-43D5-BB0C-9B7EA6F14B72}"/>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16854" xr:uid="{0A34BB07-1DA0-45A2-B6C9-F0F23977F2CE}"/>
    <cellStyle name="40% - Accent1 2 3 3 2 3" xfId="12637" xr:uid="{73DCDCED-4936-41E6-9A14-14E0346FA8AC}"/>
    <cellStyle name="40% - Accent1 2 3 3 3" xfId="5383" xr:uid="{00000000-0005-0000-0000-0000F3030000}"/>
    <cellStyle name="40% - Accent1 2 3 3 3 2" xfId="14709" xr:uid="{F0DEAD29-653D-4EAF-A041-7F6113536F33}"/>
    <cellStyle name="40% - Accent1 2 3 3 4" xfId="10492" xr:uid="{D3E4B7D0-04BD-4A61-924A-47131A0ECD1B}"/>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17267" xr:uid="{15237341-67E5-44CE-8D40-BFA17100E8EA}"/>
    <cellStyle name="40% - Accent1 2 3 4 2 3" xfId="13050" xr:uid="{EE4233F7-783A-465A-91FC-CA2B3A66E18C}"/>
    <cellStyle name="40% - Accent1 2 3 4 3" xfId="5796" xr:uid="{00000000-0005-0000-0000-0000F7030000}"/>
    <cellStyle name="40% - Accent1 2 3 4 3 2" xfId="15122" xr:uid="{F2DA5E3E-B52B-4F2B-9487-33B4457B7055}"/>
    <cellStyle name="40% - Accent1 2 3 4 4" xfId="10905" xr:uid="{E4B2D707-49BF-4AF8-9663-2E18D3475B96}"/>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17680" xr:uid="{09DEEF55-FA8B-46AA-8763-AD041B1EC1A3}"/>
    <cellStyle name="40% - Accent1 2 3 5 2 3" xfId="13463" xr:uid="{0BF025E4-3131-4614-A62B-DFC113AA06C2}"/>
    <cellStyle name="40% - Accent1 2 3 5 3" xfId="6209" xr:uid="{00000000-0005-0000-0000-0000FB030000}"/>
    <cellStyle name="40% - Accent1 2 3 5 3 2" xfId="15535" xr:uid="{D313637C-05E7-4109-B4C0-BB9588B38172}"/>
    <cellStyle name="40% - Accent1 2 3 5 4" xfId="11318" xr:uid="{FCA4B052-90EC-49E3-8D7B-2940E8D1314B}"/>
    <cellStyle name="40% - Accent1 2 3 6" xfId="2316" xr:uid="{00000000-0005-0000-0000-0000FC030000}"/>
    <cellStyle name="40% - Accent1 2 3 6 2" xfId="6622" xr:uid="{00000000-0005-0000-0000-0000FD030000}"/>
    <cellStyle name="40% - Accent1 2 3 6 2 2" xfId="15948" xr:uid="{D7BC960F-FD73-4B01-A09D-0405A4FEB62D}"/>
    <cellStyle name="40% - Accent1 2 3 6 3" xfId="11731" xr:uid="{2BA9B70F-EF7B-44BD-A4A5-0C6554D7B5F0}"/>
    <cellStyle name="40% - Accent1 2 3 7" xfId="4556" xr:uid="{00000000-0005-0000-0000-0000FE030000}"/>
    <cellStyle name="40% - Accent1 2 3 7 2" xfId="13882" xr:uid="{1AF874EB-10EE-4049-BA6A-E0A3D8143C02}"/>
    <cellStyle name="40% - Accent1 2 3 8" xfId="9005" xr:uid="{83AF69B9-664F-4E19-B721-7989C2FEBC0C}"/>
    <cellStyle name="40% - Accent1 2 3 8 2" xfId="18329" xr:uid="{4B554B05-B308-4D5D-9721-81ADF3EC87DB}"/>
    <cellStyle name="40% - Accent1 2 3 9" xfId="9665" xr:uid="{B13717C3-A6E3-4F3B-A7D8-8FD23AB5E719}"/>
    <cellStyle name="40% - Accent1 2 4" xfId="619" xr:uid="{00000000-0005-0000-0000-0000FF030000}"/>
    <cellStyle name="40% - Accent1 2 4 2" xfId="2890" xr:uid="{00000000-0005-0000-0000-000000040000}"/>
    <cellStyle name="40% - Accent1 2 4 2 2" xfId="7112" xr:uid="{00000000-0005-0000-0000-000001040000}"/>
    <cellStyle name="40% - Accent1 2 4 2 2 2" xfId="16438" xr:uid="{BFF060AF-D89D-44FD-B7D0-2B8E8DAA7063}"/>
    <cellStyle name="40% - Accent1 2 4 2 3" xfId="12221" xr:uid="{67E146D7-4F72-496B-8500-5088C5D72C2F}"/>
    <cellStyle name="40% - Accent1 2 4 3" xfId="4967" xr:uid="{00000000-0005-0000-0000-000002040000}"/>
    <cellStyle name="40% - Accent1 2 4 3 2" xfId="14293" xr:uid="{5668A9B7-A701-4178-8544-47D9D1666FD6}"/>
    <cellStyle name="40% - Accent1 2 4 4" xfId="9222" xr:uid="{A6B83122-AC98-4E58-AA4D-EC5ECC38FC6B}"/>
    <cellStyle name="40% - Accent1 2 4 4 2" xfId="18538" xr:uid="{61DDF59A-5243-46E7-B5B5-F6C6A1C92C29}"/>
    <cellStyle name="40% - Accent1 2 4 5" xfId="10076" xr:uid="{DD0FB880-6187-4A7D-9F67-623B9EBA7EE3}"/>
    <cellStyle name="40% - Accent1 2 5" xfId="1072" xr:uid="{00000000-0005-0000-0000-000003040000}"/>
    <cellStyle name="40% - Accent1 2 5 2" xfId="3303" xr:uid="{00000000-0005-0000-0000-000004040000}"/>
    <cellStyle name="40% - Accent1 2 5 2 2" xfId="7525" xr:uid="{00000000-0005-0000-0000-000005040000}"/>
    <cellStyle name="40% - Accent1 2 5 2 2 2" xfId="16851" xr:uid="{C078DA74-F61C-4D8F-B560-0FF6F889F95E}"/>
    <cellStyle name="40% - Accent1 2 5 2 3" xfId="12634" xr:uid="{F0CEDF5C-6D58-42E9-8DE9-033BF8E1C671}"/>
    <cellStyle name="40% - Accent1 2 5 3" xfId="5380" xr:uid="{00000000-0005-0000-0000-000006040000}"/>
    <cellStyle name="40% - Accent1 2 5 3 2" xfId="14706" xr:uid="{5FF715AC-51BE-41DB-91E5-AE034554A636}"/>
    <cellStyle name="40% - Accent1 2 5 4" xfId="10489" xr:uid="{4C92FE81-1DE5-4C1D-9013-7F19DB1D1358}"/>
    <cellStyle name="40% - Accent1 2 6" xfId="1486" xr:uid="{00000000-0005-0000-0000-000007040000}"/>
    <cellStyle name="40% - Accent1 2 6 2" xfId="3716" xr:uid="{00000000-0005-0000-0000-000008040000}"/>
    <cellStyle name="40% - Accent1 2 6 2 2" xfId="7938" xr:uid="{00000000-0005-0000-0000-000009040000}"/>
    <cellStyle name="40% - Accent1 2 6 2 2 2" xfId="17264" xr:uid="{BF8B1AEA-79DE-4285-81F4-484BC4326F82}"/>
    <cellStyle name="40% - Accent1 2 6 2 3" xfId="13047" xr:uid="{6626776B-5128-4EC3-AA9E-291473C92E78}"/>
    <cellStyle name="40% - Accent1 2 6 3" xfId="5793" xr:uid="{00000000-0005-0000-0000-00000A040000}"/>
    <cellStyle name="40% - Accent1 2 6 3 2" xfId="15119" xr:uid="{C8A575DB-4BBF-4811-9773-BD14E97DCBB3}"/>
    <cellStyle name="40% - Accent1 2 6 4" xfId="10902" xr:uid="{B274AD09-8E50-46A8-BD9E-2DF665379933}"/>
    <cellStyle name="40% - Accent1 2 7" xfId="1900" xr:uid="{00000000-0005-0000-0000-00000B040000}"/>
    <cellStyle name="40% - Accent1 2 7 2" xfId="4129" xr:uid="{00000000-0005-0000-0000-00000C040000}"/>
    <cellStyle name="40% - Accent1 2 7 2 2" xfId="8351" xr:uid="{00000000-0005-0000-0000-00000D040000}"/>
    <cellStyle name="40% - Accent1 2 7 2 2 2" xfId="17677" xr:uid="{1F45C0C8-C8FE-4703-8881-7B3CAA90658E}"/>
    <cellStyle name="40% - Accent1 2 7 2 3" xfId="13460" xr:uid="{845510C7-2BB0-474C-A2E0-575BB37771DB}"/>
    <cellStyle name="40% - Accent1 2 7 3" xfId="6206" xr:uid="{00000000-0005-0000-0000-00000E040000}"/>
    <cellStyle name="40% - Accent1 2 7 3 2" xfId="15532" xr:uid="{07DAD747-58C9-448A-A5C7-D4CE27C53E07}"/>
    <cellStyle name="40% - Accent1 2 7 4" xfId="11315" xr:uid="{A9A3D3EC-7AA7-4AE7-9FDC-BA03FC13E8B3}"/>
    <cellStyle name="40% - Accent1 2 8" xfId="2313" xr:uid="{00000000-0005-0000-0000-00000F040000}"/>
    <cellStyle name="40% - Accent1 2 8 2" xfId="6619" xr:uid="{00000000-0005-0000-0000-000010040000}"/>
    <cellStyle name="40% - Accent1 2 8 2 2" xfId="15945" xr:uid="{7052F948-FB37-4913-8F39-20318962C88A}"/>
    <cellStyle name="40% - Accent1 2 8 3" xfId="11728" xr:uid="{429CB8BA-19DD-4789-8142-2D37AC38DCA3}"/>
    <cellStyle name="40% - Accent1 2 9" xfId="4553" xr:uid="{00000000-0005-0000-0000-000011040000}"/>
    <cellStyle name="40% - Accent1 2 9 2" xfId="13879" xr:uid="{8F37D72A-801A-42B2-B086-36E58D0F8F31}"/>
    <cellStyle name="40% - Accent1 3" xfId="54" xr:uid="{00000000-0005-0000-0000-000012040000}"/>
    <cellStyle name="40% - Accent1 3 10" xfId="9666" xr:uid="{F83280BF-5D2D-4999-9150-A6F33F603432}"/>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16443" xr:uid="{9304EA70-22D4-41F4-B140-C464EABE267D}"/>
    <cellStyle name="40% - Accent1 3 2 2 2 3" xfId="12226" xr:uid="{E0B46275-C853-4FB9-9255-242C5608BA28}"/>
    <cellStyle name="40% - Accent1 3 2 2 3" xfId="4972" xr:uid="{00000000-0005-0000-0000-000017040000}"/>
    <cellStyle name="40% - Accent1 3 2 2 3 2" xfId="14298" xr:uid="{6DF2838F-EC72-4911-B2A7-454FF02C2EA2}"/>
    <cellStyle name="40% - Accent1 3 2 2 4" xfId="9494" xr:uid="{49092FA9-F337-44E8-98C8-15711B1C1558}"/>
    <cellStyle name="40% - Accent1 3 2 2 4 2" xfId="18809" xr:uid="{CB8186C7-5667-4A0D-AF99-3AC2BC5165B6}"/>
    <cellStyle name="40% - Accent1 3 2 2 5" xfId="10081" xr:uid="{693F123E-C28B-4896-A1AB-B97F735F3477}"/>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16856" xr:uid="{B9CC2C9D-8712-47A1-BA9E-500EDFCBB25B}"/>
    <cellStyle name="40% - Accent1 3 2 3 2 3" xfId="12639" xr:uid="{CD08524D-508B-4FB0-BA7A-8B1B67753D74}"/>
    <cellStyle name="40% - Accent1 3 2 3 3" xfId="5385" xr:uid="{00000000-0005-0000-0000-00001B040000}"/>
    <cellStyle name="40% - Accent1 3 2 3 3 2" xfId="14711" xr:uid="{E456CDF7-C9FF-46E9-92D7-47AC678CBEB4}"/>
    <cellStyle name="40% - Accent1 3 2 3 4" xfId="10494" xr:uid="{25D044EC-6716-4A04-8753-47004881CC37}"/>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17269" xr:uid="{ABEEE83F-9286-4E76-86B6-6A1AAD144321}"/>
    <cellStyle name="40% - Accent1 3 2 4 2 3" xfId="13052" xr:uid="{1B4A51F3-EFBE-4B43-B205-B2AFCCE5FAE1}"/>
    <cellStyle name="40% - Accent1 3 2 4 3" xfId="5798" xr:uid="{00000000-0005-0000-0000-00001F040000}"/>
    <cellStyle name="40% - Accent1 3 2 4 3 2" xfId="15124" xr:uid="{31DFA8B5-9D19-4672-BB40-0BE610B22676}"/>
    <cellStyle name="40% - Accent1 3 2 4 4" xfId="10907" xr:uid="{4DC423C7-D3B8-45B5-B167-34C2A6A69C5B}"/>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17682" xr:uid="{135D5BA2-569D-4E06-B942-F9E556699DA7}"/>
    <cellStyle name="40% - Accent1 3 2 5 2 3" xfId="13465" xr:uid="{CDF777A3-A5BA-4132-95DE-E329791DE309}"/>
    <cellStyle name="40% - Accent1 3 2 5 3" xfId="6211" xr:uid="{00000000-0005-0000-0000-000023040000}"/>
    <cellStyle name="40% - Accent1 3 2 5 3 2" xfId="15537" xr:uid="{EAE1BFBA-5ADC-4C6A-85BB-DC4C0AB1E87E}"/>
    <cellStyle name="40% - Accent1 3 2 5 4" xfId="11320" xr:uid="{0A279E1C-F641-41D0-9ECA-3DD84DF254DD}"/>
    <cellStyle name="40% - Accent1 3 2 6" xfId="2318" xr:uid="{00000000-0005-0000-0000-000024040000}"/>
    <cellStyle name="40% - Accent1 3 2 6 2" xfId="6624" xr:uid="{00000000-0005-0000-0000-000025040000}"/>
    <cellStyle name="40% - Accent1 3 2 6 2 2" xfId="15950" xr:uid="{D9EE9698-31DD-41C9-96F1-F3F9BA277CE8}"/>
    <cellStyle name="40% - Accent1 3 2 6 3" xfId="11733" xr:uid="{359C9E0D-123A-4915-B57B-C500114A245E}"/>
    <cellStyle name="40% - Accent1 3 2 7" xfId="4558" xr:uid="{00000000-0005-0000-0000-000026040000}"/>
    <cellStyle name="40% - Accent1 3 2 7 2" xfId="13884" xr:uid="{91AE0484-B0AA-4A1C-B141-748EB8A6D8EC}"/>
    <cellStyle name="40% - Accent1 3 2 8" xfId="9069" xr:uid="{F3D9FD63-8946-4492-B81A-42936E8B246D}"/>
    <cellStyle name="40% - Accent1 3 2 8 2" xfId="18393" xr:uid="{0DEF4ECB-B594-43E6-BD5B-C90A1F84F3F4}"/>
    <cellStyle name="40% - Accent1 3 2 9" xfId="9667" xr:uid="{8713E71B-3E55-42D6-B44B-7D90AC474624}"/>
    <cellStyle name="40% - Accent1 3 3" xfId="623" xr:uid="{00000000-0005-0000-0000-000027040000}"/>
    <cellStyle name="40% - Accent1 3 3 2" xfId="2894" xr:uid="{00000000-0005-0000-0000-000028040000}"/>
    <cellStyle name="40% - Accent1 3 3 2 2" xfId="7116" xr:uid="{00000000-0005-0000-0000-000029040000}"/>
    <cellStyle name="40% - Accent1 3 3 2 2 2" xfId="16442" xr:uid="{847332BF-78AD-4290-BAD7-F204D4118754}"/>
    <cellStyle name="40% - Accent1 3 3 2 3" xfId="12225" xr:uid="{F1CC29FD-D9D4-48B8-9674-77C614438920}"/>
    <cellStyle name="40% - Accent1 3 3 3" xfId="4971" xr:uid="{00000000-0005-0000-0000-00002A040000}"/>
    <cellStyle name="40% - Accent1 3 3 3 2" xfId="14297" xr:uid="{C3FFEE7F-1A4A-4D36-9424-BEF31333D026}"/>
    <cellStyle name="40% - Accent1 3 3 4" xfId="9287" xr:uid="{8C21B573-3D31-49DA-ACD8-D3EC7CC3A858}"/>
    <cellStyle name="40% - Accent1 3 3 4 2" xfId="18602" xr:uid="{F9DFB798-B3E8-4EF5-96B3-D0E69BBACE1F}"/>
    <cellStyle name="40% - Accent1 3 3 5" xfId="10080" xr:uid="{4B7F6757-C274-4260-B14A-1ED8E05FFDE2}"/>
    <cellStyle name="40% - Accent1 3 4" xfId="1076" xr:uid="{00000000-0005-0000-0000-00002B040000}"/>
    <cellStyle name="40% - Accent1 3 4 2" xfId="3307" xr:uid="{00000000-0005-0000-0000-00002C040000}"/>
    <cellStyle name="40% - Accent1 3 4 2 2" xfId="7529" xr:uid="{00000000-0005-0000-0000-00002D040000}"/>
    <cellStyle name="40% - Accent1 3 4 2 2 2" xfId="16855" xr:uid="{57251919-EA11-4EEF-9B03-ADD5A6AE864D}"/>
    <cellStyle name="40% - Accent1 3 4 2 3" xfId="12638" xr:uid="{A499BE8D-C4BA-4D71-B05C-99571AC6DEF0}"/>
    <cellStyle name="40% - Accent1 3 4 3" xfId="5384" xr:uid="{00000000-0005-0000-0000-00002E040000}"/>
    <cellStyle name="40% - Accent1 3 4 3 2" xfId="14710" xr:uid="{BFC2347D-5CEB-4EDD-8480-0C99D1492F9F}"/>
    <cellStyle name="40% - Accent1 3 4 4" xfId="10493" xr:uid="{FC7B5537-FCC7-4A25-9A78-19C1D07C5FA3}"/>
    <cellStyle name="40% - Accent1 3 5" xfId="1490" xr:uid="{00000000-0005-0000-0000-00002F040000}"/>
    <cellStyle name="40% - Accent1 3 5 2" xfId="3720" xr:uid="{00000000-0005-0000-0000-000030040000}"/>
    <cellStyle name="40% - Accent1 3 5 2 2" xfId="7942" xr:uid="{00000000-0005-0000-0000-000031040000}"/>
    <cellStyle name="40% - Accent1 3 5 2 2 2" xfId="17268" xr:uid="{FCED6B74-97FF-4AAC-B3CD-F964D080D495}"/>
    <cellStyle name="40% - Accent1 3 5 2 3" xfId="13051" xr:uid="{54C8207C-0245-4953-8E83-D92726D75BDE}"/>
    <cellStyle name="40% - Accent1 3 5 3" xfId="5797" xr:uid="{00000000-0005-0000-0000-000032040000}"/>
    <cellStyle name="40% - Accent1 3 5 3 2" xfId="15123" xr:uid="{4A8A4EE0-87CA-42A7-87A7-FA2B0053CA89}"/>
    <cellStyle name="40% - Accent1 3 5 4" xfId="10906" xr:uid="{9912F2A1-8AEF-48E9-9F9F-EDFA46E8F6A1}"/>
    <cellStyle name="40% - Accent1 3 6" xfId="1904" xr:uid="{00000000-0005-0000-0000-000033040000}"/>
    <cellStyle name="40% - Accent1 3 6 2" xfId="4133" xr:uid="{00000000-0005-0000-0000-000034040000}"/>
    <cellStyle name="40% - Accent1 3 6 2 2" xfId="8355" xr:uid="{00000000-0005-0000-0000-000035040000}"/>
    <cellStyle name="40% - Accent1 3 6 2 2 2" xfId="17681" xr:uid="{359504AF-1323-4EBE-BAF9-DF1E38938FD9}"/>
    <cellStyle name="40% - Accent1 3 6 2 3" xfId="13464" xr:uid="{13904198-F8FF-4512-89B9-ABF8C9860022}"/>
    <cellStyle name="40% - Accent1 3 6 3" xfId="6210" xr:uid="{00000000-0005-0000-0000-000036040000}"/>
    <cellStyle name="40% - Accent1 3 6 3 2" xfId="15536" xr:uid="{358B8C46-58EB-494E-A387-33A2DB208656}"/>
    <cellStyle name="40% - Accent1 3 6 4" xfId="11319" xr:uid="{AB2A468E-8015-4ECB-9484-3874FCCD2287}"/>
    <cellStyle name="40% - Accent1 3 7" xfId="2317" xr:uid="{00000000-0005-0000-0000-000037040000}"/>
    <cellStyle name="40% - Accent1 3 7 2" xfId="6623" xr:uid="{00000000-0005-0000-0000-000038040000}"/>
    <cellStyle name="40% - Accent1 3 7 2 2" xfId="15949" xr:uid="{E155ABD1-3673-47D4-9BF8-815957F4C319}"/>
    <cellStyle name="40% - Accent1 3 7 3" xfId="11732" xr:uid="{BD89F116-43D1-48E8-81AB-761F087D8EFA}"/>
    <cellStyle name="40% - Accent1 3 8" xfId="4557" xr:uid="{00000000-0005-0000-0000-000039040000}"/>
    <cellStyle name="40% - Accent1 3 8 2" xfId="13883" xr:uid="{59BCD4EE-D137-4384-B325-51E7E87F427E}"/>
    <cellStyle name="40% - Accent1 3 9" xfId="8862" xr:uid="{2CC30516-31CA-485E-88BE-FCC7F9756A95}"/>
    <cellStyle name="40% - Accent1 3 9 2" xfId="18186" xr:uid="{2C400BAA-42F6-4226-AC96-421A5229F9B9}"/>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2 2 2" xfId="16444" xr:uid="{29738765-A2BC-4B60-A174-E72EC936594D}"/>
    <cellStyle name="40% - Accent1 4 2 2 3" xfId="12227" xr:uid="{9D958E9C-0EE0-4BF6-8778-986686A68E74}"/>
    <cellStyle name="40% - Accent1 4 2 3" xfId="4973" xr:uid="{00000000-0005-0000-0000-00003E040000}"/>
    <cellStyle name="40% - Accent1 4 2 3 2" xfId="14299" xr:uid="{C41C9DB2-1358-4BEE-8C53-06C538EA1CB1}"/>
    <cellStyle name="40% - Accent1 4 2 4" xfId="9373" xr:uid="{3BC949C7-8F86-44EA-9F10-CF277586B131}"/>
    <cellStyle name="40% - Accent1 4 2 4 2" xfId="18688" xr:uid="{1F7C848C-E575-45AA-AA10-7675D5616F31}"/>
    <cellStyle name="40% - Accent1 4 2 5" xfId="10082" xr:uid="{1CD8A16A-9467-4195-B34A-E0E496E0A55E}"/>
    <cellStyle name="40% - Accent1 4 3" xfId="1078" xr:uid="{00000000-0005-0000-0000-00003F040000}"/>
    <cellStyle name="40% - Accent1 4 3 2" xfId="3309" xr:uid="{00000000-0005-0000-0000-000040040000}"/>
    <cellStyle name="40% - Accent1 4 3 2 2" xfId="7531" xr:uid="{00000000-0005-0000-0000-000041040000}"/>
    <cellStyle name="40% - Accent1 4 3 2 2 2" xfId="16857" xr:uid="{0F442C6E-ABB4-45ED-BC0D-87FD0BFCA6EB}"/>
    <cellStyle name="40% - Accent1 4 3 2 3" xfId="12640" xr:uid="{73E9F902-2E8D-4C33-B2B6-43BC65FE8BDC}"/>
    <cellStyle name="40% - Accent1 4 3 3" xfId="5386" xr:uid="{00000000-0005-0000-0000-000042040000}"/>
    <cellStyle name="40% - Accent1 4 3 3 2" xfId="14712" xr:uid="{D2CE5774-1EE4-48B0-99EF-0DF328070BF7}"/>
    <cellStyle name="40% - Accent1 4 3 4" xfId="10495" xr:uid="{B1B10DB1-20CB-4B65-88A0-3EC3B5BA7089}"/>
    <cellStyle name="40% - Accent1 4 4" xfId="1492" xr:uid="{00000000-0005-0000-0000-000043040000}"/>
    <cellStyle name="40% - Accent1 4 4 2" xfId="3722" xr:uid="{00000000-0005-0000-0000-000044040000}"/>
    <cellStyle name="40% - Accent1 4 4 2 2" xfId="7944" xr:uid="{00000000-0005-0000-0000-000045040000}"/>
    <cellStyle name="40% - Accent1 4 4 2 2 2" xfId="17270" xr:uid="{AD4A027F-FA40-4626-A413-8ABB9407F2E5}"/>
    <cellStyle name="40% - Accent1 4 4 2 3" xfId="13053" xr:uid="{00DF8A85-03C3-42B0-B188-12EAA21C0947}"/>
    <cellStyle name="40% - Accent1 4 4 3" xfId="5799" xr:uid="{00000000-0005-0000-0000-000046040000}"/>
    <cellStyle name="40% - Accent1 4 4 3 2" xfId="15125" xr:uid="{3D794178-4A87-4CE0-B794-0FB604E259D5}"/>
    <cellStyle name="40% - Accent1 4 4 4" xfId="10908" xr:uid="{1945F746-E516-46A9-9E0C-66848F9889D8}"/>
    <cellStyle name="40% - Accent1 4 5" xfId="1906" xr:uid="{00000000-0005-0000-0000-000047040000}"/>
    <cellStyle name="40% - Accent1 4 5 2" xfId="4135" xr:uid="{00000000-0005-0000-0000-000048040000}"/>
    <cellStyle name="40% - Accent1 4 5 2 2" xfId="8357" xr:uid="{00000000-0005-0000-0000-000049040000}"/>
    <cellStyle name="40% - Accent1 4 5 2 2 2" xfId="17683" xr:uid="{7B623BED-D0AA-4BCE-966B-C380A4444759}"/>
    <cellStyle name="40% - Accent1 4 5 2 3" xfId="13466" xr:uid="{B75F1AE5-9B9F-490F-874B-3A5F2A1AA256}"/>
    <cellStyle name="40% - Accent1 4 5 3" xfId="6212" xr:uid="{00000000-0005-0000-0000-00004A040000}"/>
    <cellStyle name="40% - Accent1 4 5 3 2" xfId="15538" xr:uid="{63C7E41F-7136-4D54-9695-FBA2D44F055E}"/>
    <cellStyle name="40% - Accent1 4 5 4" xfId="11321" xr:uid="{F4B545CB-B98C-487E-A683-5137A6D5BDD6}"/>
    <cellStyle name="40% - Accent1 4 6" xfId="2319" xr:uid="{00000000-0005-0000-0000-00004B040000}"/>
    <cellStyle name="40% - Accent1 4 6 2" xfId="6625" xr:uid="{00000000-0005-0000-0000-00004C040000}"/>
    <cellStyle name="40% - Accent1 4 6 2 2" xfId="15951" xr:uid="{16FF0D01-280F-4CEA-B5D5-CFFD4BDA24C3}"/>
    <cellStyle name="40% - Accent1 4 6 3" xfId="11734" xr:uid="{0973A0ED-552A-491A-8853-17B700473FE1}"/>
    <cellStyle name="40% - Accent1 4 7" xfId="4559" xr:uid="{00000000-0005-0000-0000-00004D040000}"/>
    <cellStyle name="40% - Accent1 4 7 2" xfId="13885" xr:uid="{627AF3A5-7A2E-451A-B789-FFEBA6A939FA}"/>
    <cellStyle name="40% - Accent1 4 8" xfId="8948" xr:uid="{7BCBB449-71B8-4468-A700-0125C7659C3D}"/>
    <cellStyle name="40% - Accent1 4 8 2" xfId="18272" xr:uid="{D91AA8D3-E80D-43A4-904A-B474A2CFD91F}"/>
    <cellStyle name="40% - Accent1 4 9" xfId="9668" xr:uid="{BD726F4B-5770-421F-A105-C4669CDB868C}"/>
    <cellStyle name="40% - Accent1 5" xfId="618" xr:uid="{00000000-0005-0000-0000-00004E040000}"/>
    <cellStyle name="40% - Accent1 5 2" xfId="2889" xr:uid="{00000000-0005-0000-0000-00004F040000}"/>
    <cellStyle name="40% - Accent1 5 2 2" xfId="7111" xr:uid="{00000000-0005-0000-0000-000050040000}"/>
    <cellStyle name="40% - Accent1 5 2 2 2" xfId="16437" xr:uid="{0037D36F-E746-4BB3-9EDC-0D5C0E9DB569}"/>
    <cellStyle name="40% - Accent1 5 2 3" xfId="12220" xr:uid="{973B3D4E-324D-4959-8C61-84417A355F7A}"/>
    <cellStyle name="40% - Accent1 5 3" xfId="4966" xr:uid="{00000000-0005-0000-0000-000051040000}"/>
    <cellStyle name="40% - Accent1 5 3 2" xfId="14292" xr:uid="{790D42FA-42D4-4785-A2CF-DD3D8DD70C63}"/>
    <cellStyle name="40% - Accent1 5 4" xfId="9181" xr:uid="{332DA761-F1AA-4FF3-9BBB-9ECEE19D2DFF}"/>
    <cellStyle name="40% - Accent1 5 4 2" xfId="18499" xr:uid="{9578023D-D64A-4DDF-93F4-9673B55429C8}"/>
    <cellStyle name="40% - Accent1 5 5" xfId="10075" xr:uid="{90CC4C4D-A63A-41EC-9C62-12C5E6B4601D}"/>
    <cellStyle name="40% - Accent1 6" xfId="1071" xr:uid="{00000000-0005-0000-0000-000052040000}"/>
    <cellStyle name="40% - Accent1 6 2" xfId="3302" xr:uid="{00000000-0005-0000-0000-000053040000}"/>
    <cellStyle name="40% - Accent1 6 2 2" xfId="7524" xr:uid="{00000000-0005-0000-0000-000054040000}"/>
    <cellStyle name="40% - Accent1 6 2 2 2" xfId="16850" xr:uid="{5A1A91B0-AC28-4917-A6E2-C12B9B4A5BC1}"/>
    <cellStyle name="40% - Accent1 6 2 3" xfId="12633" xr:uid="{AC319C37-0FD9-4A58-A383-8862D42638EF}"/>
    <cellStyle name="40% - Accent1 6 3" xfId="5379" xr:uid="{00000000-0005-0000-0000-000055040000}"/>
    <cellStyle name="40% - Accent1 6 3 2" xfId="14705" xr:uid="{EAB933AC-CA69-476A-97DE-733B23331D7A}"/>
    <cellStyle name="40% - Accent1 6 4" xfId="10488" xr:uid="{5C110E4D-361E-4D22-9425-484C3DA7FAE4}"/>
    <cellStyle name="40% - Accent1 7" xfId="1485" xr:uid="{00000000-0005-0000-0000-000056040000}"/>
    <cellStyle name="40% - Accent1 7 2" xfId="3715" xr:uid="{00000000-0005-0000-0000-000057040000}"/>
    <cellStyle name="40% - Accent1 7 2 2" xfId="7937" xr:uid="{00000000-0005-0000-0000-000058040000}"/>
    <cellStyle name="40% - Accent1 7 2 2 2" xfId="17263" xr:uid="{7172EEEF-D1B2-4095-8806-530A57B942F7}"/>
    <cellStyle name="40% - Accent1 7 2 3" xfId="13046" xr:uid="{BDDE62B9-FB27-405E-B07D-798D644DF293}"/>
    <cellStyle name="40% - Accent1 7 3" xfId="5792" xr:uid="{00000000-0005-0000-0000-000059040000}"/>
    <cellStyle name="40% - Accent1 7 3 2" xfId="15118" xr:uid="{C0D4B441-AD2B-4CBB-87EC-A0634EBB479C}"/>
    <cellStyle name="40% - Accent1 7 4" xfId="10901" xr:uid="{51E77D5A-D158-4055-918E-A10F494DB185}"/>
    <cellStyle name="40% - Accent1 8" xfId="1899" xr:uid="{00000000-0005-0000-0000-00005A040000}"/>
    <cellStyle name="40% - Accent1 8 2" xfId="4128" xr:uid="{00000000-0005-0000-0000-00005B040000}"/>
    <cellStyle name="40% - Accent1 8 2 2" xfId="8350" xr:uid="{00000000-0005-0000-0000-00005C040000}"/>
    <cellStyle name="40% - Accent1 8 2 2 2" xfId="17676" xr:uid="{EEB0F34B-E987-420B-81FD-9873988E770E}"/>
    <cellStyle name="40% - Accent1 8 2 3" xfId="13459" xr:uid="{8723F51A-F06B-4FF1-83B3-20FBF953109A}"/>
    <cellStyle name="40% - Accent1 8 3" xfId="6205" xr:uid="{00000000-0005-0000-0000-00005D040000}"/>
    <cellStyle name="40% - Accent1 8 3 2" xfId="15531" xr:uid="{45B410FD-58F1-49B6-9B5B-DAE22D853016}"/>
    <cellStyle name="40% - Accent1 8 4" xfId="11314" xr:uid="{88368BE2-13FD-41BE-8C8C-908232758DA0}"/>
    <cellStyle name="40% - Accent1 9" xfId="2312" xr:uid="{00000000-0005-0000-0000-00005E040000}"/>
    <cellStyle name="40% - Accent1 9 2" xfId="6618" xr:uid="{00000000-0005-0000-0000-00005F040000}"/>
    <cellStyle name="40% - Accent1 9 2 2" xfId="15944" xr:uid="{16464365-8534-44B1-A66C-ACB2BF7184C5}"/>
    <cellStyle name="40% - Accent1 9 3" xfId="11727" xr:uid="{F43DC0DC-4BD4-482B-BF8A-65AF554DCFF0}"/>
    <cellStyle name="40% - Accent2" xfId="57" builtinId="35" customBuiltin="1"/>
    <cellStyle name="40% - Accent2 10" xfId="4560" xr:uid="{00000000-0005-0000-0000-000061040000}"/>
    <cellStyle name="40% - Accent2 10 2" xfId="13886" xr:uid="{95E5427A-1EBD-4027-A73E-F1E81054A566}"/>
    <cellStyle name="40% - Accent2 11" xfId="8761" xr:uid="{8631D9D1-53DA-4958-8F7C-AD68B7B91D61}"/>
    <cellStyle name="40% - Accent2 11 2" xfId="18085" xr:uid="{B39703AB-00E9-4CDE-87E8-904BA9EFCDC8}"/>
    <cellStyle name="40% - Accent2 12" xfId="9669" xr:uid="{D51DBB8D-2E28-430C-882E-070FBE64591C}"/>
    <cellStyle name="40% - Accent2 2" xfId="58" xr:uid="{00000000-0005-0000-0000-000062040000}"/>
    <cellStyle name="40% - Accent2 2 10" xfId="8799" xr:uid="{E3EEC046-6E76-44A5-8D1B-64621A8F0AC5}"/>
    <cellStyle name="40% - Accent2 2 10 2" xfId="18123" xr:uid="{8E5CB4E9-926D-45E2-BAE8-61D1823702CB}"/>
    <cellStyle name="40% - Accent2 2 11" xfId="9670" xr:uid="{ACAD97EA-2235-4521-9065-CBCA705E6FAE}"/>
    <cellStyle name="40% - Accent2 2 2" xfId="59" xr:uid="{00000000-0005-0000-0000-000063040000}"/>
    <cellStyle name="40% - Accent2 2 2 10" xfId="9671" xr:uid="{813E4052-ECB4-4612-A82D-1588300DF083}"/>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16448" xr:uid="{98F28D42-E8E8-40CE-A828-CFFEC6316A6E}"/>
    <cellStyle name="40% - Accent2 2 2 2 2 2 3" xfId="12231" xr:uid="{FDA37EC3-EBA1-4D26-B448-E1C9585FC357}"/>
    <cellStyle name="40% - Accent2 2 2 2 2 3" xfId="4977" xr:uid="{00000000-0005-0000-0000-000068040000}"/>
    <cellStyle name="40% - Accent2 2 2 2 2 3 2" xfId="14303" xr:uid="{6B24E604-04E3-44FC-B6BA-4954BFE60C44}"/>
    <cellStyle name="40% - Accent2 2 2 2 2 4" xfId="9534" xr:uid="{9F53A086-33FC-422E-9DFF-72D04AC43949}"/>
    <cellStyle name="40% - Accent2 2 2 2 2 4 2" xfId="18849" xr:uid="{19D5BBCC-2195-4038-9B6F-53E2DF96C344}"/>
    <cellStyle name="40% - Accent2 2 2 2 2 5" xfId="10086" xr:uid="{2744BE1A-24F5-4756-B9EA-9A1BE791A851}"/>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16861" xr:uid="{F0709A34-4C1C-4AFC-937C-431776CFA1E2}"/>
    <cellStyle name="40% - Accent2 2 2 2 3 2 3" xfId="12644" xr:uid="{FA9F270E-9184-4DD4-B520-C6F6B134BBC0}"/>
    <cellStyle name="40% - Accent2 2 2 2 3 3" xfId="5390" xr:uid="{00000000-0005-0000-0000-00006C040000}"/>
    <cellStyle name="40% - Accent2 2 2 2 3 3 2" xfId="14716" xr:uid="{88A19730-F520-480D-A7C9-9598366E7564}"/>
    <cellStyle name="40% - Accent2 2 2 2 3 4" xfId="10499" xr:uid="{602C87A7-B2A5-4D1D-AC70-144C7562C6EF}"/>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17274" xr:uid="{205CB9DE-982B-4BD6-93FB-C19406100FE7}"/>
    <cellStyle name="40% - Accent2 2 2 2 4 2 3" xfId="13057" xr:uid="{A6B6F59A-351A-4785-BB68-729DAB15DAC9}"/>
    <cellStyle name="40% - Accent2 2 2 2 4 3" xfId="5803" xr:uid="{00000000-0005-0000-0000-000070040000}"/>
    <cellStyle name="40% - Accent2 2 2 2 4 3 2" xfId="15129" xr:uid="{DF297473-B278-45F7-B4D1-66FEC4F64D7B}"/>
    <cellStyle name="40% - Accent2 2 2 2 4 4" xfId="10912" xr:uid="{CD7C09B8-EFC2-43D9-8B5B-9B72DC3C13C3}"/>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17687" xr:uid="{0449EBB0-E815-4CDF-AE4E-E3B9AA23181B}"/>
    <cellStyle name="40% - Accent2 2 2 2 5 2 3" xfId="13470" xr:uid="{7219A6D1-A4BB-4B0C-9429-9E4C07884EBD}"/>
    <cellStyle name="40% - Accent2 2 2 2 5 3" xfId="6216" xr:uid="{00000000-0005-0000-0000-000074040000}"/>
    <cellStyle name="40% - Accent2 2 2 2 5 3 2" xfId="15542" xr:uid="{B58F73B6-6ABD-4BFC-BD79-2F60CF5554F5}"/>
    <cellStyle name="40% - Accent2 2 2 2 5 4" xfId="11325" xr:uid="{E1E8FC96-F2A5-4281-9A9A-B7806EEFF0A1}"/>
    <cellStyle name="40% - Accent2 2 2 2 6" xfId="2323" xr:uid="{00000000-0005-0000-0000-000075040000}"/>
    <cellStyle name="40% - Accent2 2 2 2 6 2" xfId="6629" xr:uid="{00000000-0005-0000-0000-000076040000}"/>
    <cellStyle name="40% - Accent2 2 2 2 6 2 2" xfId="15955" xr:uid="{24A5F7C1-AF89-4212-8240-95C42AAC5FC6}"/>
    <cellStyle name="40% - Accent2 2 2 2 6 3" xfId="11738" xr:uid="{4A73BF0D-178C-49AC-A345-792C3F9C47B6}"/>
    <cellStyle name="40% - Accent2 2 2 2 7" xfId="4563" xr:uid="{00000000-0005-0000-0000-000077040000}"/>
    <cellStyle name="40% - Accent2 2 2 2 7 2" xfId="13889" xr:uid="{5CB67BBD-8F33-4731-8DF6-09962066D21C}"/>
    <cellStyle name="40% - Accent2 2 2 2 8" xfId="9109" xr:uid="{73F0012D-4386-4224-BFB0-7DB1C0E98822}"/>
    <cellStyle name="40% - Accent2 2 2 2 8 2" xfId="18433" xr:uid="{238755B5-8A7F-4EA2-A856-41F303141D08}"/>
    <cellStyle name="40% - Accent2 2 2 2 9" xfId="9672" xr:uid="{96B2C927-F322-4B77-9D23-D5DD7C2518B5}"/>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16447" xr:uid="{24AFC039-FE05-4C22-ACDD-95DFE203344F}"/>
    <cellStyle name="40% - Accent2 2 2 3 2 3" xfId="12230" xr:uid="{1ADC17DD-284C-47B6-B991-91904F2920A6}"/>
    <cellStyle name="40% - Accent2 2 2 3 3" xfId="4976" xr:uid="{00000000-0005-0000-0000-00007B040000}"/>
    <cellStyle name="40% - Accent2 2 2 3 3 2" xfId="14302" xr:uid="{D8890918-EA7A-489A-B971-18634990730A}"/>
    <cellStyle name="40% - Accent2 2 2 3 4" xfId="9327" xr:uid="{F2BC9A12-B689-4B73-B71E-77A9F0BC7FE4}"/>
    <cellStyle name="40% - Accent2 2 2 3 4 2" xfId="18642" xr:uid="{5CEFFC7C-D0CC-42E0-88C4-FE7AEF5F300D}"/>
    <cellStyle name="40% - Accent2 2 2 3 5" xfId="10085" xr:uid="{CE112535-4051-445A-B1AA-F88321952C9B}"/>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16860" xr:uid="{3477DA86-2461-40FC-B6B2-47652C17BCFA}"/>
    <cellStyle name="40% - Accent2 2 2 4 2 3" xfId="12643" xr:uid="{384B9B81-2F58-485A-A66A-A5B025C90B24}"/>
    <cellStyle name="40% - Accent2 2 2 4 3" xfId="5389" xr:uid="{00000000-0005-0000-0000-00007F040000}"/>
    <cellStyle name="40% - Accent2 2 2 4 3 2" xfId="14715" xr:uid="{3826567F-53CE-48FB-A3F5-36DA0873B300}"/>
    <cellStyle name="40% - Accent2 2 2 4 4" xfId="10498" xr:uid="{43141EEF-87D0-422E-8BEB-5D7F36A531F7}"/>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17273" xr:uid="{AFFAD575-3823-4606-ABA2-8FB26D9D78D3}"/>
    <cellStyle name="40% - Accent2 2 2 5 2 3" xfId="13056" xr:uid="{49948721-2CAC-4D47-AE5C-14CCDDA8499B}"/>
    <cellStyle name="40% - Accent2 2 2 5 3" xfId="5802" xr:uid="{00000000-0005-0000-0000-000083040000}"/>
    <cellStyle name="40% - Accent2 2 2 5 3 2" xfId="15128" xr:uid="{F6C2F65B-5D6C-4390-9652-DA201D534CF4}"/>
    <cellStyle name="40% - Accent2 2 2 5 4" xfId="10911" xr:uid="{B2A7B3CB-8A27-4D6D-AA57-87FA279033BE}"/>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17686" xr:uid="{F6FE49EC-3F3A-43FF-9A35-E8BB1DBD6B08}"/>
    <cellStyle name="40% - Accent2 2 2 6 2 3" xfId="13469" xr:uid="{B9B2AE38-F538-4F43-BF9C-9E757A95ABE5}"/>
    <cellStyle name="40% - Accent2 2 2 6 3" xfId="6215" xr:uid="{00000000-0005-0000-0000-000087040000}"/>
    <cellStyle name="40% - Accent2 2 2 6 3 2" xfId="15541" xr:uid="{224887E0-951A-4A5F-87FC-88D6DD0968E9}"/>
    <cellStyle name="40% - Accent2 2 2 6 4" xfId="11324" xr:uid="{B0DFE9BC-648A-442F-AB17-5FE17FD3F4D4}"/>
    <cellStyle name="40% - Accent2 2 2 7" xfId="2322" xr:uid="{00000000-0005-0000-0000-000088040000}"/>
    <cellStyle name="40% - Accent2 2 2 7 2" xfId="6628" xr:uid="{00000000-0005-0000-0000-000089040000}"/>
    <cellStyle name="40% - Accent2 2 2 7 2 2" xfId="15954" xr:uid="{C9DC7EE9-98F1-4E70-9822-F0027513A59B}"/>
    <cellStyle name="40% - Accent2 2 2 7 3" xfId="11737" xr:uid="{B818923A-F140-45A7-B0E5-F04D238F4109}"/>
    <cellStyle name="40% - Accent2 2 2 8" xfId="4562" xr:uid="{00000000-0005-0000-0000-00008A040000}"/>
    <cellStyle name="40% - Accent2 2 2 8 2" xfId="13888" xr:uid="{891B36C4-2EF0-4200-9C0D-94E56EABA78A}"/>
    <cellStyle name="40% - Accent2 2 2 9" xfId="8902" xr:uid="{5D0C2022-B7A4-4DE2-895F-9E4BE510A7B9}"/>
    <cellStyle name="40% - Accent2 2 2 9 2" xfId="18226" xr:uid="{0808C9FF-91DE-4AF3-9746-665EF940F831}"/>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16449" xr:uid="{42596389-A71F-4113-A303-766D689F1E1C}"/>
    <cellStyle name="40% - Accent2 2 3 2 2 3" xfId="12232" xr:uid="{A1EF6572-6FA0-42AE-BC91-1AE84B58089C}"/>
    <cellStyle name="40% - Accent2 2 3 2 3" xfId="4978" xr:uid="{00000000-0005-0000-0000-00008F040000}"/>
    <cellStyle name="40% - Accent2 2 3 2 3 2" xfId="14304" xr:uid="{E1FDE548-7FE1-413E-A6E1-1FA30CEEACE7}"/>
    <cellStyle name="40% - Accent2 2 3 2 4" xfId="9431" xr:uid="{BD4E3561-302E-4359-AAF3-4F2E007BC697}"/>
    <cellStyle name="40% - Accent2 2 3 2 4 2" xfId="18746" xr:uid="{C19A8B24-FF40-41CC-94D4-B3E4E9DE8B2C}"/>
    <cellStyle name="40% - Accent2 2 3 2 5" xfId="10087" xr:uid="{DCAEBA86-843B-45BF-9F7E-7307F6AF3CC8}"/>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16862" xr:uid="{BE25B522-6096-4578-A6C9-C163EDE14671}"/>
    <cellStyle name="40% - Accent2 2 3 3 2 3" xfId="12645" xr:uid="{FA7E845C-3726-4D23-98E9-90841B4359E4}"/>
    <cellStyle name="40% - Accent2 2 3 3 3" xfId="5391" xr:uid="{00000000-0005-0000-0000-000093040000}"/>
    <cellStyle name="40% - Accent2 2 3 3 3 2" xfId="14717" xr:uid="{ABFFB267-7656-4C4B-8012-DF06732F467F}"/>
    <cellStyle name="40% - Accent2 2 3 3 4" xfId="10500" xr:uid="{F33795F8-759B-401E-8AF4-126FB5068BA8}"/>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17275" xr:uid="{0BD8697A-AB81-4520-B951-81DE8AF65D55}"/>
    <cellStyle name="40% - Accent2 2 3 4 2 3" xfId="13058" xr:uid="{FA152EA6-668C-473A-B4E4-B73D92D210EE}"/>
    <cellStyle name="40% - Accent2 2 3 4 3" xfId="5804" xr:uid="{00000000-0005-0000-0000-000097040000}"/>
    <cellStyle name="40% - Accent2 2 3 4 3 2" xfId="15130" xr:uid="{E726ADE5-8796-4E74-B1AE-B2C21B7BF040}"/>
    <cellStyle name="40% - Accent2 2 3 4 4" xfId="10913" xr:uid="{7A18E3B5-6653-4ED9-8C50-14BABB32C35B}"/>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17688" xr:uid="{46A1AA0A-B289-411E-8893-C0E94C3FC9E0}"/>
    <cellStyle name="40% - Accent2 2 3 5 2 3" xfId="13471" xr:uid="{3AAEBA06-C090-477C-9502-62A2A83EE812}"/>
    <cellStyle name="40% - Accent2 2 3 5 3" xfId="6217" xr:uid="{00000000-0005-0000-0000-00009B040000}"/>
    <cellStyle name="40% - Accent2 2 3 5 3 2" xfId="15543" xr:uid="{9ED78847-FC98-4CE0-B99C-164C1BA91AFC}"/>
    <cellStyle name="40% - Accent2 2 3 5 4" xfId="11326" xr:uid="{02E54B7F-DCBB-485F-9A62-2E66CEFCF4D9}"/>
    <cellStyle name="40% - Accent2 2 3 6" xfId="2324" xr:uid="{00000000-0005-0000-0000-00009C040000}"/>
    <cellStyle name="40% - Accent2 2 3 6 2" xfId="6630" xr:uid="{00000000-0005-0000-0000-00009D040000}"/>
    <cellStyle name="40% - Accent2 2 3 6 2 2" xfId="15956" xr:uid="{13B1BF2A-B8E5-4A09-930F-899382EC28F6}"/>
    <cellStyle name="40% - Accent2 2 3 6 3" xfId="11739" xr:uid="{4A0EAAAF-79AB-4912-B570-107856CD1734}"/>
    <cellStyle name="40% - Accent2 2 3 7" xfId="4564" xr:uid="{00000000-0005-0000-0000-00009E040000}"/>
    <cellStyle name="40% - Accent2 2 3 7 2" xfId="13890" xr:uid="{B392EA79-F267-4452-9791-91859954FE80}"/>
    <cellStyle name="40% - Accent2 2 3 8" xfId="9006" xr:uid="{E6E89EA5-B76F-4FCC-89B9-DD4135B6364B}"/>
    <cellStyle name="40% - Accent2 2 3 8 2" xfId="18330" xr:uid="{E9F9C39A-6374-4797-9D95-B82D780C4271}"/>
    <cellStyle name="40% - Accent2 2 3 9" xfId="9673" xr:uid="{CF55D9E2-3A05-4EFC-BAD5-A2DBDA312F7F}"/>
    <cellStyle name="40% - Accent2 2 4" xfId="627" xr:uid="{00000000-0005-0000-0000-00009F040000}"/>
    <cellStyle name="40% - Accent2 2 4 2" xfId="2898" xr:uid="{00000000-0005-0000-0000-0000A0040000}"/>
    <cellStyle name="40% - Accent2 2 4 2 2" xfId="7120" xr:uid="{00000000-0005-0000-0000-0000A1040000}"/>
    <cellStyle name="40% - Accent2 2 4 2 2 2" xfId="16446" xr:uid="{0AA34E4C-E434-4986-9D5E-28325A7DBACB}"/>
    <cellStyle name="40% - Accent2 2 4 2 3" xfId="12229" xr:uid="{AED45EC9-A58B-4774-9928-BE8A6FEEB729}"/>
    <cellStyle name="40% - Accent2 2 4 3" xfId="4975" xr:uid="{00000000-0005-0000-0000-0000A2040000}"/>
    <cellStyle name="40% - Accent2 2 4 3 2" xfId="14301" xr:uid="{93B6C9F8-B7C5-42DC-8E42-7478CF9E4CD5}"/>
    <cellStyle name="40% - Accent2 2 4 4" xfId="9223" xr:uid="{FA9890B4-781A-4E4C-81EE-BC7448559828}"/>
    <cellStyle name="40% - Accent2 2 4 4 2" xfId="18539" xr:uid="{D557E985-D093-445C-8C91-B63F931E4457}"/>
    <cellStyle name="40% - Accent2 2 4 5" xfId="10084" xr:uid="{FC0F1B7F-2245-4FF0-8EF6-7FA27ED043D3}"/>
    <cellStyle name="40% - Accent2 2 5" xfId="1080" xr:uid="{00000000-0005-0000-0000-0000A3040000}"/>
    <cellStyle name="40% - Accent2 2 5 2" xfId="3311" xr:uid="{00000000-0005-0000-0000-0000A4040000}"/>
    <cellStyle name="40% - Accent2 2 5 2 2" xfId="7533" xr:uid="{00000000-0005-0000-0000-0000A5040000}"/>
    <cellStyle name="40% - Accent2 2 5 2 2 2" xfId="16859" xr:uid="{F9DAD462-CFE7-489E-BC77-BEC2E0914C9D}"/>
    <cellStyle name="40% - Accent2 2 5 2 3" xfId="12642" xr:uid="{4AC1FCD5-3035-4E5B-BCD9-29D3AD501243}"/>
    <cellStyle name="40% - Accent2 2 5 3" xfId="5388" xr:uid="{00000000-0005-0000-0000-0000A6040000}"/>
    <cellStyle name="40% - Accent2 2 5 3 2" xfId="14714" xr:uid="{EE06B566-AA99-42A0-8139-7FBCC70ABC12}"/>
    <cellStyle name="40% - Accent2 2 5 4" xfId="10497" xr:uid="{456AC073-E56F-4E30-8BB8-DFD149EDD13C}"/>
    <cellStyle name="40% - Accent2 2 6" xfId="1494" xr:uid="{00000000-0005-0000-0000-0000A7040000}"/>
    <cellStyle name="40% - Accent2 2 6 2" xfId="3724" xr:uid="{00000000-0005-0000-0000-0000A8040000}"/>
    <cellStyle name="40% - Accent2 2 6 2 2" xfId="7946" xr:uid="{00000000-0005-0000-0000-0000A9040000}"/>
    <cellStyle name="40% - Accent2 2 6 2 2 2" xfId="17272" xr:uid="{026D4EBA-8569-4367-B981-EE2CE88B360A}"/>
    <cellStyle name="40% - Accent2 2 6 2 3" xfId="13055" xr:uid="{8AF4A5CE-D2C3-4A5C-8C14-B4AE12851BE8}"/>
    <cellStyle name="40% - Accent2 2 6 3" xfId="5801" xr:uid="{00000000-0005-0000-0000-0000AA040000}"/>
    <cellStyle name="40% - Accent2 2 6 3 2" xfId="15127" xr:uid="{4AC4C4B7-1817-4B56-85C4-96F57F5005E8}"/>
    <cellStyle name="40% - Accent2 2 6 4" xfId="10910" xr:uid="{88C7EC9A-2E34-4FC6-B011-048F57911FF9}"/>
    <cellStyle name="40% - Accent2 2 7" xfId="1908" xr:uid="{00000000-0005-0000-0000-0000AB040000}"/>
    <cellStyle name="40% - Accent2 2 7 2" xfId="4137" xr:uid="{00000000-0005-0000-0000-0000AC040000}"/>
    <cellStyle name="40% - Accent2 2 7 2 2" xfId="8359" xr:uid="{00000000-0005-0000-0000-0000AD040000}"/>
    <cellStyle name="40% - Accent2 2 7 2 2 2" xfId="17685" xr:uid="{2A7CAA64-12F9-4B32-9416-0D2819864C3A}"/>
    <cellStyle name="40% - Accent2 2 7 2 3" xfId="13468" xr:uid="{114405C4-8B48-42D9-BE1F-9AC09158850C}"/>
    <cellStyle name="40% - Accent2 2 7 3" xfId="6214" xr:uid="{00000000-0005-0000-0000-0000AE040000}"/>
    <cellStyle name="40% - Accent2 2 7 3 2" xfId="15540" xr:uid="{E1913617-DC46-4E4A-AE46-D0C8C8A2C315}"/>
    <cellStyle name="40% - Accent2 2 7 4" xfId="11323" xr:uid="{84A5D86B-DD54-4675-A713-714AA683B2A0}"/>
    <cellStyle name="40% - Accent2 2 8" xfId="2321" xr:uid="{00000000-0005-0000-0000-0000AF040000}"/>
    <cellStyle name="40% - Accent2 2 8 2" xfId="6627" xr:uid="{00000000-0005-0000-0000-0000B0040000}"/>
    <cellStyle name="40% - Accent2 2 8 2 2" xfId="15953" xr:uid="{D1640982-B01D-4108-82F3-AC07DD906DFD}"/>
    <cellStyle name="40% - Accent2 2 8 3" xfId="11736" xr:uid="{9A496050-D57F-42AA-A4FA-1EB22166852C}"/>
    <cellStyle name="40% - Accent2 2 9" xfId="4561" xr:uid="{00000000-0005-0000-0000-0000B1040000}"/>
    <cellStyle name="40% - Accent2 2 9 2" xfId="13887" xr:uid="{EA31B9E3-DB32-493E-B384-B59750058A51}"/>
    <cellStyle name="40% - Accent2 3" xfId="62" xr:uid="{00000000-0005-0000-0000-0000B2040000}"/>
    <cellStyle name="40% - Accent2 3 10" xfId="9674" xr:uid="{58BA5CD1-B3BC-43D1-B55E-0A1F8BBC92E7}"/>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16451" xr:uid="{81644A81-A030-4F3E-A260-6E0684BA0A16}"/>
    <cellStyle name="40% - Accent2 3 2 2 2 3" xfId="12234" xr:uid="{46D33991-503A-464F-AAAA-BABDB52F8902}"/>
    <cellStyle name="40% - Accent2 3 2 2 3" xfId="4980" xr:uid="{00000000-0005-0000-0000-0000B7040000}"/>
    <cellStyle name="40% - Accent2 3 2 2 3 2" xfId="14306" xr:uid="{554E37BC-723F-4A3B-8E35-AFBC30CD35EF}"/>
    <cellStyle name="40% - Accent2 3 2 2 4" xfId="9496" xr:uid="{700FA1AF-D943-4FDB-BFB1-F903AD1F731A}"/>
    <cellStyle name="40% - Accent2 3 2 2 4 2" xfId="18811" xr:uid="{7FF222D3-C326-4DE0-BFC3-0F6AE8E1CBC6}"/>
    <cellStyle name="40% - Accent2 3 2 2 5" xfId="10089" xr:uid="{158C1F4D-CC5D-4351-9DC2-6BDEF0879792}"/>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16864" xr:uid="{75B6024F-541B-40C2-952C-8812434CF7FF}"/>
    <cellStyle name="40% - Accent2 3 2 3 2 3" xfId="12647" xr:uid="{3D0C1D9C-DBCA-47E6-BB46-802194E78970}"/>
    <cellStyle name="40% - Accent2 3 2 3 3" xfId="5393" xr:uid="{00000000-0005-0000-0000-0000BB040000}"/>
    <cellStyle name="40% - Accent2 3 2 3 3 2" xfId="14719" xr:uid="{401BB694-F42B-4EDD-8127-F4EFFEBE3D25}"/>
    <cellStyle name="40% - Accent2 3 2 3 4" xfId="10502" xr:uid="{B26C379D-90CF-4B80-B5C3-84FD8C2F935E}"/>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17277" xr:uid="{E0B645E3-4426-49B8-82E4-9F85FD689871}"/>
    <cellStyle name="40% - Accent2 3 2 4 2 3" xfId="13060" xr:uid="{51123C2E-2610-4F3D-99AC-3850D3DB0576}"/>
    <cellStyle name="40% - Accent2 3 2 4 3" xfId="5806" xr:uid="{00000000-0005-0000-0000-0000BF040000}"/>
    <cellStyle name="40% - Accent2 3 2 4 3 2" xfId="15132" xr:uid="{5D64DC77-E7FA-41BA-992C-B5D524B8EEFF}"/>
    <cellStyle name="40% - Accent2 3 2 4 4" xfId="10915" xr:uid="{CF5B6D6A-22F1-4BCD-B7AF-5C4A16B5251D}"/>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17690" xr:uid="{C909E712-4C51-46DA-AB87-6B281E130C71}"/>
    <cellStyle name="40% - Accent2 3 2 5 2 3" xfId="13473" xr:uid="{4414D303-BDFE-44D4-98A9-49C50B2826FB}"/>
    <cellStyle name="40% - Accent2 3 2 5 3" xfId="6219" xr:uid="{00000000-0005-0000-0000-0000C3040000}"/>
    <cellStyle name="40% - Accent2 3 2 5 3 2" xfId="15545" xr:uid="{F22B897F-B807-4CC0-814B-F0E63E0267AC}"/>
    <cellStyle name="40% - Accent2 3 2 5 4" xfId="11328" xr:uid="{7CD0ABD4-0CBB-48C3-85AA-C2528F9C0C72}"/>
    <cellStyle name="40% - Accent2 3 2 6" xfId="2326" xr:uid="{00000000-0005-0000-0000-0000C4040000}"/>
    <cellStyle name="40% - Accent2 3 2 6 2" xfId="6632" xr:uid="{00000000-0005-0000-0000-0000C5040000}"/>
    <cellStyle name="40% - Accent2 3 2 6 2 2" xfId="15958" xr:uid="{5509B862-D28B-40F5-8382-6D841884AE96}"/>
    <cellStyle name="40% - Accent2 3 2 6 3" xfId="11741" xr:uid="{34203429-D2A4-420F-BA18-03F316D96AD9}"/>
    <cellStyle name="40% - Accent2 3 2 7" xfId="4566" xr:uid="{00000000-0005-0000-0000-0000C6040000}"/>
    <cellStyle name="40% - Accent2 3 2 7 2" xfId="13892" xr:uid="{1F5F6286-7F86-41EF-9827-CAD7714A7094}"/>
    <cellStyle name="40% - Accent2 3 2 8" xfId="9071" xr:uid="{B5463F05-11FC-4377-B380-DDB549C63AA9}"/>
    <cellStyle name="40% - Accent2 3 2 8 2" xfId="18395" xr:uid="{E8B4E98A-EFE2-4804-BECA-2EF5EED85B15}"/>
    <cellStyle name="40% - Accent2 3 2 9" xfId="9675" xr:uid="{469179BE-6087-4C81-AD29-A1E30837980D}"/>
    <cellStyle name="40% - Accent2 3 3" xfId="631" xr:uid="{00000000-0005-0000-0000-0000C7040000}"/>
    <cellStyle name="40% - Accent2 3 3 2" xfId="2902" xr:uid="{00000000-0005-0000-0000-0000C8040000}"/>
    <cellStyle name="40% - Accent2 3 3 2 2" xfId="7124" xr:uid="{00000000-0005-0000-0000-0000C9040000}"/>
    <cellStyle name="40% - Accent2 3 3 2 2 2" xfId="16450" xr:uid="{052A8391-447F-4A1E-9AFF-6334836D0C5E}"/>
    <cellStyle name="40% - Accent2 3 3 2 3" xfId="12233" xr:uid="{99BE6516-4542-413E-8A0D-C23F3465E831}"/>
    <cellStyle name="40% - Accent2 3 3 3" xfId="4979" xr:uid="{00000000-0005-0000-0000-0000CA040000}"/>
    <cellStyle name="40% - Accent2 3 3 3 2" xfId="14305" xr:uid="{5DE34D40-A1E7-4C6C-ADC1-79A9FF28E7F4}"/>
    <cellStyle name="40% - Accent2 3 3 4" xfId="9289" xr:uid="{B234EB9F-4AFE-41A2-A17D-ABC1D0F80875}"/>
    <cellStyle name="40% - Accent2 3 3 4 2" xfId="18604" xr:uid="{BC301878-A4F5-4037-B40A-C964337929B4}"/>
    <cellStyle name="40% - Accent2 3 3 5" xfId="10088" xr:uid="{C7E7330E-DB5B-455A-A193-41E2B2D1CD04}"/>
    <cellStyle name="40% - Accent2 3 4" xfId="1084" xr:uid="{00000000-0005-0000-0000-0000CB040000}"/>
    <cellStyle name="40% - Accent2 3 4 2" xfId="3315" xr:uid="{00000000-0005-0000-0000-0000CC040000}"/>
    <cellStyle name="40% - Accent2 3 4 2 2" xfId="7537" xr:uid="{00000000-0005-0000-0000-0000CD040000}"/>
    <cellStyle name="40% - Accent2 3 4 2 2 2" xfId="16863" xr:uid="{F9A57767-8535-42FC-B74B-DDDA906D2F8D}"/>
    <cellStyle name="40% - Accent2 3 4 2 3" xfId="12646" xr:uid="{9CE55C04-D36D-43A4-8EC6-AB1B6F7F2108}"/>
    <cellStyle name="40% - Accent2 3 4 3" xfId="5392" xr:uid="{00000000-0005-0000-0000-0000CE040000}"/>
    <cellStyle name="40% - Accent2 3 4 3 2" xfId="14718" xr:uid="{7CA825DE-A80C-4B74-9CF2-9D0C0DAC6E35}"/>
    <cellStyle name="40% - Accent2 3 4 4" xfId="10501" xr:uid="{A3511B87-8D6E-41A4-B595-D0BFFDCC06A4}"/>
    <cellStyle name="40% - Accent2 3 5" xfId="1498" xr:uid="{00000000-0005-0000-0000-0000CF040000}"/>
    <cellStyle name="40% - Accent2 3 5 2" xfId="3728" xr:uid="{00000000-0005-0000-0000-0000D0040000}"/>
    <cellStyle name="40% - Accent2 3 5 2 2" xfId="7950" xr:uid="{00000000-0005-0000-0000-0000D1040000}"/>
    <cellStyle name="40% - Accent2 3 5 2 2 2" xfId="17276" xr:uid="{1B009E1B-3FDB-4023-9A5A-9D767826237F}"/>
    <cellStyle name="40% - Accent2 3 5 2 3" xfId="13059" xr:uid="{BF0E6EC3-31B8-4C0A-9EF1-DEF48DD5F66B}"/>
    <cellStyle name="40% - Accent2 3 5 3" xfId="5805" xr:uid="{00000000-0005-0000-0000-0000D2040000}"/>
    <cellStyle name="40% - Accent2 3 5 3 2" xfId="15131" xr:uid="{77D3ED20-7A66-4C3D-B5C0-83D37F528118}"/>
    <cellStyle name="40% - Accent2 3 5 4" xfId="10914" xr:uid="{8659D2D7-62BE-4277-8AD4-8124CA531FC6}"/>
    <cellStyle name="40% - Accent2 3 6" xfId="1912" xr:uid="{00000000-0005-0000-0000-0000D3040000}"/>
    <cellStyle name="40% - Accent2 3 6 2" xfId="4141" xr:uid="{00000000-0005-0000-0000-0000D4040000}"/>
    <cellStyle name="40% - Accent2 3 6 2 2" xfId="8363" xr:uid="{00000000-0005-0000-0000-0000D5040000}"/>
    <cellStyle name="40% - Accent2 3 6 2 2 2" xfId="17689" xr:uid="{44D1D826-C852-4E54-80DC-619DE0187871}"/>
    <cellStyle name="40% - Accent2 3 6 2 3" xfId="13472" xr:uid="{A02DEF96-7577-45AD-BF14-3DDB9C8FEEFE}"/>
    <cellStyle name="40% - Accent2 3 6 3" xfId="6218" xr:uid="{00000000-0005-0000-0000-0000D6040000}"/>
    <cellStyle name="40% - Accent2 3 6 3 2" xfId="15544" xr:uid="{6C6AC5E7-F7DD-4138-A124-BB03F44BB077}"/>
    <cellStyle name="40% - Accent2 3 6 4" xfId="11327" xr:uid="{993A362E-83D2-4379-82BD-3656CE77E684}"/>
    <cellStyle name="40% - Accent2 3 7" xfId="2325" xr:uid="{00000000-0005-0000-0000-0000D7040000}"/>
    <cellStyle name="40% - Accent2 3 7 2" xfId="6631" xr:uid="{00000000-0005-0000-0000-0000D8040000}"/>
    <cellStyle name="40% - Accent2 3 7 2 2" xfId="15957" xr:uid="{B888B459-A1BC-4625-AF1F-DFF8970E5E54}"/>
    <cellStyle name="40% - Accent2 3 7 3" xfId="11740" xr:uid="{E53B2490-E4A3-445B-AA46-22C87A18177C}"/>
    <cellStyle name="40% - Accent2 3 8" xfId="4565" xr:uid="{00000000-0005-0000-0000-0000D9040000}"/>
    <cellStyle name="40% - Accent2 3 8 2" xfId="13891" xr:uid="{E7C3FEA4-20BC-4623-B496-D27CE643B5AD}"/>
    <cellStyle name="40% - Accent2 3 9" xfId="8864" xr:uid="{311EF031-8CA9-4ACC-8705-6D408E1B50DB}"/>
    <cellStyle name="40% - Accent2 3 9 2" xfId="18188" xr:uid="{0191E06A-3413-4203-9910-7055E7D58264}"/>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2 2 2" xfId="16452" xr:uid="{6938E3A6-9DA7-46B1-9F8D-5232BB4D9EE8}"/>
    <cellStyle name="40% - Accent2 4 2 2 3" xfId="12235" xr:uid="{4B1AD050-E81E-497C-A955-5D836280859A}"/>
    <cellStyle name="40% - Accent2 4 2 3" xfId="4981" xr:uid="{00000000-0005-0000-0000-0000DE040000}"/>
    <cellStyle name="40% - Accent2 4 2 3 2" xfId="14307" xr:uid="{55C41C46-D3BA-4717-AC43-7F3270B5F45C}"/>
    <cellStyle name="40% - Accent2 4 2 4" xfId="9375" xr:uid="{E0F8B4F7-419E-40A5-89E1-F3F0DF6ADFF8}"/>
    <cellStyle name="40% - Accent2 4 2 4 2" xfId="18690" xr:uid="{CEED117D-D155-4D16-AAC3-D8AFF1BF0408}"/>
    <cellStyle name="40% - Accent2 4 2 5" xfId="10090" xr:uid="{C66548B1-0BA9-4D8A-9953-68A9A08655FA}"/>
    <cellStyle name="40% - Accent2 4 3" xfId="1086" xr:uid="{00000000-0005-0000-0000-0000DF040000}"/>
    <cellStyle name="40% - Accent2 4 3 2" xfId="3317" xr:uid="{00000000-0005-0000-0000-0000E0040000}"/>
    <cellStyle name="40% - Accent2 4 3 2 2" xfId="7539" xr:uid="{00000000-0005-0000-0000-0000E1040000}"/>
    <cellStyle name="40% - Accent2 4 3 2 2 2" xfId="16865" xr:uid="{65B85BA3-06F2-456A-B9AD-51774119D730}"/>
    <cellStyle name="40% - Accent2 4 3 2 3" xfId="12648" xr:uid="{1F16062E-1D73-4FF5-A243-30196FD38345}"/>
    <cellStyle name="40% - Accent2 4 3 3" xfId="5394" xr:uid="{00000000-0005-0000-0000-0000E2040000}"/>
    <cellStyle name="40% - Accent2 4 3 3 2" xfId="14720" xr:uid="{65268820-4ECC-436E-A928-5334368BE29D}"/>
    <cellStyle name="40% - Accent2 4 3 4" xfId="10503" xr:uid="{D0A875DA-7397-4D44-9927-6AD8A769B479}"/>
    <cellStyle name="40% - Accent2 4 4" xfId="1500" xr:uid="{00000000-0005-0000-0000-0000E3040000}"/>
    <cellStyle name="40% - Accent2 4 4 2" xfId="3730" xr:uid="{00000000-0005-0000-0000-0000E4040000}"/>
    <cellStyle name="40% - Accent2 4 4 2 2" xfId="7952" xr:uid="{00000000-0005-0000-0000-0000E5040000}"/>
    <cellStyle name="40% - Accent2 4 4 2 2 2" xfId="17278" xr:uid="{3A9C70CA-1025-4C0F-860D-9E71FF6230CA}"/>
    <cellStyle name="40% - Accent2 4 4 2 3" xfId="13061" xr:uid="{5978A42F-D1D1-4371-9799-85D6BC33C9F9}"/>
    <cellStyle name="40% - Accent2 4 4 3" xfId="5807" xr:uid="{00000000-0005-0000-0000-0000E6040000}"/>
    <cellStyle name="40% - Accent2 4 4 3 2" xfId="15133" xr:uid="{5BD4E40C-A246-436F-9D35-15BD600CB6F2}"/>
    <cellStyle name="40% - Accent2 4 4 4" xfId="10916" xr:uid="{D9026644-6B28-4B7E-837A-1D312255C05C}"/>
    <cellStyle name="40% - Accent2 4 5" xfId="1914" xr:uid="{00000000-0005-0000-0000-0000E7040000}"/>
    <cellStyle name="40% - Accent2 4 5 2" xfId="4143" xr:uid="{00000000-0005-0000-0000-0000E8040000}"/>
    <cellStyle name="40% - Accent2 4 5 2 2" xfId="8365" xr:uid="{00000000-0005-0000-0000-0000E9040000}"/>
    <cellStyle name="40% - Accent2 4 5 2 2 2" xfId="17691" xr:uid="{4DF84D33-981E-446C-A5EA-C61411884FD4}"/>
    <cellStyle name="40% - Accent2 4 5 2 3" xfId="13474" xr:uid="{A861D99E-3DAA-43C4-A992-FDBD75994576}"/>
    <cellStyle name="40% - Accent2 4 5 3" xfId="6220" xr:uid="{00000000-0005-0000-0000-0000EA040000}"/>
    <cellStyle name="40% - Accent2 4 5 3 2" xfId="15546" xr:uid="{A55B18C3-D402-4515-A50C-4B281D1FCE3B}"/>
    <cellStyle name="40% - Accent2 4 5 4" xfId="11329" xr:uid="{E2D36822-5E47-41D4-B6E1-0B04C0A81D43}"/>
    <cellStyle name="40% - Accent2 4 6" xfId="2327" xr:uid="{00000000-0005-0000-0000-0000EB040000}"/>
    <cellStyle name="40% - Accent2 4 6 2" xfId="6633" xr:uid="{00000000-0005-0000-0000-0000EC040000}"/>
    <cellStyle name="40% - Accent2 4 6 2 2" xfId="15959" xr:uid="{83AE3ED4-61F3-4155-9EF1-67603C164344}"/>
    <cellStyle name="40% - Accent2 4 6 3" xfId="11742" xr:uid="{6C4A0C00-32C4-4880-B4AE-AF162BF7721B}"/>
    <cellStyle name="40% - Accent2 4 7" xfId="4567" xr:uid="{00000000-0005-0000-0000-0000ED040000}"/>
    <cellStyle name="40% - Accent2 4 7 2" xfId="13893" xr:uid="{A18A00A4-6D77-4DDB-A41A-CD4623237E73}"/>
    <cellStyle name="40% - Accent2 4 8" xfId="8950" xr:uid="{02FCA414-0598-4779-8636-7B176A3552C0}"/>
    <cellStyle name="40% - Accent2 4 8 2" xfId="18274" xr:uid="{59F41116-F0AF-421B-8D7F-FE80977BC8DC}"/>
    <cellStyle name="40% - Accent2 4 9" xfId="9676" xr:uid="{63AADA81-D645-4544-84C3-E2B57ACF6B10}"/>
    <cellStyle name="40% - Accent2 5" xfId="626" xr:uid="{00000000-0005-0000-0000-0000EE040000}"/>
    <cellStyle name="40% - Accent2 5 2" xfId="2897" xr:uid="{00000000-0005-0000-0000-0000EF040000}"/>
    <cellStyle name="40% - Accent2 5 2 2" xfId="7119" xr:uid="{00000000-0005-0000-0000-0000F0040000}"/>
    <cellStyle name="40% - Accent2 5 2 2 2" xfId="16445" xr:uid="{20409B2E-6144-4705-90AC-5AFDF96D63E6}"/>
    <cellStyle name="40% - Accent2 5 2 3" xfId="12228" xr:uid="{C3D99C19-FA88-48E0-9FFF-04A61AEB8B3A}"/>
    <cellStyle name="40% - Accent2 5 3" xfId="4974" xr:uid="{00000000-0005-0000-0000-0000F1040000}"/>
    <cellStyle name="40% - Accent2 5 3 2" xfId="14300" xr:uid="{5DD91BE7-3A29-4101-8D7C-BCE46FA9BC7C}"/>
    <cellStyle name="40% - Accent2 5 4" xfId="9183" xr:uid="{071EDB8E-9FD1-4063-BCEF-70B734E5ECF1}"/>
    <cellStyle name="40% - Accent2 5 4 2" xfId="18501" xr:uid="{DC228189-85F9-43E0-87E8-FAF55443EA9B}"/>
    <cellStyle name="40% - Accent2 5 5" xfId="10083" xr:uid="{71CFA810-DA7F-47B5-AF77-1889E6745FCB}"/>
    <cellStyle name="40% - Accent2 6" xfId="1079" xr:uid="{00000000-0005-0000-0000-0000F2040000}"/>
    <cellStyle name="40% - Accent2 6 2" xfId="3310" xr:uid="{00000000-0005-0000-0000-0000F3040000}"/>
    <cellStyle name="40% - Accent2 6 2 2" xfId="7532" xr:uid="{00000000-0005-0000-0000-0000F4040000}"/>
    <cellStyle name="40% - Accent2 6 2 2 2" xfId="16858" xr:uid="{87C26319-9319-406D-B8D9-0B8950D1D8D5}"/>
    <cellStyle name="40% - Accent2 6 2 3" xfId="12641" xr:uid="{D16541A4-C638-4D4F-A9C7-323D654A36B8}"/>
    <cellStyle name="40% - Accent2 6 3" xfId="5387" xr:uid="{00000000-0005-0000-0000-0000F5040000}"/>
    <cellStyle name="40% - Accent2 6 3 2" xfId="14713" xr:uid="{D1F6EC6B-FBD3-41B0-BDC6-AB6BE232C952}"/>
    <cellStyle name="40% - Accent2 6 4" xfId="10496" xr:uid="{12243B1D-23E3-4117-9A1B-3C988D141291}"/>
    <cellStyle name="40% - Accent2 7" xfId="1493" xr:uid="{00000000-0005-0000-0000-0000F6040000}"/>
    <cellStyle name="40% - Accent2 7 2" xfId="3723" xr:uid="{00000000-0005-0000-0000-0000F7040000}"/>
    <cellStyle name="40% - Accent2 7 2 2" xfId="7945" xr:uid="{00000000-0005-0000-0000-0000F8040000}"/>
    <cellStyle name="40% - Accent2 7 2 2 2" xfId="17271" xr:uid="{403B5872-6897-4DBA-9EE7-46F30A2476A0}"/>
    <cellStyle name="40% - Accent2 7 2 3" xfId="13054" xr:uid="{AFF64B87-A530-48F3-90F6-4323E8385BA7}"/>
    <cellStyle name="40% - Accent2 7 3" xfId="5800" xr:uid="{00000000-0005-0000-0000-0000F9040000}"/>
    <cellStyle name="40% - Accent2 7 3 2" xfId="15126" xr:uid="{E0EAACD8-2E08-44A5-9ABE-573AD9BA9B43}"/>
    <cellStyle name="40% - Accent2 7 4" xfId="10909" xr:uid="{527871EB-61F4-432C-83BC-BABF047FCFB1}"/>
    <cellStyle name="40% - Accent2 8" xfId="1907" xr:uid="{00000000-0005-0000-0000-0000FA040000}"/>
    <cellStyle name="40% - Accent2 8 2" xfId="4136" xr:uid="{00000000-0005-0000-0000-0000FB040000}"/>
    <cellStyle name="40% - Accent2 8 2 2" xfId="8358" xr:uid="{00000000-0005-0000-0000-0000FC040000}"/>
    <cellStyle name="40% - Accent2 8 2 2 2" xfId="17684" xr:uid="{1495AE0B-591D-49B3-A751-CF5B87D210B6}"/>
    <cellStyle name="40% - Accent2 8 2 3" xfId="13467" xr:uid="{A4C64EB2-E9CD-4E15-B690-784ED3D9A1BC}"/>
    <cellStyle name="40% - Accent2 8 3" xfId="6213" xr:uid="{00000000-0005-0000-0000-0000FD040000}"/>
    <cellStyle name="40% - Accent2 8 3 2" xfId="15539" xr:uid="{06136F57-B8CC-4AF4-8867-20DF5D49D257}"/>
    <cellStyle name="40% - Accent2 8 4" xfId="11322" xr:uid="{1A0A8191-59A7-4BBF-A2B5-3E5E069940DF}"/>
    <cellStyle name="40% - Accent2 9" xfId="2320" xr:uid="{00000000-0005-0000-0000-0000FE040000}"/>
    <cellStyle name="40% - Accent2 9 2" xfId="6626" xr:uid="{00000000-0005-0000-0000-0000FF040000}"/>
    <cellStyle name="40% - Accent2 9 2 2" xfId="15952" xr:uid="{11982392-0DB9-44E4-BA0D-F6667F65D051}"/>
    <cellStyle name="40% - Accent2 9 3" xfId="11735" xr:uid="{6069D2AB-0A2B-434B-A4A8-985ED3AC64CF}"/>
    <cellStyle name="40% - Accent3" xfId="65" builtinId="39" customBuiltin="1"/>
    <cellStyle name="40% - Accent3 10" xfId="4568" xr:uid="{00000000-0005-0000-0000-000001050000}"/>
    <cellStyle name="40% - Accent3 10 2" xfId="13894" xr:uid="{22ABD53E-3F42-4220-9C0B-F6EAE4CC7784}"/>
    <cellStyle name="40% - Accent3 11" xfId="8763" xr:uid="{CEFBFA85-5B68-4AEB-BF0D-8E604938B05F}"/>
    <cellStyle name="40% - Accent3 11 2" xfId="18087" xr:uid="{44603FE2-0A98-4EA7-B168-75348D445499}"/>
    <cellStyle name="40% - Accent3 12" xfId="9677" xr:uid="{82A2FC1D-051D-469C-BE1C-040715814240}"/>
    <cellStyle name="40% - Accent3 2" xfId="66" xr:uid="{00000000-0005-0000-0000-000002050000}"/>
    <cellStyle name="40% - Accent3 2 10" xfId="8800" xr:uid="{00FF2AAD-7D96-45B5-8981-0BB923A3505B}"/>
    <cellStyle name="40% - Accent3 2 10 2" xfId="18124" xr:uid="{C02CE59F-4254-43E6-96EE-14E705E690BD}"/>
    <cellStyle name="40% - Accent3 2 11" xfId="9678" xr:uid="{F2111E9F-274D-4473-B6DE-329491DAD2FA}"/>
    <cellStyle name="40% - Accent3 2 2" xfId="67" xr:uid="{00000000-0005-0000-0000-000003050000}"/>
    <cellStyle name="40% - Accent3 2 2 10" xfId="9679" xr:uid="{E0E2D97E-378A-4342-BBC3-A3C8059C64EE}"/>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16456" xr:uid="{260E4062-831E-4E21-A5A5-059E8B78D075}"/>
    <cellStyle name="40% - Accent3 2 2 2 2 2 3" xfId="12239" xr:uid="{49BCA609-95A3-4308-8CC1-9F9B4EA5127C}"/>
    <cellStyle name="40% - Accent3 2 2 2 2 3" xfId="4985" xr:uid="{00000000-0005-0000-0000-000008050000}"/>
    <cellStyle name="40% - Accent3 2 2 2 2 3 2" xfId="14311" xr:uid="{DBDECBE9-8F69-44C8-BB17-4B7ED6F00400}"/>
    <cellStyle name="40% - Accent3 2 2 2 2 4" xfId="9535" xr:uid="{3AC66435-D4C7-42EF-A799-3DC81A57BDF4}"/>
    <cellStyle name="40% - Accent3 2 2 2 2 4 2" xfId="18850" xr:uid="{2E611B3F-6445-4CF2-B116-436DB557CEA4}"/>
    <cellStyle name="40% - Accent3 2 2 2 2 5" xfId="10094" xr:uid="{DA0BFFA4-64B2-4BD3-80F2-95D138DC3398}"/>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16869" xr:uid="{21CFE701-2806-4B2F-881F-A5E3C9029667}"/>
    <cellStyle name="40% - Accent3 2 2 2 3 2 3" xfId="12652" xr:uid="{B112B93B-4535-4343-A0EE-52E8873A344B}"/>
    <cellStyle name="40% - Accent3 2 2 2 3 3" xfId="5398" xr:uid="{00000000-0005-0000-0000-00000C050000}"/>
    <cellStyle name="40% - Accent3 2 2 2 3 3 2" xfId="14724" xr:uid="{2822E36D-14B3-4626-A211-6F05E3B8985C}"/>
    <cellStyle name="40% - Accent3 2 2 2 3 4" xfId="10507" xr:uid="{2DAD1F99-9727-404D-B5EE-642DACE8954D}"/>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17282" xr:uid="{0BFB2BBD-DF0A-4217-AFBB-9FD2483916EC}"/>
    <cellStyle name="40% - Accent3 2 2 2 4 2 3" xfId="13065" xr:uid="{382232F4-0461-49C9-AB39-D29E82046E0F}"/>
    <cellStyle name="40% - Accent3 2 2 2 4 3" xfId="5811" xr:uid="{00000000-0005-0000-0000-000010050000}"/>
    <cellStyle name="40% - Accent3 2 2 2 4 3 2" xfId="15137" xr:uid="{AEB0C65E-CF39-43BA-9E5F-E427478FEAD5}"/>
    <cellStyle name="40% - Accent3 2 2 2 4 4" xfId="10920" xr:uid="{BF1C57B9-2F7F-4D21-BA26-D29E0EE3E9A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17695" xr:uid="{7BAFFAC9-C203-4AB5-99A6-FEA9DEA1DAF3}"/>
    <cellStyle name="40% - Accent3 2 2 2 5 2 3" xfId="13478" xr:uid="{2CA21244-DE2F-4879-B8F4-1087C65AD441}"/>
    <cellStyle name="40% - Accent3 2 2 2 5 3" xfId="6224" xr:uid="{00000000-0005-0000-0000-000014050000}"/>
    <cellStyle name="40% - Accent3 2 2 2 5 3 2" xfId="15550" xr:uid="{E0641FB2-5205-4555-8054-69136BEA5DF9}"/>
    <cellStyle name="40% - Accent3 2 2 2 5 4" xfId="11333" xr:uid="{2A14994D-3B17-44EA-B165-01D8B7D1A133}"/>
    <cellStyle name="40% - Accent3 2 2 2 6" xfId="2331" xr:uid="{00000000-0005-0000-0000-000015050000}"/>
    <cellStyle name="40% - Accent3 2 2 2 6 2" xfId="6637" xr:uid="{00000000-0005-0000-0000-000016050000}"/>
    <cellStyle name="40% - Accent3 2 2 2 6 2 2" xfId="15963" xr:uid="{91E3BFEB-2949-409B-82E7-06F730F2BB94}"/>
    <cellStyle name="40% - Accent3 2 2 2 6 3" xfId="11746" xr:uid="{4679D603-B720-4578-BFFC-65F62709D87C}"/>
    <cellStyle name="40% - Accent3 2 2 2 7" xfId="4571" xr:uid="{00000000-0005-0000-0000-000017050000}"/>
    <cellStyle name="40% - Accent3 2 2 2 7 2" xfId="13897" xr:uid="{8FC17652-7F28-46E4-9E56-6F1118EDDB67}"/>
    <cellStyle name="40% - Accent3 2 2 2 8" xfId="9110" xr:uid="{E41CBEF9-86F8-44B9-895F-532A7BDC9A2A}"/>
    <cellStyle name="40% - Accent3 2 2 2 8 2" xfId="18434" xr:uid="{F9FD515E-95C9-4827-966B-DD8357D88009}"/>
    <cellStyle name="40% - Accent3 2 2 2 9" xfId="9680" xr:uid="{64CA428A-EEC5-4EC1-AB23-997EB7DC5521}"/>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16455" xr:uid="{00046D0D-9E54-45BE-AF50-1CBB74ED04C2}"/>
    <cellStyle name="40% - Accent3 2 2 3 2 3" xfId="12238" xr:uid="{93B712B1-7E39-4DC9-A7A6-3AA22C608CBA}"/>
    <cellStyle name="40% - Accent3 2 2 3 3" xfId="4984" xr:uid="{00000000-0005-0000-0000-00001B050000}"/>
    <cellStyle name="40% - Accent3 2 2 3 3 2" xfId="14310" xr:uid="{B886BBB8-6D82-49EA-87A2-E84B7D660106}"/>
    <cellStyle name="40% - Accent3 2 2 3 4" xfId="9328" xr:uid="{1DAEB9B9-01CE-426D-A8F1-CE08999D7264}"/>
    <cellStyle name="40% - Accent3 2 2 3 4 2" xfId="18643" xr:uid="{B0EEC46B-AF75-4F84-9F5F-E95A424CAA32}"/>
    <cellStyle name="40% - Accent3 2 2 3 5" xfId="10093" xr:uid="{B472DF0F-0CDF-4979-8CED-A27DBBE346E4}"/>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16868" xr:uid="{11141648-5B97-4E1D-92E6-C86102444157}"/>
    <cellStyle name="40% - Accent3 2 2 4 2 3" xfId="12651" xr:uid="{1D65C5F4-0918-46A1-877D-DF14C5BCC059}"/>
    <cellStyle name="40% - Accent3 2 2 4 3" xfId="5397" xr:uid="{00000000-0005-0000-0000-00001F050000}"/>
    <cellStyle name="40% - Accent3 2 2 4 3 2" xfId="14723" xr:uid="{B2E05657-357F-4734-AE4D-3F7450551DE7}"/>
    <cellStyle name="40% - Accent3 2 2 4 4" xfId="10506" xr:uid="{5A93618A-3FC6-4A61-8D9F-158134106069}"/>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17281" xr:uid="{EAC8DDD3-C611-44BD-A6A4-B4E5076772A0}"/>
    <cellStyle name="40% - Accent3 2 2 5 2 3" xfId="13064" xr:uid="{D0B5C6B5-1894-4FED-97C4-666BD4B49885}"/>
    <cellStyle name="40% - Accent3 2 2 5 3" xfId="5810" xr:uid="{00000000-0005-0000-0000-000023050000}"/>
    <cellStyle name="40% - Accent3 2 2 5 3 2" xfId="15136" xr:uid="{8361386B-2F56-48C0-B25B-1A4A42AE942E}"/>
    <cellStyle name="40% - Accent3 2 2 5 4" xfId="10919" xr:uid="{D276B334-CA0A-4425-ACFC-5AF6760CCEF8}"/>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17694" xr:uid="{E097BFFA-08D6-4025-A04D-08657B8428B7}"/>
    <cellStyle name="40% - Accent3 2 2 6 2 3" xfId="13477" xr:uid="{F8120EEF-DBD0-4834-A8CB-9144CF6A340D}"/>
    <cellStyle name="40% - Accent3 2 2 6 3" xfId="6223" xr:uid="{00000000-0005-0000-0000-000027050000}"/>
    <cellStyle name="40% - Accent3 2 2 6 3 2" xfId="15549" xr:uid="{6B323D59-8965-4DC4-B43F-EBA028FB9799}"/>
    <cellStyle name="40% - Accent3 2 2 6 4" xfId="11332" xr:uid="{A8212341-242A-4B45-AC5F-FACEB5515722}"/>
    <cellStyle name="40% - Accent3 2 2 7" xfId="2330" xr:uid="{00000000-0005-0000-0000-000028050000}"/>
    <cellStyle name="40% - Accent3 2 2 7 2" xfId="6636" xr:uid="{00000000-0005-0000-0000-000029050000}"/>
    <cellStyle name="40% - Accent3 2 2 7 2 2" xfId="15962" xr:uid="{1612AE2E-1268-485E-A03F-ED0968668DAE}"/>
    <cellStyle name="40% - Accent3 2 2 7 3" xfId="11745" xr:uid="{76BD1638-43B1-4119-BEF4-EE89F3B57805}"/>
    <cellStyle name="40% - Accent3 2 2 8" xfId="4570" xr:uid="{00000000-0005-0000-0000-00002A050000}"/>
    <cellStyle name="40% - Accent3 2 2 8 2" xfId="13896" xr:uid="{8E6E83B3-A3F1-4B4D-B0D9-DB967952882C}"/>
    <cellStyle name="40% - Accent3 2 2 9" xfId="8903" xr:uid="{D9C85917-26AE-466C-8B98-905BCDA9E329}"/>
    <cellStyle name="40% - Accent3 2 2 9 2" xfId="18227" xr:uid="{AFA2E980-1F4A-4139-B74E-D8A3AD5CA3A5}"/>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16457" xr:uid="{B912ABB3-9BD9-4600-9022-1E800046EFBF}"/>
    <cellStyle name="40% - Accent3 2 3 2 2 3" xfId="12240" xr:uid="{124F883A-9ED1-41A5-BFCC-585899124AFA}"/>
    <cellStyle name="40% - Accent3 2 3 2 3" xfId="4986" xr:uid="{00000000-0005-0000-0000-00002F050000}"/>
    <cellStyle name="40% - Accent3 2 3 2 3 2" xfId="14312" xr:uid="{C3522663-8127-45FE-B04E-DEC963CFB902}"/>
    <cellStyle name="40% - Accent3 2 3 2 4" xfId="9432" xr:uid="{54D6848B-0200-4F42-820D-262A8F9A2C0F}"/>
    <cellStyle name="40% - Accent3 2 3 2 4 2" xfId="18747" xr:uid="{0410B53F-F733-40E5-8885-D4095DB52E18}"/>
    <cellStyle name="40% - Accent3 2 3 2 5" xfId="10095" xr:uid="{FFC04508-01F0-4D61-9F34-CA8DE60364CE}"/>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16870" xr:uid="{9FB7200A-5232-4A77-8B52-EA2A54551CA8}"/>
    <cellStyle name="40% - Accent3 2 3 3 2 3" xfId="12653" xr:uid="{E8F375BD-453F-4DF0-A985-0CE804D26CF1}"/>
    <cellStyle name="40% - Accent3 2 3 3 3" xfId="5399" xr:uid="{00000000-0005-0000-0000-000033050000}"/>
    <cellStyle name="40% - Accent3 2 3 3 3 2" xfId="14725" xr:uid="{B7EA72D9-DBAB-4673-A8D2-EDC1A0BE26CC}"/>
    <cellStyle name="40% - Accent3 2 3 3 4" xfId="10508" xr:uid="{9E17CA5C-C747-4887-A658-1063A6612DE7}"/>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17283" xr:uid="{A0077CC0-3552-4548-9D4C-104570673B00}"/>
    <cellStyle name="40% - Accent3 2 3 4 2 3" xfId="13066" xr:uid="{27534DB0-6F1A-444D-9E43-E1BD39976193}"/>
    <cellStyle name="40% - Accent3 2 3 4 3" xfId="5812" xr:uid="{00000000-0005-0000-0000-000037050000}"/>
    <cellStyle name="40% - Accent3 2 3 4 3 2" xfId="15138" xr:uid="{15D84C5C-36F7-48C9-8DE3-72DC2F8DBC22}"/>
    <cellStyle name="40% - Accent3 2 3 4 4" xfId="10921" xr:uid="{F260890E-9F25-474E-9D7A-40BA077B595D}"/>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17696" xr:uid="{854F887F-D374-4B58-ABDF-E393C6852F6E}"/>
    <cellStyle name="40% - Accent3 2 3 5 2 3" xfId="13479" xr:uid="{D52317ED-7BEC-4A8B-92DB-3E4EDBB60555}"/>
    <cellStyle name="40% - Accent3 2 3 5 3" xfId="6225" xr:uid="{00000000-0005-0000-0000-00003B050000}"/>
    <cellStyle name="40% - Accent3 2 3 5 3 2" xfId="15551" xr:uid="{5DD300AB-43B3-4B69-8DB5-947420716A2A}"/>
    <cellStyle name="40% - Accent3 2 3 5 4" xfId="11334" xr:uid="{E64A952E-93B7-465A-AB36-A4A1C5E8DC30}"/>
    <cellStyle name="40% - Accent3 2 3 6" xfId="2332" xr:uid="{00000000-0005-0000-0000-00003C050000}"/>
    <cellStyle name="40% - Accent3 2 3 6 2" xfId="6638" xr:uid="{00000000-0005-0000-0000-00003D050000}"/>
    <cellStyle name="40% - Accent3 2 3 6 2 2" xfId="15964" xr:uid="{7C5F1764-FD6D-4744-B435-D11BD70EEE81}"/>
    <cellStyle name="40% - Accent3 2 3 6 3" xfId="11747" xr:uid="{4C70CF7F-1A32-40AC-98A9-2776696988D9}"/>
    <cellStyle name="40% - Accent3 2 3 7" xfId="4572" xr:uid="{00000000-0005-0000-0000-00003E050000}"/>
    <cellStyle name="40% - Accent3 2 3 7 2" xfId="13898" xr:uid="{53BE422A-F0A2-48AA-A79F-F39AD7900D4E}"/>
    <cellStyle name="40% - Accent3 2 3 8" xfId="9007" xr:uid="{2DEFD82C-2A62-4C1E-AA8D-7F2606BD9091}"/>
    <cellStyle name="40% - Accent3 2 3 8 2" xfId="18331" xr:uid="{E426047C-18D0-4009-9B98-10C275A5D9A2}"/>
    <cellStyle name="40% - Accent3 2 3 9" xfId="9681" xr:uid="{1AA7696F-6918-464C-9D83-3CA4E7922397}"/>
    <cellStyle name="40% - Accent3 2 4" xfId="635" xr:uid="{00000000-0005-0000-0000-00003F050000}"/>
    <cellStyle name="40% - Accent3 2 4 2" xfId="2906" xr:uid="{00000000-0005-0000-0000-000040050000}"/>
    <cellStyle name="40% - Accent3 2 4 2 2" xfId="7128" xr:uid="{00000000-0005-0000-0000-000041050000}"/>
    <cellStyle name="40% - Accent3 2 4 2 2 2" xfId="16454" xr:uid="{E2AC71A2-718D-4375-BAD5-71FA5F127502}"/>
    <cellStyle name="40% - Accent3 2 4 2 3" xfId="12237" xr:uid="{2F67DBEF-A1AA-4508-A7DD-B23ACA01FB71}"/>
    <cellStyle name="40% - Accent3 2 4 3" xfId="4983" xr:uid="{00000000-0005-0000-0000-000042050000}"/>
    <cellStyle name="40% - Accent3 2 4 3 2" xfId="14309" xr:uid="{DD104B7C-BD9C-474E-9643-8EF08D883EA8}"/>
    <cellStyle name="40% - Accent3 2 4 4" xfId="9224" xr:uid="{6B91012A-BFF2-4F1F-901C-A91F06F80031}"/>
    <cellStyle name="40% - Accent3 2 4 4 2" xfId="18540" xr:uid="{4C2F5466-65DC-42B3-BFA2-62E782D0E0B3}"/>
    <cellStyle name="40% - Accent3 2 4 5" xfId="10092" xr:uid="{7C9E1B70-44CF-49BE-B084-D380BF47DD61}"/>
    <cellStyle name="40% - Accent3 2 5" xfId="1088" xr:uid="{00000000-0005-0000-0000-000043050000}"/>
    <cellStyle name="40% - Accent3 2 5 2" xfId="3319" xr:uid="{00000000-0005-0000-0000-000044050000}"/>
    <cellStyle name="40% - Accent3 2 5 2 2" xfId="7541" xr:uid="{00000000-0005-0000-0000-000045050000}"/>
    <cellStyle name="40% - Accent3 2 5 2 2 2" xfId="16867" xr:uid="{544DA837-7F9F-4DE8-8626-8E21138FF31E}"/>
    <cellStyle name="40% - Accent3 2 5 2 3" xfId="12650" xr:uid="{169515AB-AC2B-4750-A58C-C44009A6C9C6}"/>
    <cellStyle name="40% - Accent3 2 5 3" xfId="5396" xr:uid="{00000000-0005-0000-0000-000046050000}"/>
    <cellStyle name="40% - Accent3 2 5 3 2" xfId="14722" xr:uid="{751DD26C-CE47-434B-804B-8570751AB340}"/>
    <cellStyle name="40% - Accent3 2 5 4" xfId="10505" xr:uid="{49E179DD-64F2-440A-B57C-9BDEFD5C4E44}"/>
    <cellStyle name="40% - Accent3 2 6" xfId="1502" xr:uid="{00000000-0005-0000-0000-000047050000}"/>
    <cellStyle name="40% - Accent3 2 6 2" xfId="3732" xr:uid="{00000000-0005-0000-0000-000048050000}"/>
    <cellStyle name="40% - Accent3 2 6 2 2" xfId="7954" xr:uid="{00000000-0005-0000-0000-000049050000}"/>
    <cellStyle name="40% - Accent3 2 6 2 2 2" xfId="17280" xr:uid="{72CDBB1B-4BCC-4E59-81A5-E4ECE3220260}"/>
    <cellStyle name="40% - Accent3 2 6 2 3" xfId="13063" xr:uid="{A075B1BD-24CB-46B0-A5BE-8BBE3860E211}"/>
    <cellStyle name="40% - Accent3 2 6 3" xfId="5809" xr:uid="{00000000-0005-0000-0000-00004A050000}"/>
    <cellStyle name="40% - Accent3 2 6 3 2" xfId="15135" xr:uid="{F7A66CFC-3599-40BB-884C-BB38C7C7F445}"/>
    <cellStyle name="40% - Accent3 2 6 4" xfId="10918" xr:uid="{FE8CF3CA-8404-45B1-9FF7-1D313C4B7A30}"/>
    <cellStyle name="40% - Accent3 2 7" xfId="1916" xr:uid="{00000000-0005-0000-0000-00004B050000}"/>
    <cellStyle name="40% - Accent3 2 7 2" xfId="4145" xr:uid="{00000000-0005-0000-0000-00004C050000}"/>
    <cellStyle name="40% - Accent3 2 7 2 2" xfId="8367" xr:uid="{00000000-0005-0000-0000-00004D050000}"/>
    <cellStyle name="40% - Accent3 2 7 2 2 2" xfId="17693" xr:uid="{9D246CC1-8572-45B3-8D6A-799FF5C6F60B}"/>
    <cellStyle name="40% - Accent3 2 7 2 3" xfId="13476" xr:uid="{8ADD1EF1-2417-4399-9A14-3CA890EB9439}"/>
    <cellStyle name="40% - Accent3 2 7 3" xfId="6222" xr:uid="{00000000-0005-0000-0000-00004E050000}"/>
    <cellStyle name="40% - Accent3 2 7 3 2" xfId="15548" xr:uid="{F7A60562-C1E5-4353-8350-95C64F133B3F}"/>
    <cellStyle name="40% - Accent3 2 7 4" xfId="11331" xr:uid="{AA13BE0F-C8CA-4D67-B3A7-B84391CEF92C}"/>
    <cellStyle name="40% - Accent3 2 8" xfId="2329" xr:uid="{00000000-0005-0000-0000-00004F050000}"/>
    <cellStyle name="40% - Accent3 2 8 2" xfId="6635" xr:uid="{00000000-0005-0000-0000-000050050000}"/>
    <cellStyle name="40% - Accent3 2 8 2 2" xfId="15961" xr:uid="{7B466D5E-0E37-4351-9A07-D51DE91F5C8F}"/>
    <cellStyle name="40% - Accent3 2 8 3" xfId="11744" xr:uid="{3E9DF57C-C305-498D-A616-5A25231DFFF8}"/>
    <cellStyle name="40% - Accent3 2 9" xfId="4569" xr:uid="{00000000-0005-0000-0000-000051050000}"/>
    <cellStyle name="40% - Accent3 2 9 2" xfId="13895" xr:uid="{2628EB82-9324-458A-B7FF-CB4E6065DD0C}"/>
    <cellStyle name="40% - Accent3 3" xfId="70" xr:uid="{00000000-0005-0000-0000-000052050000}"/>
    <cellStyle name="40% - Accent3 3 10" xfId="9682" xr:uid="{DCDEEC6D-A275-4D85-99C1-B7FF3906EDE8}"/>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16459" xr:uid="{2EE4D6B4-1DF6-4E9C-819D-D47F93BD1C30}"/>
    <cellStyle name="40% - Accent3 3 2 2 2 3" xfId="12242" xr:uid="{78462861-0F74-4FDA-83E9-66811E035636}"/>
    <cellStyle name="40% - Accent3 3 2 2 3" xfId="4988" xr:uid="{00000000-0005-0000-0000-000057050000}"/>
    <cellStyle name="40% - Accent3 3 2 2 3 2" xfId="14314" xr:uid="{5861ABD6-270B-4766-A1ED-5D0E500E570B}"/>
    <cellStyle name="40% - Accent3 3 2 2 4" xfId="9498" xr:uid="{7C43CF58-5AE0-4BAA-9D2B-CAB92F3612F1}"/>
    <cellStyle name="40% - Accent3 3 2 2 4 2" xfId="18813" xr:uid="{3C359D49-63E9-445A-95BC-A49FD7360E1F}"/>
    <cellStyle name="40% - Accent3 3 2 2 5" xfId="10097" xr:uid="{AAFF4C68-B613-4F38-B9D4-5AFD0E8E950D}"/>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16872" xr:uid="{D146CDDE-0369-42B3-B2B5-E107F79BA5EF}"/>
    <cellStyle name="40% - Accent3 3 2 3 2 3" xfId="12655" xr:uid="{AC0FE830-D103-46EC-9C96-3292BC5C40C3}"/>
    <cellStyle name="40% - Accent3 3 2 3 3" xfId="5401" xr:uid="{00000000-0005-0000-0000-00005B050000}"/>
    <cellStyle name="40% - Accent3 3 2 3 3 2" xfId="14727" xr:uid="{AEE74C3D-3CDD-48F9-A4C4-E0E14D4A3DB9}"/>
    <cellStyle name="40% - Accent3 3 2 3 4" xfId="10510" xr:uid="{A2CCA07D-4517-402E-9F8A-4E34DB27FE30}"/>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17285" xr:uid="{35A41133-AAA7-4631-B059-F01A8FA058C2}"/>
    <cellStyle name="40% - Accent3 3 2 4 2 3" xfId="13068" xr:uid="{F757D547-FBB8-4B92-9498-04F4B1762060}"/>
    <cellStyle name="40% - Accent3 3 2 4 3" xfId="5814" xr:uid="{00000000-0005-0000-0000-00005F050000}"/>
    <cellStyle name="40% - Accent3 3 2 4 3 2" xfId="15140" xr:uid="{115AD3A4-78D7-409E-B91C-DBFC3581AF17}"/>
    <cellStyle name="40% - Accent3 3 2 4 4" xfId="10923" xr:uid="{D0D7802C-A87A-4E5E-A47A-AED99FA33D7E}"/>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17698" xr:uid="{F345B182-F827-45BF-9C4B-63307A467D46}"/>
    <cellStyle name="40% - Accent3 3 2 5 2 3" xfId="13481" xr:uid="{67C888B3-93C8-472D-AD24-9D4BFECC1774}"/>
    <cellStyle name="40% - Accent3 3 2 5 3" xfId="6227" xr:uid="{00000000-0005-0000-0000-000063050000}"/>
    <cellStyle name="40% - Accent3 3 2 5 3 2" xfId="15553" xr:uid="{C84D9269-148C-470D-84E3-4074B9EBB8D5}"/>
    <cellStyle name="40% - Accent3 3 2 5 4" xfId="11336" xr:uid="{CC373A26-126E-4E49-A5FD-012A9310A7F3}"/>
    <cellStyle name="40% - Accent3 3 2 6" xfId="2334" xr:uid="{00000000-0005-0000-0000-000064050000}"/>
    <cellStyle name="40% - Accent3 3 2 6 2" xfId="6640" xr:uid="{00000000-0005-0000-0000-000065050000}"/>
    <cellStyle name="40% - Accent3 3 2 6 2 2" xfId="15966" xr:uid="{7F5DC213-795B-4C58-B2D5-C80162B7DB12}"/>
    <cellStyle name="40% - Accent3 3 2 6 3" xfId="11749" xr:uid="{3739E337-F14D-4955-9A2B-EC08D53785F9}"/>
    <cellStyle name="40% - Accent3 3 2 7" xfId="4574" xr:uid="{00000000-0005-0000-0000-000066050000}"/>
    <cellStyle name="40% - Accent3 3 2 7 2" xfId="13900" xr:uid="{BBD0C038-4D18-4715-9729-7A1AF94FA1BC}"/>
    <cellStyle name="40% - Accent3 3 2 8" xfId="9073" xr:uid="{0E71C752-2CF0-411D-A05E-4DA4A73CFC34}"/>
    <cellStyle name="40% - Accent3 3 2 8 2" xfId="18397" xr:uid="{47F07A61-3958-46F6-8753-2FE56A637AD5}"/>
    <cellStyle name="40% - Accent3 3 2 9" xfId="9683" xr:uid="{0A8B6485-78A8-4A88-A511-FD6BB04D24FF}"/>
    <cellStyle name="40% - Accent3 3 3" xfId="639" xr:uid="{00000000-0005-0000-0000-000067050000}"/>
    <cellStyle name="40% - Accent3 3 3 2" xfId="2910" xr:uid="{00000000-0005-0000-0000-000068050000}"/>
    <cellStyle name="40% - Accent3 3 3 2 2" xfId="7132" xr:uid="{00000000-0005-0000-0000-000069050000}"/>
    <cellStyle name="40% - Accent3 3 3 2 2 2" xfId="16458" xr:uid="{146C140B-DCDC-4C91-A287-E522C63E9A86}"/>
    <cellStyle name="40% - Accent3 3 3 2 3" xfId="12241" xr:uid="{8EBDD563-7231-4E62-9E84-869C62D9F631}"/>
    <cellStyle name="40% - Accent3 3 3 3" xfId="4987" xr:uid="{00000000-0005-0000-0000-00006A050000}"/>
    <cellStyle name="40% - Accent3 3 3 3 2" xfId="14313" xr:uid="{BE3B11F2-B428-4127-A97A-133C6832198B}"/>
    <cellStyle name="40% - Accent3 3 3 4" xfId="9291" xr:uid="{59AB3F6D-A8C6-4A37-A8E3-967850079A77}"/>
    <cellStyle name="40% - Accent3 3 3 4 2" xfId="18606" xr:uid="{D86E0E02-8544-4588-AEE4-1D06DFD8BB15}"/>
    <cellStyle name="40% - Accent3 3 3 5" xfId="10096" xr:uid="{43EF3230-9953-4D61-8CE0-327FB140F332}"/>
    <cellStyle name="40% - Accent3 3 4" xfId="1092" xr:uid="{00000000-0005-0000-0000-00006B050000}"/>
    <cellStyle name="40% - Accent3 3 4 2" xfId="3323" xr:uid="{00000000-0005-0000-0000-00006C050000}"/>
    <cellStyle name="40% - Accent3 3 4 2 2" xfId="7545" xr:uid="{00000000-0005-0000-0000-00006D050000}"/>
    <cellStyle name="40% - Accent3 3 4 2 2 2" xfId="16871" xr:uid="{045AEB9E-B7F5-4E86-B26D-9BE3957ECF00}"/>
    <cellStyle name="40% - Accent3 3 4 2 3" xfId="12654" xr:uid="{C6F5B9D2-5D78-4119-BAFC-47EC7D64AF67}"/>
    <cellStyle name="40% - Accent3 3 4 3" xfId="5400" xr:uid="{00000000-0005-0000-0000-00006E050000}"/>
    <cellStyle name="40% - Accent3 3 4 3 2" xfId="14726" xr:uid="{4A3B42E4-8E20-4AB0-9538-8B4CEAA512AE}"/>
    <cellStyle name="40% - Accent3 3 4 4" xfId="10509" xr:uid="{10BBD9CD-1078-44BB-B679-B79932655068}"/>
    <cellStyle name="40% - Accent3 3 5" xfId="1506" xr:uid="{00000000-0005-0000-0000-00006F050000}"/>
    <cellStyle name="40% - Accent3 3 5 2" xfId="3736" xr:uid="{00000000-0005-0000-0000-000070050000}"/>
    <cellStyle name="40% - Accent3 3 5 2 2" xfId="7958" xr:uid="{00000000-0005-0000-0000-000071050000}"/>
    <cellStyle name="40% - Accent3 3 5 2 2 2" xfId="17284" xr:uid="{20211E85-AC34-4C28-AC5E-E1691F9DDC96}"/>
    <cellStyle name="40% - Accent3 3 5 2 3" xfId="13067" xr:uid="{D0D44E03-6D11-436C-BF31-4371EF0FC329}"/>
    <cellStyle name="40% - Accent3 3 5 3" xfId="5813" xr:uid="{00000000-0005-0000-0000-000072050000}"/>
    <cellStyle name="40% - Accent3 3 5 3 2" xfId="15139" xr:uid="{E068CB69-F3A0-4901-9390-1A380EC2D579}"/>
    <cellStyle name="40% - Accent3 3 5 4" xfId="10922" xr:uid="{BC08BDC2-0B4C-43E9-91E5-413FDB9A9023}"/>
    <cellStyle name="40% - Accent3 3 6" xfId="1920" xr:uid="{00000000-0005-0000-0000-000073050000}"/>
    <cellStyle name="40% - Accent3 3 6 2" xfId="4149" xr:uid="{00000000-0005-0000-0000-000074050000}"/>
    <cellStyle name="40% - Accent3 3 6 2 2" xfId="8371" xr:uid="{00000000-0005-0000-0000-000075050000}"/>
    <cellStyle name="40% - Accent3 3 6 2 2 2" xfId="17697" xr:uid="{DFDAC6E1-E416-4B1D-9802-D6C201F8FA8D}"/>
    <cellStyle name="40% - Accent3 3 6 2 3" xfId="13480" xr:uid="{CC56231A-98FD-45D9-8D14-5109CB98763C}"/>
    <cellStyle name="40% - Accent3 3 6 3" xfId="6226" xr:uid="{00000000-0005-0000-0000-000076050000}"/>
    <cellStyle name="40% - Accent3 3 6 3 2" xfId="15552" xr:uid="{9B02EE4B-32E2-4804-9570-D96882CC8BCF}"/>
    <cellStyle name="40% - Accent3 3 6 4" xfId="11335" xr:uid="{0D105D43-052C-4C33-A53E-12373743F52A}"/>
    <cellStyle name="40% - Accent3 3 7" xfId="2333" xr:uid="{00000000-0005-0000-0000-000077050000}"/>
    <cellStyle name="40% - Accent3 3 7 2" xfId="6639" xr:uid="{00000000-0005-0000-0000-000078050000}"/>
    <cellStyle name="40% - Accent3 3 7 2 2" xfId="15965" xr:uid="{83420B74-58AB-4574-98FA-1A28742ACBA6}"/>
    <cellStyle name="40% - Accent3 3 7 3" xfId="11748" xr:uid="{87F7C998-8D6D-4778-9EFA-15DDAAC1C9B5}"/>
    <cellStyle name="40% - Accent3 3 8" xfId="4573" xr:uid="{00000000-0005-0000-0000-000079050000}"/>
    <cellStyle name="40% - Accent3 3 8 2" xfId="13899" xr:uid="{1CF8A54D-2512-403F-8B9E-8AEFBE8FD923}"/>
    <cellStyle name="40% - Accent3 3 9" xfId="8866" xr:uid="{1A1EF43E-4A2B-42A8-98A3-CEC34DD3B00D}"/>
    <cellStyle name="40% - Accent3 3 9 2" xfId="18190" xr:uid="{AE94FC8A-719D-412D-ACFE-E32222624C1B}"/>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2 2 2" xfId="16460" xr:uid="{D0AB4863-688F-4F80-AAD7-A45793F73C7D}"/>
    <cellStyle name="40% - Accent3 4 2 2 3" xfId="12243" xr:uid="{E5911423-E922-40BA-8C06-252A2A33E05D}"/>
    <cellStyle name="40% - Accent3 4 2 3" xfId="4989" xr:uid="{00000000-0005-0000-0000-00007E050000}"/>
    <cellStyle name="40% - Accent3 4 2 3 2" xfId="14315" xr:uid="{28F84B14-3A88-4797-889F-8D9A9C0224AF}"/>
    <cellStyle name="40% - Accent3 4 2 4" xfId="9377" xr:uid="{F4393833-4E73-4685-9332-CF918D5239A9}"/>
    <cellStyle name="40% - Accent3 4 2 4 2" xfId="18692" xr:uid="{0FAE5240-6F64-4575-8DA6-8240BBD697B7}"/>
    <cellStyle name="40% - Accent3 4 2 5" xfId="10098" xr:uid="{7D2D4C9F-70FE-409D-9D10-75E7044BB743}"/>
    <cellStyle name="40% - Accent3 4 3" xfId="1094" xr:uid="{00000000-0005-0000-0000-00007F050000}"/>
    <cellStyle name="40% - Accent3 4 3 2" xfId="3325" xr:uid="{00000000-0005-0000-0000-000080050000}"/>
    <cellStyle name="40% - Accent3 4 3 2 2" xfId="7547" xr:uid="{00000000-0005-0000-0000-000081050000}"/>
    <cellStyle name="40% - Accent3 4 3 2 2 2" xfId="16873" xr:uid="{A09CC96C-0A56-4208-B17A-89E97A14A2A5}"/>
    <cellStyle name="40% - Accent3 4 3 2 3" xfId="12656" xr:uid="{3EB02ACD-146F-45FB-8CAA-736CB29A32EB}"/>
    <cellStyle name="40% - Accent3 4 3 3" xfId="5402" xr:uid="{00000000-0005-0000-0000-000082050000}"/>
    <cellStyle name="40% - Accent3 4 3 3 2" xfId="14728" xr:uid="{F70AC049-F180-4AC8-9CF0-BE0304BB0C63}"/>
    <cellStyle name="40% - Accent3 4 3 4" xfId="10511" xr:uid="{4D6A5A07-02A6-4503-8F4E-02CA15DABD1C}"/>
    <cellStyle name="40% - Accent3 4 4" xfId="1508" xr:uid="{00000000-0005-0000-0000-000083050000}"/>
    <cellStyle name="40% - Accent3 4 4 2" xfId="3738" xr:uid="{00000000-0005-0000-0000-000084050000}"/>
    <cellStyle name="40% - Accent3 4 4 2 2" xfId="7960" xr:uid="{00000000-0005-0000-0000-000085050000}"/>
    <cellStyle name="40% - Accent3 4 4 2 2 2" xfId="17286" xr:uid="{229D59FA-13C6-4B95-B06E-9B90D92EDD09}"/>
    <cellStyle name="40% - Accent3 4 4 2 3" xfId="13069" xr:uid="{D2568AB5-16E8-4E4E-AAD2-4EE08748D41E}"/>
    <cellStyle name="40% - Accent3 4 4 3" xfId="5815" xr:uid="{00000000-0005-0000-0000-000086050000}"/>
    <cellStyle name="40% - Accent3 4 4 3 2" xfId="15141" xr:uid="{38F88E47-8BD0-41C9-A0A5-131F0CAB1FBC}"/>
    <cellStyle name="40% - Accent3 4 4 4" xfId="10924" xr:uid="{B7FCAB83-F50C-47B2-82E9-CE28D2050055}"/>
    <cellStyle name="40% - Accent3 4 5" xfId="1922" xr:uid="{00000000-0005-0000-0000-000087050000}"/>
    <cellStyle name="40% - Accent3 4 5 2" xfId="4151" xr:uid="{00000000-0005-0000-0000-000088050000}"/>
    <cellStyle name="40% - Accent3 4 5 2 2" xfId="8373" xr:uid="{00000000-0005-0000-0000-000089050000}"/>
    <cellStyle name="40% - Accent3 4 5 2 2 2" xfId="17699" xr:uid="{8720F906-8298-42F2-A0A5-D68091266FB5}"/>
    <cellStyle name="40% - Accent3 4 5 2 3" xfId="13482" xr:uid="{CA0A7353-F9CB-4374-B3AB-6414204E43A0}"/>
    <cellStyle name="40% - Accent3 4 5 3" xfId="6228" xr:uid="{00000000-0005-0000-0000-00008A050000}"/>
    <cellStyle name="40% - Accent3 4 5 3 2" xfId="15554" xr:uid="{0262D22C-FC06-49B8-BB42-D2FA99B9AB74}"/>
    <cellStyle name="40% - Accent3 4 5 4" xfId="11337" xr:uid="{FA537948-8A99-4713-BC79-ABC9D1535907}"/>
    <cellStyle name="40% - Accent3 4 6" xfId="2335" xr:uid="{00000000-0005-0000-0000-00008B050000}"/>
    <cellStyle name="40% - Accent3 4 6 2" xfId="6641" xr:uid="{00000000-0005-0000-0000-00008C050000}"/>
    <cellStyle name="40% - Accent3 4 6 2 2" xfId="15967" xr:uid="{75B86E67-0208-4785-AF95-E170187498F5}"/>
    <cellStyle name="40% - Accent3 4 6 3" xfId="11750" xr:uid="{BC6C9874-BD5D-40C1-8B2A-E08DA2D3754E}"/>
    <cellStyle name="40% - Accent3 4 7" xfId="4575" xr:uid="{00000000-0005-0000-0000-00008D050000}"/>
    <cellStyle name="40% - Accent3 4 7 2" xfId="13901" xr:uid="{00ABB7E7-BABA-4931-A46B-624BD18FE005}"/>
    <cellStyle name="40% - Accent3 4 8" xfId="8952" xr:uid="{74BF8F1E-4A34-4787-9BA1-0B97E446635F}"/>
    <cellStyle name="40% - Accent3 4 8 2" xfId="18276" xr:uid="{E8571FB4-6F32-420D-9822-76D8B05F2AF5}"/>
    <cellStyle name="40% - Accent3 4 9" xfId="9684" xr:uid="{315393D3-E4DF-4198-B2B5-AA88662440E9}"/>
    <cellStyle name="40% - Accent3 5" xfId="634" xr:uid="{00000000-0005-0000-0000-00008E050000}"/>
    <cellStyle name="40% - Accent3 5 2" xfId="2905" xr:uid="{00000000-0005-0000-0000-00008F050000}"/>
    <cellStyle name="40% - Accent3 5 2 2" xfId="7127" xr:uid="{00000000-0005-0000-0000-000090050000}"/>
    <cellStyle name="40% - Accent3 5 2 2 2" xfId="16453" xr:uid="{8EFBA27A-4569-412D-A013-EE8ED5EA0201}"/>
    <cellStyle name="40% - Accent3 5 2 3" xfId="12236" xr:uid="{02EA2401-DA87-4E81-A72E-A02709D6410D}"/>
    <cellStyle name="40% - Accent3 5 3" xfId="4982" xr:uid="{00000000-0005-0000-0000-000091050000}"/>
    <cellStyle name="40% - Accent3 5 3 2" xfId="14308" xr:uid="{561B9A76-94FF-4173-B5ED-FF190046FE68}"/>
    <cellStyle name="40% - Accent3 5 4" xfId="9185" xr:uid="{526F025D-EBF7-4976-9E38-4C0631A2843B}"/>
    <cellStyle name="40% - Accent3 5 4 2" xfId="18503" xr:uid="{DD93FA27-88E4-4153-8944-C84711774264}"/>
    <cellStyle name="40% - Accent3 5 5" xfId="10091" xr:uid="{6164770C-8625-4D35-9C65-316A2DB05558}"/>
    <cellStyle name="40% - Accent3 6" xfId="1087" xr:uid="{00000000-0005-0000-0000-000092050000}"/>
    <cellStyle name="40% - Accent3 6 2" xfId="3318" xr:uid="{00000000-0005-0000-0000-000093050000}"/>
    <cellStyle name="40% - Accent3 6 2 2" xfId="7540" xr:uid="{00000000-0005-0000-0000-000094050000}"/>
    <cellStyle name="40% - Accent3 6 2 2 2" xfId="16866" xr:uid="{444A5D13-3622-45EA-9CDD-48A837B86CAF}"/>
    <cellStyle name="40% - Accent3 6 2 3" xfId="12649" xr:uid="{8C4E15C9-3202-45B4-BEF9-6292FEA5199A}"/>
    <cellStyle name="40% - Accent3 6 3" xfId="5395" xr:uid="{00000000-0005-0000-0000-000095050000}"/>
    <cellStyle name="40% - Accent3 6 3 2" xfId="14721" xr:uid="{E6D6C273-58F2-4D57-AFAA-B89C3009D35C}"/>
    <cellStyle name="40% - Accent3 6 4" xfId="10504" xr:uid="{48F097AF-D9D4-43D8-9981-39578F090D03}"/>
    <cellStyle name="40% - Accent3 7" xfId="1501" xr:uid="{00000000-0005-0000-0000-000096050000}"/>
    <cellStyle name="40% - Accent3 7 2" xfId="3731" xr:uid="{00000000-0005-0000-0000-000097050000}"/>
    <cellStyle name="40% - Accent3 7 2 2" xfId="7953" xr:uid="{00000000-0005-0000-0000-000098050000}"/>
    <cellStyle name="40% - Accent3 7 2 2 2" xfId="17279" xr:uid="{0F6BEFB3-7DC7-46BE-956E-E5DC1F2C47AE}"/>
    <cellStyle name="40% - Accent3 7 2 3" xfId="13062" xr:uid="{D857C9F0-3D6A-4EEE-A68A-D38B3BFFC9B0}"/>
    <cellStyle name="40% - Accent3 7 3" xfId="5808" xr:uid="{00000000-0005-0000-0000-000099050000}"/>
    <cellStyle name="40% - Accent3 7 3 2" xfId="15134" xr:uid="{BA1286EA-6AE0-4A0A-A792-1CBBC70CDE5D}"/>
    <cellStyle name="40% - Accent3 7 4" xfId="10917" xr:uid="{86AE2F7C-C95E-4BD3-9639-2790EB80032D}"/>
    <cellStyle name="40% - Accent3 8" xfId="1915" xr:uid="{00000000-0005-0000-0000-00009A050000}"/>
    <cellStyle name="40% - Accent3 8 2" xfId="4144" xr:uid="{00000000-0005-0000-0000-00009B050000}"/>
    <cellStyle name="40% - Accent3 8 2 2" xfId="8366" xr:uid="{00000000-0005-0000-0000-00009C050000}"/>
    <cellStyle name="40% - Accent3 8 2 2 2" xfId="17692" xr:uid="{6BBCE351-6EAE-42C6-961B-14BA8403EDCE}"/>
    <cellStyle name="40% - Accent3 8 2 3" xfId="13475" xr:uid="{BD3EF01E-89A2-4CEC-BAF1-609687AC891F}"/>
    <cellStyle name="40% - Accent3 8 3" xfId="6221" xr:uid="{00000000-0005-0000-0000-00009D050000}"/>
    <cellStyle name="40% - Accent3 8 3 2" xfId="15547" xr:uid="{A7C2CDB9-6FAD-43B0-86EE-98C264470236}"/>
    <cellStyle name="40% - Accent3 8 4" xfId="11330" xr:uid="{69E662C6-062E-4218-93E1-FC61190D634F}"/>
    <cellStyle name="40% - Accent3 9" xfId="2328" xr:uid="{00000000-0005-0000-0000-00009E050000}"/>
    <cellStyle name="40% - Accent3 9 2" xfId="6634" xr:uid="{00000000-0005-0000-0000-00009F050000}"/>
    <cellStyle name="40% - Accent3 9 2 2" xfId="15960" xr:uid="{3DA2576D-6875-4BE0-80D5-759AE5249F2C}"/>
    <cellStyle name="40% - Accent3 9 3" xfId="11743" xr:uid="{23454AB9-96DD-4FDD-9864-C712C7045258}"/>
    <cellStyle name="40% - Accent4" xfId="73" builtinId="43" customBuiltin="1"/>
    <cellStyle name="40% - Accent4 10" xfId="4576" xr:uid="{00000000-0005-0000-0000-0000A1050000}"/>
    <cellStyle name="40% - Accent4 10 2" xfId="13902" xr:uid="{AC877FA8-B6CF-49E2-B804-E3F505412F50}"/>
    <cellStyle name="40% - Accent4 11" xfId="8765" xr:uid="{18B6B6D6-5043-43D1-BB02-3855BF7027C3}"/>
    <cellStyle name="40% - Accent4 11 2" xfId="18089" xr:uid="{7059CE75-A14A-4038-A2F1-F2D3C8014AA3}"/>
    <cellStyle name="40% - Accent4 12" xfId="9685" xr:uid="{5026081F-166F-4E99-8E22-505A711A2C24}"/>
    <cellStyle name="40% - Accent4 2" xfId="74" xr:uid="{00000000-0005-0000-0000-0000A2050000}"/>
    <cellStyle name="40% - Accent4 2 10" xfId="8801" xr:uid="{223FCC58-A05E-4022-8080-E75A80678FA6}"/>
    <cellStyle name="40% - Accent4 2 10 2" xfId="18125" xr:uid="{6FF881F6-5BDD-4E3D-B0B8-59482E841228}"/>
    <cellStyle name="40% - Accent4 2 11" xfId="9686" xr:uid="{B6CAF548-7B0E-46E6-861A-516D93DDE2E4}"/>
    <cellStyle name="40% - Accent4 2 2" xfId="75" xr:uid="{00000000-0005-0000-0000-0000A3050000}"/>
    <cellStyle name="40% - Accent4 2 2 10" xfId="9687" xr:uid="{AA969CB5-7EEC-4A9D-B715-6A14E0C57FBD}"/>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16464" xr:uid="{9C9034BA-A3E3-4196-866E-524F661B95A2}"/>
    <cellStyle name="40% - Accent4 2 2 2 2 2 3" xfId="12247" xr:uid="{7612DC30-B177-4276-B1C5-DC7BF46FB62D}"/>
    <cellStyle name="40% - Accent4 2 2 2 2 3" xfId="4993" xr:uid="{00000000-0005-0000-0000-0000A8050000}"/>
    <cellStyle name="40% - Accent4 2 2 2 2 3 2" xfId="14319" xr:uid="{7D1FEFB3-FF87-4CEF-84CA-8843E7782ED2}"/>
    <cellStyle name="40% - Accent4 2 2 2 2 4" xfId="9536" xr:uid="{4351D24F-CE30-4CFD-968F-4B882F0FC9B5}"/>
    <cellStyle name="40% - Accent4 2 2 2 2 4 2" xfId="18851" xr:uid="{21BA86C1-769C-4471-BEB6-3F5D0947D1CD}"/>
    <cellStyle name="40% - Accent4 2 2 2 2 5" xfId="10102" xr:uid="{DB4F808C-B6B7-457B-AEBD-9FB7986536E4}"/>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16877" xr:uid="{13FCB29D-199D-43F1-AD3F-79C95CA53E05}"/>
    <cellStyle name="40% - Accent4 2 2 2 3 2 3" xfId="12660" xr:uid="{2E3D3A6A-110F-4916-A131-361CECC42263}"/>
    <cellStyle name="40% - Accent4 2 2 2 3 3" xfId="5406" xr:uid="{00000000-0005-0000-0000-0000AC050000}"/>
    <cellStyle name="40% - Accent4 2 2 2 3 3 2" xfId="14732" xr:uid="{83A082AC-D201-4A73-A550-0D381E392AB0}"/>
    <cellStyle name="40% - Accent4 2 2 2 3 4" xfId="10515" xr:uid="{A1700941-02C5-40D5-A4B1-54984B6DC115}"/>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17290" xr:uid="{9A0E5B65-EDC3-4634-B15B-A926A8C8B9B1}"/>
    <cellStyle name="40% - Accent4 2 2 2 4 2 3" xfId="13073" xr:uid="{FB81BB78-7197-494B-ACBE-BC63891088A2}"/>
    <cellStyle name="40% - Accent4 2 2 2 4 3" xfId="5819" xr:uid="{00000000-0005-0000-0000-0000B0050000}"/>
    <cellStyle name="40% - Accent4 2 2 2 4 3 2" xfId="15145" xr:uid="{DB346084-D0DA-4CB5-8169-EDF9E5C6DE11}"/>
    <cellStyle name="40% - Accent4 2 2 2 4 4" xfId="10928" xr:uid="{A512FBE3-71BE-45C9-94B9-47AD8C3A0216}"/>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17703" xr:uid="{B73CF102-0C04-4EB5-B9AC-DC0CAFEB5BD0}"/>
    <cellStyle name="40% - Accent4 2 2 2 5 2 3" xfId="13486" xr:uid="{3A9582B8-CF8D-4F23-8D1F-E2A78FE67043}"/>
    <cellStyle name="40% - Accent4 2 2 2 5 3" xfId="6232" xr:uid="{00000000-0005-0000-0000-0000B4050000}"/>
    <cellStyle name="40% - Accent4 2 2 2 5 3 2" xfId="15558" xr:uid="{7A896255-773B-484B-AA62-5636F8CB433A}"/>
    <cellStyle name="40% - Accent4 2 2 2 5 4" xfId="11341" xr:uid="{43B34DB5-110D-4DF1-91DB-E9BE1ABFE4C9}"/>
    <cellStyle name="40% - Accent4 2 2 2 6" xfId="2339" xr:uid="{00000000-0005-0000-0000-0000B5050000}"/>
    <cellStyle name="40% - Accent4 2 2 2 6 2" xfId="6645" xr:uid="{00000000-0005-0000-0000-0000B6050000}"/>
    <cellStyle name="40% - Accent4 2 2 2 6 2 2" xfId="15971" xr:uid="{C06D30EB-4030-4F08-9437-897E7648372D}"/>
    <cellStyle name="40% - Accent4 2 2 2 6 3" xfId="11754" xr:uid="{046C48B5-F75A-4BB9-80A6-7C95DA45585D}"/>
    <cellStyle name="40% - Accent4 2 2 2 7" xfId="4579" xr:uid="{00000000-0005-0000-0000-0000B7050000}"/>
    <cellStyle name="40% - Accent4 2 2 2 7 2" xfId="13905" xr:uid="{9EB0AEBF-FC31-4694-9DFB-199372E5CCA7}"/>
    <cellStyle name="40% - Accent4 2 2 2 8" xfId="9111" xr:uid="{1DD86F12-0D11-497C-88D9-78D90E1EF65F}"/>
    <cellStyle name="40% - Accent4 2 2 2 8 2" xfId="18435" xr:uid="{4E2081DC-3414-4A2C-ACE8-000819CC229D}"/>
    <cellStyle name="40% - Accent4 2 2 2 9" xfId="9688" xr:uid="{AE9177B2-6E33-4F91-8E5B-44AE4AA33BD9}"/>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16463" xr:uid="{8FC5A851-B7C8-4D71-A5CA-6AD5FF1E8740}"/>
    <cellStyle name="40% - Accent4 2 2 3 2 3" xfId="12246" xr:uid="{CA9C5DF6-126C-4334-93C3-DBD5C5CDC107}"/>
    <cellStyle name="40% - Accent4 2 2 3 3" xfId="4992" xr:uid="{00000000-0005-0000-0000-0000BB050000}"/>
    <cellStyle name="40% - Accent4 2 2 3 3 2" xfId="14318" xr:uid="{AF235F2A-5BC3-4E1C-94A0-DF3CF41FF054}"/>
    <cellStyle name="40% - Accent4 2 2 3 4" xfId="9329" xr:uid="{62CB3536-9FC4-4DBF-9121-AD0025D891C9}"/>
    <cellStyle name="40% - Accent4 2 2 3 4 2" xfId="18644" xr:uid="{7F70D91B-10A4-4C4D-AD49-AFFEAAF2F371}"/>
    <cellStyle name="40% - Accent4 2 2 3 5" xfId="10101" xr:uid="{62E9B952-9471-4970-8951-97E01928EFA3}"/>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16876" xr:uid="{0BAE0BAD-A68A-47EF-8C07-B9576F63C88A}"/>
    <cellStyle name="40% - Accent4 2 2 4 2 3" xfId="12659" xr:uid="{DA439D9B-B528-4382-A468-593898C46E04}"/>
    <cellStyle name="40% - Accent4 2 2 4 3" xfId="5405" xr:uid="{00000000-0005-0000-0000-0000BF050000}"/>
    <cellStyle name="40% - Accent4 2 2 4 3 2" xfId="14731" xr:uid="{4239CD66-566F-4BA2-9481-E9F94E0EE35D}"/>
    <cellStyle name="40% - Accent4 2 2 4 4" xfId="10514" xr:uid="{C12DD336-5FCD-4BDA-B381-9D67BF8C5C7B}"/>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17289" xr:uid="{36285973-C716-4489-B330-7323597E3BF2}"/>
    <cellStyle name="40% - Accent4 2 2 5 2 3" xfId="13072" xr:uid="{4FF939C1-3715-45EE-BED5-2D0AF731FBFF}"/>
    <cellStyle name="40% - Accent4 2 2 5 3" xfId="5818" xr:uid="{00000000-0005-0000-0000-0000C3050000}"/>
    <cellStyle name="40% - Accent4 2 2 5 3 2" xfId="15144" xr:uid="{679AD58F-ED4A-40CE-ADC8-263FC8F73A09}"/>
    <cellStyle name="40% - Accent4 2 2 5 4" xfId="10927" xr:uid="{D4833CF1-63BB-4932-AAAE-4A74EC6D094E}"/>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17702" xr:uid="{C474C577-FD37-4FC5-B62C-8B6D50D94371}"/>
    <cellStyle name="40% - Accent4 2 2 6 2 3" xfId="13485" xr:uid="{BC6A0542-F232-405B-A3C9-82619638E112}"/>
    <cellStyle name="40% - Accent4 2 2 6 3" xfId="6231" xr:uid="{00000000-0005-0000-0000-0000C7050000}"/>
    <cellStyle name="40% - Accent4 2 2 6 3 2" xfId="15557" xr:uid="{1B873EBD-B3ED-4E9A-B0CC-F61D94C89206}"/>
    <cellStyle name="40% - Accent4 2 2 6 4" xfId="11340" xr:uid="{1D5F8695-2ACF-4F71-81DD-EACC3A9F9CD8}"/>
    <cellStyle name="40% - Accent4 2 2 7" xfId="2338" xr:uid="{00000000-0005-0000-0000-0000C8050000}"/>
    <cellStyle name="40% - Accent4 2 2 7 2" xfId="6644" xr:uid="{00000000-0005-0000-0000-0000C9050000}"/>
    <cellStyle name="40% - Accent4 2 2 7 2 2" xfId="15970" xr:uid="{EADAD444-0C63-4C49-9E9A-1403F2626CA5}"/>
    <cellStyle name="40% - Accent4 2 2 7 3" xfId="11753" xr:uid="{3EB7586C-746D-496E-BF92-45EA5CC66108}"/>
    <cellStyle name="40% - Accent4 2 2 8" xfId="4578" xr:uid="{00000000-0005-0000-0000-0000CA050000}"/>
    <cellStyle name="40% - Accent4 2 2 8 2" xfId="13904" xr:uid="{92A6259A-C727-4954-9CAF-FF7CA4850A6E}"/>
    <cellStyle name="40% - Accent4 2 2 9" xfId="8904" xr:uid="{64C959C5-2FAF-462D-88B6-14B59CDC763B}"/>
    <cellStyle name="40% - Accent4 2 2 9 2" xfId="18228" xr:uid="{6A4A7BAE-9E1F-4E46-B1BE-38166555D702}"/>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16465" xr:uid="{9993BA00-8B98-48BB-A6A1-E768B018D5A4}"/>
    <cellStyle name="40% - Accent4 2 3 2 2 3" xfId="12248" xr:uid="{480E9F74-2E75-47C8-87CC-9315D721A057}"/>
    <cellStyle name="40% - Accent4 2 3 2 3" xfId="4994" xr:uid="{00000000-0005-0000-0000-0000CF050000}"/>
    <cellStyle name="40% - Accent4 2 3 2 3 2" xfId="14320" xr:uid="{4955E1E5-CDDB-4667-933A-07B6ECEE0E40}"/>
    <cellStyle name="40% - Accent4 2 3 2 4" xfId="9433" xr:uid="{058786D1-7E7D-40D9-9218-B4C7219F4E53}"/>
    <cellStyle name="40% - Accent4 2 3 2 4 2" xfId="18748" xr:uid="{22DEA359-1B1F-46D9-B730-D3D50C5255B4}"/>
    <cellStyle name="40% - Accent4 2 3 2 5" xfId="10103" xr:uid="{34801E78-5A5F-476F-A5D0-34D7A79C262F}"/>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16878" xr:uid="{CC34C922-B248-4E62-BAB5-360888BC6B28}"/>
    <cellStyle name="40% - Accent4 2 3 3 2 3" xfId="12661" xr:uid="{DAF02671-5A3A-4695-92AA-068D69E2E1F8}"/>
    <cellStyle name="40% - Accent4 2 3 3 3" xfId="5407" xr:uid="{00000000-0005-0000-0000-0000D3050000}"/>
    <cellStyle name="40% - Accent4 2 3 3 3 2" xfId="14733" xr:uid="{75986164-8194-4D79-97E4-17E410E76489}"/>
    <cellStyle name="40% - Accent4 2 3 3 4" xfId="10516" xr:uid="{1F9114F7-AC07-4EE5-9DF2-0A1A7E9A81C4}"/>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17291" xr:uid="{E0ACCE4C-8988-4D05-89D2-CEA47C58FEE9}"/>
    <cellStyle name="40% - Accent4 2 3 4 2 3" xfId="13074" xr:uid="{2DE8CE90-323E-414D-87B2-2324D3FE0879}"/>
    <cellStyle name="40% - Accent4 2 3 4 3" xfId="5820" xr:uid="{00000000-0005-0000-0000-0000D7050000}"/>
    <cellStyle name="40% - Accent4 2 3 4 3 2" xfId="15146" xr:uid="{30069233-3649-4C42-A497-42ED36CD43EB}"/>
    <cellStyle name="40% - Accent4 2 3 4 4" xfId="10929" xr:uid="{320FBAC4-18F7-4668-AC36-8E945A67C966}"/>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17704" xr:uid="{9ED02EF0-6CF7-4ABE-B67A-88AF34F71DE4}"/>
    <cellStyle name="40% - Accent4 2 3 5 2 3" xfId="13487" xr:uid="{F68B4A5E-90EA-4BB5-A6CE-5F1345E9B193}"/>
    <cellStyle name="40% - Accent4 2 3 5 3" xfId="6233" xr:uid="{00000000-0005-0000-0000-0000DB050000}"/>
    <cellStyle name="40% - Accent4 2 3 5 3 2" xfId="15559" xr:uid="{30FD2DCF-E8BA-4854-9CD0-94B9EC0A7D97}"/>
    <cellStyle name="40% - Accent4 2 3 5 4" xfId="11342" xr:uid="{D30F2417-45CC-413D-A39D-FA5DE58421FF}"/>
    <cellStyle name="40% - Accent4 2 3 6" xfId="2340" xr:uid="{00000000-0005-0000-0000-0000DC050000}"/>
    <cellStyle name="40% - Accent4 2 3 6 2" xfId="6646" xr:uid="{00000000-0005-0000-0000-0000DD050000}"/>
    <cellStyle name="40% - Accent4 2 3 6 2 2" xfId="15972" xr:uid="{B390E9BF-B23E-4257-A409-02B6461E48D4}"/>
    <cellStyle name="40% - Accent4 2 3 6 3" xfId="11755" xr:uid="{DA15DBA1-395B-469C-9883-98961B9EF529}"/>
    <cellStyle name="40% - Accent4 2 3 7" xfId="4580" xr:uid="{00000000-0005-0000-0000-0000DE050000}"/>
    <cellStyle name="40% - Accent4 2 3 7 2" xfId="13906" xr:uid="{302C252C-74A1-48D1-9402-E4096BDD6347}"/>
    <cellStyle name="40% - Accent4 2 3 8" xfId="9008" xr:uid="{270F4CAB-C86F-4D9D-804F-69497913908B}"/>
    <cellStyle name="40% - Accent4 2 3 8 2" xfId="18332" xr:uid="{16B4C60B-3D46-43E8-B900-D37E232BE8E5}"/>
    <cellStyle name="40% - Accent4 2 3 9" xfId="9689" xr:uid="{13B4473D-4A41-474F-A22C-34C8972668AB}"/>
    <cellStyle name="40% - Accent4 2 4" xfId="643" xr:uid="{00000000-0005-0000-0000-0000DF050000}"/>
    <cellStyle name="40% - Accent4 2 4 2" xfId="2914" xr:uid="{00000000-0005-0000-0000-0000E0050000}"/>
    <cellStyle name="40% - Accent4 2 4 2 2" xfId="7136" xr:uid="{00000000-0005-0000-0000-0000E1050000}"/>
    <cellStyle name="40% - Accent4 2 4 2 2 2" xfId="16462" xr:uid="{35C6CD43-60CF-46C5-84A6-D73EAED022EF}"/>
    <cellStyle name="40% - Accent4 2 4 2 3" xfId="12245" xr:uid="{FB6C86E7-290F-464C-9660-A8E98DED6093}"/>
    <cellStyle name="40% - Accent4 2 4 3" xfId="4991" xr:uid="{00000000-0005-0000-0000-0000E2050000}"/>
    <cellStyle name="40% - Accent4 2 4 3 2" xfId="14317" xr:uid="{674CA0F9-7FBD-42FD-9FA4-2B9BA41648D7}"/>
    <cellStyle name="40% - Accent4 2 4 4" xfId="9225" xr:uid="{40EEB981-54C4-40E4-A2F9-BCD479248D23}"/>
    <cellStyle name="40% - Accent4 2 4 4 2" xfId="18541" xr:uid="{C3240D2F-8CE5-47FD-B35B-41A80F15FBDE}"/>
    <cellStyle name="40% - Accent4 2 4 5" xfId="10100" xr:uid="{18F0D7B7-6D38-4DDF-9646-942322BC2E7F}"/>
    <cellStyle name="40% - Accent4 2 5" xfId="1096" xr:uid="{00000000-0005-0000-0000-0000E3050000}"/>
    <cellStyle name="40% - Accent4 2 5 2" xfId="3327" xr:uid="{00000000-0005-0000-0000-0000E4050000}"/>
    <cellStyle name="40% - Accent4 2 5 2 2" xfId="7549" xr:uid="{00000000-0005-0000-0000-0000E5050000}"/>
    <cellStyle name="40% - Accent4 2 5 2 2 2" xfId="16875" xr:uid="{F12C3EC9-6096-4C01-8330-F6EA6B10CFF3}"/>
    <cellStyle name="40% - Accent4 2 5 2 3" xfId="12658" xr:uid="{23BBD56B-74F2-4362-8CCD-0EF4B776B9DC}"/>
    <cellStyle name="40% - Accent4 2 5 3" xfId="5404" xr:uid="{00000000-0005-0000-0000-0000E6050000}"/>
    <cellStyle name="40% - Accent4 2 5 3 2" xfId="14730" xr:uid="{09AF66D9-E876-4E3E-9738-AF93BECAF5F4}"/>
    <cellStyle name="40% - Accent4 2 5 4" xfId="10513" xr:uid="{735DB163-D5B2-4B3E-824A-2C0594A89AB2}"/>
    <cellStyle name="40% - Accent4 2 6" xfId="1510" xr:uid="{00000000-0005-0000-0000-0000E7050000}"/>
    <cellStyle name="40% - Accent4 2 6 2" xfId="3740" xr:uid="{00000000-0005-0000-0000-0000E8050000}"/>
    <cellStyle name="40% - Accent4 2 6 2 2" xfId="7962" xr:uid="{00000000-0005-0000-0000-0000E9050000}"/>
    <cellStyle name="40% - Accent4 2 6 2 2 2" xfId="17288" xr:uid="{1FC35F7C-C57B-4C79-865D-4CCFB6268F83}"/>
    <cellStyle name="40% - Accent4 2 6 2 3" xfId="13071" xr:uid="{A8C63C5D-901A-4A48-A5DB-368059A9E955}"/>
    <cellStyle name="40% - Accent4 2 6 3" xfId="5817" xr:uid="{00000000-0005-0000-0000-0000EA050000}"/>
    <cellStyle name="40% - Accent4 2 6 3 2" xfId="15143" xr:uid="{2470D65F-F5D0-414B-A1D7-01204B1C3C0F}"/>
    <cellStyle name="40% - Accent4 2 6 4" xfId="10926" xr:uid="{64DE6366-4351-404D-A329-394EBC9A5160}"/>
    <cellStyle name="40% - Accent4 2 7" xfId="1924" xr:uid="{00000000-0005-0000-0000-0000EB050000}"/>
    <cellStyle name="40% - Accent4 2 7 2" xfId="4153" xr:uid="{00000000-0005-0000-0000-0000EC050000}"/>
    <cellStyle name="40% - Accent4 2 7 2 2" xfId="8375" xr:uid="{00000000-0005-0000-0000-0000ED050000}"/>
    <cellStyle name="40% - Accent4 2 7 2 2 2" xfId="17701" xr:uid="{5D126BCE-6892-4EEF-A15C-0254B7C7C35A}"/>
    <cellStyle name="40% - Accent4 2 7 2 3" xfId="13484" xr:uid="{D644F6D8-11D7-4A95-8C51-3BBB77D9DFC7}"/>
    <cellStyle name="40% - Accent4 2 7 3" xfId="6230" xr:uid="{00000000-0005-0000-0000-0000EE050000}"/>
    <cellStyle name="40% - Accent4 2 7 3 2" xfId="15556" xr:uid="{E3B82C3B-BBAB-4529-A315-69E05411D6CA}"/>
    <cellStyle name="40% - Accent4 2 7 4" xfId="11339" xr:uid="{435227A0-1052-4F9E-AA3B-EEA8578A9605}"/>
    <cellStyle name="40% - Accent4 2 8" xfId="2337" xr:uid="{00000000-0005-0000-0000-0000EF050000}"/>
    <cellStyle name="40% - Accent4 2 8 2" xfId="6643" xr:uid="{00000000-0005-0000-0000-0000F0050000}"/>
    <cellStyle name="40% - Accent4 2 8 2 2" xfId="15969" xr:uid="{2EA8B8B1-7331-437E-BBA4-563CE5C0C14A}"/>
    <cellStyle name="40% - Accent4 2 8 3" xfId="11752" xr:uid="{D9DE8DB4-47CC-4A59-81BD-FC25061A6987}"/>
    <cellStyle name="40% - Accent4 2 9" xfId="4577" xr:uid="{00000000-0005-0000-0000-0000F1050000}"/>
    <cellStyle name="40% - Accent4 2 9 2" xfId="13903" xr:uid="{AFE4E35E-5E8A-475D-86E4-D065405A1194}"/>
    <cellStyle name="40% - Accent4 3" xfId="78" xr:uid="{00000000-0005-0000-0000-0000F2050000}"/>
    <cellStyle name="40% - Accent4 3 10" xfId="9690" xr:uid="{BF6EBD93-01A4-462A-8713-4D5062C60524}"/>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16467" xr:uid="{33EBEB11-C6ED-4EFC-AF55-ED990A8D8A11}"/>
    <cellStyle name="40% - Accent4 3 2 2 2 3" xfId="12250" xr:uid="{E737E9A9-BEE3-4B4B-B7A1-368F2E00B88F}"/>
    <cellStyle name="40% - Accent4 3 2 2 3" xfId="4996" xr:uid="{00000000-0005-0000-0000-0000F7050000}"/>
    <cellStyle name="40% - Accent4 3 2 2 3 2" xfId="14322" xr:uid="{E89628D9-5DA4-47C3-8D3A-B5912AE963EF}"/>
    <cellStyle name="40% - Accent4 3 2 2 4" xfId="9500" xr:uid="{EAAAC99F-A3A1-40FB-B78D-6862EF121B7A}"/>
    <cellStyle name="40% - Accent4 3 2 2 4 2" xfId="18815" xr:uid="{3CC531BB-9F6E-40B4-99D7-6C609B218766}"/>
    <cellStyle name="40% - Accent4 3 2 2 5" xfId="10105" xr:uid="{C6690303-445B-4069-BD20-A766258A0119}"/>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16880" xr:uid="{CEBF312C-33F4-46E2-B375-E28E41ED831D}"/>
    <cellStyle name="40% - Accent4 3 2 3 2 3" xfId="12663" xr:uid="{24B4E0EC-F1B6-451E-80B7-45F22013A63D}"/>
    <cellStyle name="40% - Accent4 3 2 3 3" xfId="5409" xr:uid="{00000000-0005-0000-0000-0000FB050000}"/>
    <cellStyle name="40% - Accent4 3 2 3 3 2" xfId="14735" xr:uid="{E9E6BD97-3128-4B0F-AFF8-C2B9D142AE14}"/>
    <cellStyle name="40% - Accent4 3 2 3 4" xfId="10518" xr:uid="{B82771B4-1095-40FD-A8F4-BA729483BA35}"/>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17293" xr:uid="{E0250FE6-D0CE-4592-A9CA-0103020BF026}"/>
    <cellStyle name="40% - Accent4 3 2 4 2 3" xfId="13076" xr:uid="{13FCA3B8-99C6-424E-9785-44F0586914C8}"/>
    <cellStyle name="40% - Accent4 3 2 4 3" xfId="5822" xr:uid="{00000000-0005-0000-0000-0000FF050000}"/>
    <cellStyle name="40% - Accent4 3 2 4 3 2" xfId="15148" xr:uid="{8898AF28-9234-4347-BBC0-04BE5CDB8726}"/>
    <cellStyle name="40% - Accent4 3 2 4 4" xfId="10931" xr:uid="{55C34FD2-25AD-4D65-B627-49F8BA863633}"/>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17706" xr:uid="{507670F8-E2F4-4742-BFC6-C62A9414F05F}"/>
    <cellStyle name="40% - Accent4 3 2 5 2 3" xfId="13489" xr:uid="{8FDADA39-327D-44B4-B44B-C1962F283CA6}"/>
    <cellStyle name="40% - Accent4 3 2 5 3" xfId="6235" xr:uid="{00000000-0005-0000-0000-000003060000}"/>
    <cellStyle name="40% - Accent4 3 2 5 3 2" xfId="15561" xr:uid="{37E2CE7D-ECF0-4489-AF8B-5A35CBCA0057}"/>
    <cellStyle name="40% - Accent4 3 2 5 4" xfId="11344" xr:uid="{270BCA6A-7949-489A-8108-7C1C01E6A691}"/>
    <cellStyle name="40% - Accent4 3 2 6" xfId="2342" xr:uid="{00000000-0005-0000-0000-000004060000}"/>
    <cellStyle name="40% - Accent4 3 2 6 2" xfId="6648" xr:uid="{00000000-0005-0000-0000-000005060000}"/>
    <cellStyle name="40% - Accent4 3 2 6 2 2" xfId="15974" xr:uid="{2B493A4D-E3EE-48C8-BEFF-23B68B617A8F}"/>
    <cellStyle name="40% - Accent4 3 2 6 3" xfId="11757" xr:uid="{344DC45F-FB3B-4166-AEE6-5E7FA659DCD0}"/>
    <cellStyle name="40% - Accent4 3 2 7" xfId="4582" xr:uid="{00000000-0005-0000-0000-000006060000}"/>
    <cellStyle name="40% - Accent4 3 2 7 2" xfId="13908" xr:uid="{57B62E35-098A-49B1-A44B-2C7896278E2C}"/>
    <cellStyle name="40% - Accent4 3 2 8" xfId="9075" xr:uid="{6C51FF47-5618-4E1E-BC97-01FFF287A6C3}"/>
    <cellStyle name="40% - Accent4 3 2 8 2" xfId="18399" xr:uid="{4850CA0F-D80B-4C05-9907-C40E7FE73E11}"/>
    <cellStyle name="40% - Accent4 3 2 9" xfId="9691" xr:uid="{2AEC86CC-59CA-4069-9FC6-34B7176D8085}"/>
    <cellStyle name="40% - Accent4 3 3" xfId="647" xr:uid="{00000000-0005-0000-0000-000007060000}"/>
    <cellStyle name="40% - Accent4 3 3 2" xfId="2918" xr:uid="{00000000-0005-0000-0000-000008060000}"/>
    <cellStyle name="40% - Accent4 3 3 2 2" xfId="7140" xr:uid="{00000000-0005-0000-0000-000009060000}"/>
    <cellStyle name="40% - Accent4 3 3 2 2 2" xfId="16466" xr:uid="{3DA61786-CBCA-4D61-9FDB-ACB32666CA08}"/>
    <cellStyle name="40% - Accent4 3 3 2 3" xfId="12249" xr:uid="{24F0FAE9-E13D-4AFE-9ACE-AA405B832631}"/>
    <cellStyle name="40% - Accent4 3 3 3" xfId="4995" xr:uid="{00000000-0005-0000-0000-00000A060000}"/>
    <cellStyle name="40% - Accent4 3 3 3 2" xfId="14321" xr:uid="{2613DAC5-DEBF-4106-892B-98ACACB8B387}"/>
    <cellStyle name="40% - Accent4 3 3 4" xfId="9293" xr:uid="{4A28D7F5-3617-45DC-A350-6C6596CDA765}"/>
    <cellStyle name="40% - Accent4 3 3 4 2" xfId="18608" xr:uid="{EE40DC31-C3BB-4952-8F0E-55AF2750A7B7}"/>
    <cellStyle name="40% - Accent4 3 3 5" xfId="10104" xr:uid="{77895CD0-4878-4FE2-B825-830F2DEF4966}"/>
    <cellStyle name="40% - Accent4 3 4" xfId="1100" xr:uid="{00000000-0005-0000-0000-00000B060000}"/>
    <cellStyle name="40% - Accent4 3 4 2" xfId="3331" xr:uid="{00000000-0005-0000-0000-00000C060000}"/>
    <cellStyle name="40% - Accent4 3 4 2 2" xfId="7553" xr:uid="{00000000-0005-0000-0000-00000D060000}"/>
    <cellStyle name="40% - Accent4 3 4 2 2 2" xfId="16879" xr:uid="{392B7BA0-F293-49A4-893D-C63F3AF9E1B9}"/>
    <cellStyle name="40% - Accent4 3 4 2 3" xfId="12662" xr:uid="{2C6E6302-1513-4FD0-BC44-6CB50C261858}"/>
    <cellStyle name="40% - Accent4 3 4 3" xfId="5408" xr:uid="{00000000-0005-0000-0000-00000E060000}"/>
    <cellStyle name="40% - Accent4 3 4 3 2" xfId="14734" xr:uid="{4D3A7477-994F-4AC0-942A-7181BE064163}"/>
    <cellStyle name="40% - Accent4 3 4 4" xfId="10517" xr:uid="{CCA31116-ED22-4178-83A2-390D3034C346}"/>
    <cellStyle name="40% - Accent4 3 5" xfId="1514" xr:uid="{00000000-0005-0000-0000-00000F060000}"/>
    <cellStyle name="40% - Accent4 3 5 2" xfId="3744" xr:uid="{00000000-0005-0000-0000-000010060000}"/>
    <cellStyle name="40% - Accent4 3 5 2 2" xfId="7966" xr:uid="{00000000-0005-0000-0000-000011060000}"/>
    <cellStyle name="40% - Accent4 3 5 2 2 2" xfId="17292" xr:uid="{3C894D1E-4CBC-46CE-AF5D-76C6CA288D08}"/>
    <cellStyle name="40% - Accent4 3 5 2 3" xfId="13075" xr:uid="{CBEF8F6D-327B-4841-ADBC-D4AC5BDEA569}"/>
    <cellStyle name="40% - Accent4 3 5 3" xfId="5821" xr:uid="{00000000-0005-0000-0000-000012060000}"/>
    <cellStyle name="40% - Accent4 3 5 3 2" xfId="15147" xr:uid="{B70370AD-CC6C-47B8-BB9F-90E13EFA6C23}"/>
    <cellStyle name="40% - Accent4 3 5 4" xfId="10930" xr:uid="{79E06EB4-FE18-4A4D-8848-63C86C1385EC}"/>
    <cellStyle name="40% - Accent4 3 6" xfId="1928" xr:uid="{00000000-0005-0000-0000-000013060000}"/>
    <cellStyle name="40% - Accent4 3 6 2" xfId="4157" xr:uid="{00000000-0005-0000-0000-000014060000}"/>
    <cellStyle name="40% - Accent4 3 6 2 2" xfId="8379" xr:uid="{00000000-0005-0000-0000-000015060000}"/>
    <cellStyle name="40% - Accent4 3 6 2 2 2" xfId="17705" xr:uid="{2CA2277A-8422-4451-9532-D3B63DA29DB1}"/>
    <cellStyle name="40% - Accent4 3 6 2 3" xfId="13488" xr:uid="{7D0BA42F-601B-46F0-BE37-F8BA50AAFC5A}"/>
    <cellStyle name="40% - Accent4 3 6 3" xfId="6234" xr:uid="{00000000-0005-0000-0000-000016060000}"/>
    <cellStyle name="40% - Accent4 3 6 3 2" xfId="15560" xr:uid="{9E4FC8F7-BCFB-462C-AC12-252F8C9590EF}"/>
    <cellStyle name="40% - Accent4 3 6 4" xfId="11343" xr:uid="{795CD545-FDA1-4FD6-BCAC-5320BB6ED184}"/>
    <cellStyle name="40% - Accent4 3 7" xfId="2341" xr:uid="{00000000-0005-0000-0000-000017060000}"/>
    <cellStyle name="40% - Accent4 3 7 2" xfId="6647" xr:uid="{00000000-0005-0000-0000-000018060000}"/>
    <cellStyle name="40% - Accent4 3 7 2 2" xfId="15973" xr:uid="{D727E68D-4FA3-4369-9115-E5D38F05361D}"/>
    <cellStyle name="40% - Accent4 3 7 3" xfId="11756" xr:uid="{FDCA99DA-3159-421A-9932-3D1EF35D984F}"/>
    <cellStyle name="40% - Accent4 3 8" xfId="4581" xr:uid="{00000000-0005-0000-0000-000019060000}"/>
    <cellStyle name="40% - Accent4 3 8 2" xfId="13907" xr:uid="{295AC4A6-39AE-4F01-BED0-A4A9643BF0E8}"/>
    <cellStyle name="40% - Accent4 3 9" xfId="8868" xr:uid="{538D9F50-ACCA-4DB0-A3F1-A129ACFFA0BF}"/>
    <cellStyle name="40% - Accent4 3 9 2" xfId="18192" xr:uid="{E9AA987E-162B-4282-9EE8-7867779DA7F5}"/>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2 2 2" xfId="16468" xr:uid="{0F319A3F-260B-40AF-8176-8E1D269E66D8}"/>
    <cellStyle name="40% - Accent4 4 2 2 3" xfId="12251" xr:uid="{D05EBB7B-B327-4813-8AF9-FA3408C5F4EF}"/>
    <cellStyle name="40% - Accent4 4 2 3" xfId="4997" xr:uid="{00000000-0005-0000-0000-00001E060000}"/>
    <cellStyle name="40% - Accent4 4 2 3 2" xfId="14323" xr:uid="{0A59687B-3EA9-41AB-A2B0-C59D48BE1253}"/>
    <cellStyle name="40% - Accent4 4 2 4" xfId="9379" xr:uid="{EE31EAE0-1741-4D6E-B7B4-C5DB59044F55}"/>
    <cellStyle name="40% - Accent4 4 2 4 2" xfId="18694" xr:uid="{B1734BBC-46B6-4C38-B3C7-76DA98A5929A}"/>
    <cellStyle name="40% - Accent4 4 2 5" xfId="10106" xr:uid="{2CF5BF4D-9E88-4585-BEF3-303FEFCF5CF1}"/>
    <cellStyle name="40% - Accent4 4 3" xfId="1102" xr:uid="{00000000-0005-0000-0000-00001F060000}"/>
    <cellStyle name="40% - Accent4 4 3 2" xfId="3333" xr:uid="{00000000-0005-0000-0000-000020060000}"/>
    <cellStyle name="40% - Accent4 4 3 2 2" xfId="7555" xr:uid="{00000000-0005-0000-0000-000021060000}"/>
    <cellStyle name="40% - Accent4 4 3 2 2 2" xfId="16881" xr:uid="{85046043-00EE-49D9-96E1-F310DB5BAFF4}"/>
    <cellStyle name="40% - Accent4 4 3 2 3" xfId="12664" xr:uid="{D1AB4B36-F78A-4DFF-96AF-97D8E394660D}"/>
    <cellStyle name="40% - Accent4 4 3 3" xfId="5410" xr:uid="{00000000-0005-0000-0000-000022060000}"/>
    <cellStyle name="40% - Accent4 4 3 3 2" xfId="14736" xr:uid="{3FABF5D8-A48A-4C78-B9F6-0F4DB1A4A798}"/>
    <cellStyle name="40% - Accent4 4 3 4" xfId="10519" xr:uid="{E329FB2F-FE0E-44F2-A550-F3C23050954E}"/>
    <cellStyle name="40% - Accent4 4 4" xfId="1516" xr:uid="{00000000-0005-0000-0000-000023060000}"/>
    <cellStyle name="40% - Accent4 4 4 2" xfId="3746" xr:uid="{00000000-0005-0000-0000-000024060000}"/>
    <cellStyle name="40% - Accent4 4 4 2 2" xfId="7968" xr:uid="{00000000-0005-0000-0000-000025060000}"/>
    <cellStyle name="40% - Accent4 4 4 2 2 2" xfId="17294" xr:uid="{D0E69B29-A6A7-446B-9F02-7DEEDF25D8C7}"/>
    <cellStyle name="40% - Accent4 4 4 2 3" xfId="13077" xr:uid="{36B53542-E13C-4841-962F-FAA45956754F}"/>
    <cellStyle name="40% - Accent4 4 4 3" xfId="5823" xr:uid="{00000000-0005-0000-0000-000026060000}"/>
    <cellStyle name="40% - Accent4 4 4 3 2" xfId="15149" xr:uid="{5AA3C90B-9E98-40F7-935E-FE2C14642153}"/>
    <cellStyle name="40% - Accent4 4 4 4" xfId="10932" xr:uid="{4EAECC33-C10C-4BB5-A18E-18C5FC0B0B2D}"/>
    <cellStyle name="40% - Accent4 4 5" xfId="1930" xr:uid="{00000000-0005-0000-0000-000027060000}"/>
    <cellStyle name="40% - Accent4 4 5 2" xfId="4159" xr:uid="{00000000-0005-0000-0000-000028060000}"/>
    <cellStyle name="40% - Accent4 4 5 2 2" xfId="8381" xr:uid="{00000000-0005-0000-0000-000029060000}"/>
    <cellStyle name="40% - Accent4 4 5 2 2 2" xfId="17707" xr:uid="{127C81C2-12EB-4614-85F6-E4857267E651}"/>
    <cellStyle name="40% - Accent4 4 5 2 3" xfId="13490" xr:uid="{7B6BCFD2-E046-4150-862C-8FDD0C1A8733}"/>
    <cellStyle name="40% - Accent4 4 5 3" xfId="6236" xr:uid="{00000000-0005-0000-0000-00002A060000}"/>
    <cellStyle name="40% - Accent4 4 5 3 2" xfId="15562" xr:uid="{14AEA6F6-2DFE-450A-A5D1-8CECFD914058}"/>
    <cellStyle name="40% - Accent4 4 5 4" xfId="11345" xr:uid="{6F2967D3-4F4D-4C58-BEC4-6D32D6A21F3F}"/>
    <cellStyle name="40% - Accent4 4 6" xfId="2343" xr:uid="{00000000-0005-0000-0000-00002B060000}"/>
    <cellStyle name="40% - Accent4 4 6 2" xfId="6649" xr:uid="{00000000-0005-0000-0000-00002C060000}"/>
    <cellStyle name="40% - Accent4 4 6 2 2" xfId="15975" xr:uid="{C47F6E95-8DC3-480F-A67D-DC26266C3026}"/>
    <cellStyle name="40% - Accent4 4 6 3" xfId="11758" xr:uid="{37B1433A-F09E-4F72-B05E-8BA025A2459D}"/>
    <cellStyle name="40% - Accent4 4 7" xfId="4583" xr:uid="{00000000-0005-0000-0000-00002D060000}"/>
    <cellStyle name="40% - Accent4 4 7 2" xfId="13909" xr:uid="{1AAF594A-3E2C-4643-9EF3-0EA5A5F5A881}"/>
    <cellStyle name="40% - Accent4 4 8" xfId="8954" xr:uid="{2C178683-58B3-4513-85E7-15FAC3AC035D}"/>
    <cellStyle name="40% - Accent4 4 8 2" xfId="18278" xr:uid="{A999717B-06D3-4025-A4B9-192152E6123F}"/>
    <cellStyle name="40% - Accent4 4 9" xfId="9692" xr:uid="{D20F6084-76AE-4439-ADDE-D48E18673010}"/>
    <cellStyle name="40% - Accent4 5" xfId="642" xr:uid="{00000000-0005-0000-0000-00002E060000}"/>
    <cellStyle name="40% - Accent4 5 2" xfId="2913" xr:uid="{00000000-0005-0000-0000-00002F060000}"/>
    <cellStyle name="40% - Accent4 5 2 2" xfId="7135" xr:uid="{00000000-0005-0000-0000-000030060000}"/>
    <cellStyle name="40% - Accent4 5 2 2 2" xfId="16461" xr:uid="{458EF09C-C64A-4EF3-B3F8-3F97AAE8461D}"/>
    <cellStyle name="40% - Accent4 5 2 3" xfId="12244" xr:uid="{180A09D1-6B52-4FB0-A616-6E147E9C7821}"/>
    <cellStyle name="40% - Accent4 5 3" xfId="4990" xr:uid="{00000000-0005-0000-0000-000031060000}"/>
    <cellStyle name="40% - Accent4 5 3 2" xfId="14316" xr:uid="{7EC80D95-6AA8-4AB2-B385-304ADC0BD644}"/>
    <cellStyle name="40% - Accent4 5 4" xfId="9187" xr:uid="{33022C89-0CDD-4091-8005-358F63FF8F46}"/>
    <cellStyle name="40% - Accent4 5 4 2" xfId="18505" xr:uid="{8FF4F4AC-92F8-462C-9276-A333E708C137}"/>
    <cellStyle name="40% - Accent4 5 5" xfId="10099" xr:uid="{8E4A3380-98CD-4AD8-9AD4-3B4144E241CD}"/>
    <cellStyle name="40% - Accent4 6" xfId="1095" xr:uid="{00000000-0005-0000-0000-000032060000}"/>
    <cellStyle name="40% - Accent4 6 2" xfId="3326" xr:uid="{00000000-0005-0000-0000-000033060000}"/>
    <cellStyle name="40% - Accent4 6 2 2" xfId="7548" xr:uid="{00000000-0005-0000-0000-000034060000}"/>
    <cellStyle name="40% - Accent4 6 2 2 2" xfId="16874" xr:uid="{B710E72C-5717-43D4-B996-DD5BF23C771C}"/>
    <cellStyle name="40% - Accent4 6 2 3" xfId="12657" xr:uid="{9B03B616-23C0-475B-A88F-AF5FDB2ABAD7}"/>
    <cellStyle name="40% - Accent4 6 3" xfId="5403" xr:uid="{00000000-0005-0000-0000-000035060000}"/>
    <cellStyle name="40% - Accent4 6 3 2" xfId="14729" xr:uid="{8E9EEC34-8345-4EA5-9F7A-C44223EF0969}"/>
    <cellStyle name="40% - Accent4 6 4" xfId="10512" xr:uid="{ADF5E4AD-CDE2-4CE4-970D-296ABF36E304}"/>
    <cellStyle name="40% - Accent4 7" xfId="1509" xr:uid="{00000000-0005-0000-0000-000036060000}"/>
    <cellStyle name="40% - Accent4 7 2" xfId="3739" xr:uid="{00000000-0005-0000-0000-000037060000}"/>
    <cellStyle name="40% - Accent4 7 2 2" xfId="7961" xr:uid="{00000000-0005-0000-0000-000038060000}"/>
    <cellStyle name="40% - Accent4 7 2 2 2" xfId="17287" xr:uid="{B685E1D3-B182-4EC3-A830-0B9E556E1FE6}"/>
    <cellStyle name="40% - Accent4 7 2 3" xfId="13070" xr:uid="{F0BC86B5-5554-48EE-A34B-9E602805E566}"/>
    <cellStyle name="40% - Accent4 7 3" xfId="5816" xr:uid="{00000000-0005-0000-0000-000039060000}"/>
    <cellStyle name="40% - Accent4 7 3 2" xfId="15142" xr:uid="{E84A2973-DB92-4116-8E64-6BF9E02CAECA}"/>
    <cellStyle name="40% - Accent4 7 4" xfId="10925" xr:uid="{76194FE7-F73A-4785-A2B7-615A6BAA8FE4}"/>
    <cellStyle name="40% - Accent4 8" xfId="1923" xr:uid="{00000000-0005-0000-0000-00003A060000}"/>
    <cellStyle name="40% - Accent4 8 2" xfId="4152" xr:uid="{00000000-0005-0000-0000-00003B060000}"/>
    <cellStyle name="40% - Accent4 8 2 2" xfId="8374" xr:uid="{00000000-0005-0000-0000-00003C060000}"/>
    <cellStyle name="40% - Accent4 8 2 2 2" xfId="17700" xr:uid="{7DB4AC00-C2BC-4B40-B692-29AFC5480D67}"/>
    <cellStyle name="40% - Accent4 8 2 3" xfId="13483" xr:uid="{72FDA513-C2A4-4B19-8D94-9DC2CC1E13D0}"/>
    <cellStyle name="40% - Accent4 8 3" xfId="6229" xr:uid="{00000000-0005-0000-0000-00003D060000}"/>
    <cellStyle name="40% - Accent4 8 3 2" xfId="15555" xr:uid="{8531C30C-5C95-4BBD-994B-AF6FADA6D153}"/>
    <cellStyle name="40% - Accent4 8 4" xfId="11338" xr:uid="{464D6FC4-931C-4713-A05F-5C3B10F4C135}"/>
    <cellStyle name="40% - Accent4 9" xfId="2336" xr:uid="{00000000-0005-0000-0000-00003E060000}"/>
    <cellStyle name="40% - Accent4 9 2" xfId="6642" xr:uid="{00000000-0005-0000-0000-00003F060000}"/>
    <cellStyle name="40% - Accent4 9 2 2" xfId="15968" xr:uid="{AB1E3529-DF8E-4301-9B8C-25E9B573BBB9}"/>
    <cellStyle name="40% - Accent4 9 3" xfId="11751" xr:uid="{03F28512-544D-4CD0-96BF-8FD9493456EA}"/>
    <cellStyle name="40% - Accent5" xfId="81" builtinId="47" customBuiltin="1"/>
    <cellStyle name="40% - Accent5 10" xfId="4584" xr:uid="{00000000-0005-0000-0000-000041060000}"/>
    <cellStyle name="40% - Accent5 10 2" xfId="13910" xr:uid="{810F5A69-89EA-4BA3-83CA-95E24CA1DEEE}"/>
    <cellStyle name="40% - Accent5 11" xfId="8767" xr:uid="{7A46ADF8-3420-4D4A-A3FE-8E96F0FA38E7}"/>
    <cellStyle name="40% - Accent5 11 2" xfId="18091" xr:uid="{5389C2CE-AA2A-4E17-9D80-052CC04118D8}"/>
    <cellStyle name="40% - Accent5 12" xfId="9693" xr:uid="{F1E35A6D-4990-4E98-AE4A-50C60E2766BE}"/>
    <cellStyle name="40% - Accent5 2" xfId="82" xr:uid="{00000000-0005-0000-0000-000042060000}"/>
    <cellStyle name="40% - Accent5 2 10" xfId="8802" xr:uid="{CF9BFF45-99AC-47A3-8B01-051C55FBB24D}"/>
    <cellStyle name="40% - Accent5 2 10 2" xfId="18126" xr:uid="{831EB28F-9549-4F4A-9F39-141A9B6ABF83}"/>
    <cellStyle name="40% - Accent5 2 11" xfId="9694" xr:uid="{3DDCE7B6-7DE2-45C2-BED5-D889DFDAA676}"/>
    <cellStyle name="40% - Accent5 2 2" xfId="83" xr:uid="{00000000-0005-0000-0000-000043060000}"/>
    <cellStyle name="40% - Accent5 2 2 10" xfId="9695" xr:uid="{327CEC78-369E-4A54-9B70-5F16C76EA26B}"/>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16472" xr:uid="{B2DF28EA-A8A6-4898-9323-4E24BBCE88EF}"/>
    <cellStyle name="40% - Accent5 2 2 2 2 2 3" xfId="12255" xr:uid="{50A18EC5-8719-433F-B1A2-D1676EA9B258}"/>
    <cellStyle name="40% - Accent5 2 2 2 2 3" xfId="5001" xr:uid="{00000000-0005-0000-0000-000048060000}"/>
    <cellStyle name="40% - Accent5 2 2 2 2 3 2" xfId="14327" xr:uid="{AB814D62-FF37-45C0-A68F-EC320AFD0737}"/>
    <cellStyle name="40% - Accent5 2 2 2 2 4" xfId="9537" xr:uid="{83834145-5D3F-4083-A609-6DB90651C4CE}"/>
    <cellStyle name="40% - Accent5 2 2 2 2 4 2" xfId="18852" xr:uid="{D032CFB7-1ECD-4177-9888-D8C379B2A23E}"/>
    <cellStyle name="40% - Accent5 2 2 2 2 5" xfId="10110" xr:uid="{1CC06086-52EB-4AD1-A30A-80E16EAB4FE8}"/>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16885" xr:uid="{C45CDFDB-E19F-48AC-8924-0E4BD6302AFA}"/>
    <cellStyle name="40% - Accent5 2 2 2 3 2 3" xfId="12668" xr:uid="{5FE3CEC1-72C9-40F6-8D09-E800AA39D282}"/>
    <cellStyle name="40% - Accent5 2 2 2 3 3" xfId="5414" xr:uid="{00000000-0005-0000-0000-00004C060000}"/>
    <cellStyle name="40% - Accent5 2 2 2 3 3 2" xfId="14740" xr:uid="{5DA7D670-216A-4370-9129-EAF5D3FB98D6}"/>
    <cellStyle name="40% - Accent5 2 2 2 3 4" xfId="10523" xr:uid="{44491E2A-912A-475D-879D-ECC2A2D0D34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17298" xr:uid="{0BB011B3-53E8-4A41-93A0-EE6169D53EF2}"/>
    <cellStyle name="40% - Accent5 2 2 2 4 2 3" xfId="13081" xr:uid="{19FFEEC7-7710-4D57-8FCD-5FBABB80372E}"/>
    <cellStyle name="40% - Accent5 2 2 2 4 3" xfId="5827" xr:uid="{00000000-0005-0000-0000-000050060000}"/>
    <cellStyle name="40% - Accent5 2 2 2 4 3 2" xfId="15153" xr:uid="{F695A13D-A7DA-41D4-A845-3BD5C5783882}"/>
    <cellStyle name="40% - Accent5 2 2 2 4 4" xfId="10936" xr:uid="{92DA8B26-9394-49DE-B73B-987ADC07B855}"/>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17711" xr:uid="{3C12C761-95D3-4DCE-8674-D422DDCED210}"/>
    <cellStyle name="40% - Accent5 2 2 2 5 2 3" xfId="13494" xr:uid="{F83653F0-ED14-4408-960B-BE1B87120A2F}"/>
    <cellStyle name="40% - Accent5 2 2 2 5 3" xfId="6240" xr:uid="{00000000-0005-0000-0000-000054060000}"/>
    <cellStyle name="40% - Accent5 2 2 2 5 3 2" xfId="15566" xr:uid="{790AC9E3-AE7C-42B8-B6BE-329BEC64F082}"/>
    <cellStyle name="40% - Accent5 2 2 2 5 4" xfId="11349" xr:uid="{1412C529-A4A3-4D02-867F-3F16B3D18EBA}"/>
    <cellStyle name="40% - Accent5 2 2 2 6" xfId="2347" xr:uid="{00000000-0005-0000-0000-000055060000}"/>
    <cellStyle name="40% - Accent5 2 2 2 6 2" xfId="6653" xr:uid="{00000000-0005-0000-0000-000056060000}"/>
    <cellStyle name="40% - Accent5 2 2 2 6 2 2" xfId="15979" xr:uid="{D629B1FE-F65E-4D36-8F8A-46E5BD42BA8D}"/>
    <cellStyle name="40% - Accent5 2 2 2 6 3" xfId="11762" xr:uid="{479A809B-C3F8-4E62-BB6B-D05BD2C9C7C5}"/>
    <cellStyle name="40% - Accent5 2 2 2 7" xfId="4587" xr:uid="{00000000-0005-0000-0000-000057060000}"/>
    <cellStyle name="40% - Accent5 2 2 2 7 2" xfId="13913" xr:uid="{00901C57-57C3-42C5-B01B-6EA6606D271B}"/>
    <cellStyle name="40% - Accent5 2 2 2 8" xfId="9112" xr:uid="{65D0CC40-E9D0-4CE3-B684-8DE4A2C7BCD7}"/>
    <cellStyle name="40% - Accent5 2 2 2 8 2" xfId="18436" xr:uid="{878D95DE-E386-4919-B1E9-BB3353C926D0}"/>
    <cellStyle name="40% - Accent5 2 2 2 9" xfId="9696" xr:uid="{805899CA-8588-4636-93DC-BD1CC3807B07}"/>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16471" xr:uid="{7E71C11E-56B0-44D1-AA27-50B1C2DABDC9}"/>
    <cellStyle name="40% - Accent5 2 2 3 2 3" xfId="12254" xr:uid="{8EA9132B-99D0-44E1-A2FB-00362D24EC49}"/>
    <cellStyle name="40% - Accent5 2 2 3 3" xfId="5000" xr:uid="{00000000-0005-0000-0000-00005B060000}"/>
    <cellStyle name="40% - Accent5 2 2 3 3 2" xfId="14326" xr:uid="{048135C1-953D-4AA9-AA48-499F5D2C69A8}"/>
    <cellStyle name="40% - Accent5 2 2 3 4" xfId="9330" xr:uid="{75959B30-FD84-42A5-95AE-69048CCC8361}"/>
    <cellStyle name="40% - Accent5 2 2 3 4 2" xfId="18645" xr:uid="{C20BA278-1A7A-4A18-BB6B-4D7FF2478201}"/>
    <cellStyle name="40% - Accent5 2 2 3 5" xfId="10109" xr:uid="{70ADB0D9-CCA2-418A-A5C4-021098BE11EB}"/>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16884" xr:uid="{9D0942AA-9069-47E8-A370-745F4718D518}"/>
    <cellStyle name="40% - Accent5 2 2 4 2 3" xfId="12667" xr:uid="{C66A13FE-B19A-4B19-8318-B8712A2930AB}"/>
    <cellStyle name="40% - Accent5 2 2 4 3" xfId="5413" xr:uid="{00000000-0005-0000-0000-00005F060000}"/>
    <cellStyle name="40% - Accent5 2 2 4 3 2" xfId="14739" xr:uid="{C8B6BC4D-B029-4C44-AEDB-CBA854E1F735}"/>
    <cellStyle name="40% - Accent5 2 2 4 4" xfId="10522" xr:uid="{B62818FE-BF80-406E-800D-6F732A9FE1C8}"/>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17297" xr:uid="{56813EC3-FEFC-4AE9-A2BA-D27D198E62C0}"/>
    <cellStyle name="40% - Accent5 2 2 5 2 3" xfId="13080" xr:uid="{E29EC824-C74E-40C9-9E9B-01725AB86714}"/>
    <cellStyle name="40% - Accent5 2 2 5 3" xfId="5826" xr:uid="{00000000-0005-0000-0000-000063060000}"/>
    <cellStyle name="40% - Accent5 2 2 5 3 2" xfId="15152" xr:uid="{F1608610-3E62-4053-B26C-8F49143010F8}"/>
    <cellStyle name="40% - Accent5 2 2 5 4" xfId="10935" xr:uid="{52FDBC0D-D9A0-4C71-ADB2-5A4416A27FC0}"/>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17710" xr:uid="{0909C734-E2F0-4EC7-A499-62A327A00D8E}"/>
    <cellStyle name="40% - Accent5 2 2 6 2 3" xfId="13493" xr:uid="{0E827101-678F-4730-A051-05F0AA8273B1}"/>
    <cellStyle name="40% - Accent5 2 2 6 3" xfId="6239" xr:uid="{00000000-0005-0000-0000-000067060000}"/>
    <cellStyle name="40% - Accent5 2 2 6 3 2" xfId="15565" xr:uid="{58446479-DDDC-4924-99EE-B58AA971FE40}"/>
    <cellStyle name="40% - Accent5 2 2 6 4" xfId="11348" xr:uid="{7F4500A3-91D6-4E17-8A69-C579FD190B2F}"/>
    <cellStyle name="40% - Accent5 2 2 7" xfId="2346" xr:uid="{00000000-0005-0000-0000-000068060000}"/>
    <cellStyle name="40% - Accent5 2 2 7 2" xfId="6652" xr:uid="{00000000-0005-0000-0000-000069060000}"/>
    <cellStyle name="40% - Accent5 2 2 7 2 2" xfId="15978" xr:uid="{94F3BED2-597A-4B70-8BCC-C19B49FD3CF2}"/>
    <cellStyle name="40% - Accent5 2 2 7 3" xfId="11761" xr:uid="{9CC76C11-511B-4FC9-8829-D27125B9399A}"/>
    <cellStyle name="40% - Accent5 2 2 8" xfId="4586" xr:uid="{00000000-0005-0000-0000-00006A060000}"/>
    <cellStyle name="40% - Accent5 2 2 8 2" xfId="13912" xr:uid="{D6474B3B-2DB2-4765-8447-0D24DF460E65}"/>
    <cellStyle name="40% - Accent5 2 2 9" xfId="8905" xr:uid="{3B48B2AE-2C2B-47FB-A8F4-43FECCDBCFEF}"/>
    <cellStyle name="40% - Accent5 2 2 9 2" xfId="18229" xr:uid="{C04DCC2B-7014-45F4-967D-3AFAECEE4898}"/>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16473" xr:uid="{2DEF7F9A-21DC-4D73-A768-038232DB08FF}"/>
    <cellStyle name="40% - Accent5 2 3 2 2 3" xfId="12256" xr:uid="{38CEE623-C3ED-48A0-A3AB-0D697B750715}"/>
    <cellStyle name="40% - Accent5 2 3 2 3" xfId="5002" xr:uid="{00000000-0005-0000-0000-00006F060000}"/>
    <cellStyle name="40% - Accent5 2 3 2 3 2" xfId="14328" xr:uid="{DDD2EC63-E64A-4117-9494-A9B2955F93CF}"/>
    <cellStyle name="40% - Accent5 2 3 2 4" xfId="9434" xr:uid="{512EAA64-F150-4B15-8534-EB34D6D41408}"/>
    <cellStyle name="40% - Accent5 2 3 2 4 2" xfId="18749" xr:uid="{0C6BF46F-4C3B-4EED-8AEE-7FE92D586887}"/>
    <cellStyle name="40% - Accent5 2 3 2 5" xfId="10111" xr:uid="{64838445-E7F6-437E-84B6-468EEFFFB329}"/>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16886" xr:uid="{4EA215AC-AA02-45E4-A9B0-83165FCC414D}"/>
    <cellStyle name="40% - Accent5 2 3 3 2 3" xfId="12669" xr:uid="{CE13EB91-7D9B-4BAB-81F2-60C17518525F}"/>
    <cellStyle name="40% - Accent5 2 3 3 3" xfId="5415" xr:uid="{00000000-0005-0000-0000-000073060000}"/>
    <cellStyle name="40% - Accent5 2 3 3 3 2" xfId="14741" xr:uid="{8D7D2F56-2DB3-47A9-AECB-C860D907980F}"/>
    <cellStyle name="40% - Accent5 2 3 3 4" xfId="10524" xr:uid="{7ECA7C9C-3ED1-4408-9098-DBCE36C7C151}"/>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17299" xr:uid="{3DD4485B-A5BF-477E-88B9-A64EDB2C7E7E}"/>
    <cellStyle name="40% - Accent5 2 3 4 2 3" xfId="13082" xr:uid="{A36080C2-B5F4-4C47-9671-22267EE0B34A}"/>
    <cellStyle name="40% - Accent5 2 3 4 3" xfId="5828" xr:uid="{00000000-0005-0000-0000-000077060000}"/>
    <cellStyle name="40% - Accent5 2 3 4 3 2" xfId="15154" xr:uid="{0216634F-C4B8-474C-85B3-A9CF031FDB36}"/>
    <cellStyle name="40% - Accent5 2 3 4 4" xfId="10937" xr:uid="{ACA81BD4-4E8F-4120-87B6-33D0A8A1AC67}"/>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17712" xr:uid="{F502B2A9-2507-416E-B7D6-945CAFACF768}"/>
    <cellStyle name="40% - Accent5 2 3 5 2 3" xfId="13495" xr:uid="{9BE33EA2-35D7-41CE-A717-CEB0E61D2AA0}"/>
    <cellStyle name="40% - Accent5 2 3 5 3" xfId="6241" xr:uid="{00000000-0005-0000-0000-00007B060000}"/>
    <cellStyle name="40% - Accent5 2 3 5 3 2" xfId="15567" xr:uid="{19C715FC-6E2A-40B7-A93C-EDCA61BA9198}"/>
    <cellStyle name="40% - Accent5 2 3 5 4" xfId="11350" xr:uid="{C05DDDAB-29E7-40BA-A406-B61C2C73E5CE}"/>
    <cellStyle name="40% - Accent5 2 3 6" xfId="2348" xr:uid="{00000000-0005-0000-0000-00007C060000}"/>
    <cellStyle name="40% - Accent5 2 3 6 2" xfId="6654" xr:uid="{00000000-0005-0000-0000-00007D060000}"/>
    <cellStyle name="40% - Accent5 2 3 6 2 2" xfId="15980" xr:uid="{79B12EF2-900B-4383-B5D4-76EC55FCA376}"/>
    <cellStyle name="40% - Accent5 2 3 6 3" xfId="11763" xr:uid="{7FE0A872-1D2D-4C31-A8E2-CD4C051293DF}"/>
    <cellStyle name="40% - Accent5 2 3 7" xfId="4588" xr:uid="{00000000-0005-0000-0000-00007E060000}"/>
    <cellStyle name="40% - Accent5 2 3 7 2" xfId="13914" xr:uid="{721979AF-6C10-48A8-A873-581B2D5B5A60}"/>
    <cellStyle name="40% - Accent5 2 3 8" xfId="9009" xr:uid="{DE8B6E41-761F-4ED0-BA8A-00A6A898A2FC}"/>
    <cellStyle name="40% - Accent5 2 3 8 2" xfId="18333" xr:uid="{D582B76D-37BD-41CF-A6A9-C764E24A1AFF}"/>
    <cellStyle name="40% - Accent5 2 3 9" xfId="9697" xr:uid="{1759BA4A-2676-464D-80EB-AC6DD3955191}"/>
    <cellStyle name="40% - Accent5 2 4" xfId="651" xr:uid="{00000000-0005-0000-0000-00007F060000}"/>
    <cellStyle name="40% - Accent5 2 4 2" xfId="2922" xr:uid="{00000000-0005-0000-0000-000080060000}"/>
    <cellStyle name="40% - Accent5 2 4 2 2" xfId="7144" xr:uid="{00000000-0005-0000-0000-000081060000}"/>
    <cellStyle name="40% - Accent5 2 4 2 2 2" xfId="16470" xr:uid="{DB0C123C-A6E0-4D40-9BB0-E23D32F5A271}"/>
    <cellStyle name="40% - Accent5 2 4 2 3" xfId="12253" xr:uid="{A88769B2-ADDD-41D3-ADC5-0DE833CF12C8}"/>
    <cellStyle name="40% - Accent5 2 4 3" xfId="4999" xr:uid="{00000000-0005-0000-0000-000082060000}"/>
    <cellStyle name="40% - Accent5 2 4 3 2" xfId="14325" xr:uid="{EF4F4343-FC27-4B18-A35A-A15E107E31E4}"/>
    <cellStyle name="40% - Accent5 2 4 4" xfId="9226" xr:uid="{6A688709-D29B-458C-973B-231279FAFEF5}"/>
    <cellStyle name="40% - Accent5 2 4 4 2" xfId="18542" xr:uid="{F309152A-2D13-4280-B276-98D78BC3295D}"/>
    <cellStyle name="40% - Accent5 2 4 5" xfId="10108" xr:uid="{9969C949-D28B-4FFE-B227-1EF1BC197DEC}"/>
    <cellStyle name="40% - Accent5 2 5" xfId="1104" xr:uid="{00000000-0005-0000-0000-000083060000}"/>
    <cellStyle name="40% - Accent5 2 5 2" xfId="3335" xr:uid="{00000000-0005-0000-0000-000084060000}"/>
    <cellStyle name="40% - Accent5 2 5 2 2" xfId="7557" xr:uid="{00000000-0005-0000-0000-000085060000}"/>
    <cellStyle name="40% - Accent5 2 5 2 2 2" xfId="16883" xr:uid="{FE9A6173-0C65-42CE-B11B-8B527D1A939A}"/>
    <cellStyle name="40% - Accent5 2 5 2 3" xfId="12666" xr:uid="{5370B67A-99DB-44EA-9149-839A83CA4F49}"/>
    <cellStyle name="40% - Accent5 2 5 3" xfId="5412" xr:uid="{00000000-0005-0000-0000-000086060000}"/>
    <cellStyle name="40% - Accent5 2 5 3 2" xfId="14738" xr:uid="{2E6DB381-C8B9-406C-B06B-EE7356376D17}"/>
    <cellStyle name="40% - Accent5 2 5 4" xfId="10521" xr:uid="{0AEE22A0-384C-402D-A864-589B650C0293}"/>
    <cellStyle name="40% - Accent5 2 6" xfId="1518" xr:uid="{00000000-0005-0000-0000-000087060000}"/>
    <cellStyle name="40% - Accent5 2 6 2" xfId="3748" xr:uid="{00000000-0005-0000-0000-000088060000}"/>
    <cellStyle name="40% - Accent5 2 6 2 2" xfId="7970" xr:uid="{00000000-0005-0000-0000-000089060000}"/>
    <cellStyle name="40% - Accent5 2 6 2 2 2" xfId="17296" xr:uid="{D09B1995-0598-4220-9DB3-DD3236095F7D}"/>
    <cellStyle name="40% - Accent5 2 6 2 3" xfId="13079" xr:uid="{F0180E6A-0D3C-4F72-BB53-894F838F2B5E}"/>
    <cellStyle name="40% - Accent5 2 6 3" xfId="5825" xr:uid="{00000000-0005-0000-0000-00008A060000}"/>
    <cellStyle name="40% - Accent5 2 6 3 2" xfId="15151" xr:uid="{B16E466C-65E0-4623-B22B-D07567A8B4C5}"/>
    <cellStyle name="40% - Accent5 2 6 4" xfId="10934" xr:uid="{A5BB3EF2-977A-4849-BABC-8EE5FF34D731}"/>
    <cellStyle name="40% - Accent5 2 7" xfId="1932" xr:uid="{00000000-0005-0000-0000-00008B060000}"/>
    <cellStyle name="40% - Accent5 2 7 2" xfId="4161" xr:uid="{00000000-0005-0000-0000-00008C060000}"/>
    <cellStyle name="40% - Accent5 2 7 2 2" xfId="8383" xr:uid="{00000000-0005-0000-0000-00008D060000}"/>
    <cellStyle name="40% - Accent5 2 7 2 2 2" xfId="17709" xr:uid="{C9CAC31E-AFED-4B66-BE24-09F19E0097C1}"/>
    <cellStyle name="40% - Accent5 2 7 2 3" xfId="13492" xr:uid="{7B6A2E91-8851-464F-B165-752FE95BA7A8}"/>
    <cellStyle name="40% - Accent5 2 7 3" xfId="6238" xr:uid="{00000000-0005-0000-0000-00008E060000}"/>
    <cellStyle name="40% - Accent5 2 7 3 2" xfId="15564" xr:uid="{D86C9E09-1D25-4C13-8951-BF7A30538682}"/>
    <cellStyle name="40% - Accent5 2 7 4" xfId="11347" xr:uid="{A8415730-CE44-4EB4-A9A1-73F2C31448D1}"/>
    <cellStyle name="40% - Accent5 2 8" xfId="2345" xr:uid="{00000000-0005-0000-0000-00008F060000}"/>
    <cellStyle name="40% - Accent5 2 8 2" xfId="6651" xr:uid="{00000000-0005-0000-0000-000090060000}"/>
    <cellStyle name="40% - Accent5 2 8 2 2" xfId="15977" xr:uid="{6F7086A9-2EA0-4B0A-A319-20462381AD1D}"/>
    <cellStyle name="40% - Accent5 2 8 3" xfId="11760" xr:uid="{EBB0EE8B-8515-43A8-A943-2723DA1085F1}"/>
    <cellStyle name="40% - Accent5 2 9" xfId="4585" xr:uid="{00000000-0005-0000-0000-000091060000}"/>
    <cellStyle name="40% - Accent5 2 9 2" xfId="13911" xr:uid="{2155BD3A-D83F-467A-B0B6-56A8BCD058D7}"/>
    <cellStyle name="40% - Accent5 3" xfId="86" xr:uid="{00000000-0005-0000-0000-000092060000}"/>
    <cellStyle name="40% - Accent5 3 10" xfId="9698" xr:uid="{4D8B4AC8-2265-4737-A7A5-A8ADCCCC61AE}"/>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16475" xr:uid="{B956460F-B824-4F5A-BB3F-C795906129EC}"/>
    <cellStyle name="40% - Accent5 3 2 2 2 3" xfId="12258" xr:uid="{FFBCF7CD-D9BB-4239-8139-E3263D7838C5}"/>
    <cellStyle name="40% - Accent5 3 2 2 3" xfId="5004" xr:uid="{00000000-0005-0000-0000-000097060000}"/>
    <cellStyle name="40% - Accent5 3 2 2 3 2" xfId="14330" xr:uid="{F12DA1CB-809F-47D3-9930-896337837CA1}"/>
    <cellStyle name="40% - Accent5 3 2 2 4" xfId="9502" xr:uid="{96903B0D-DCFE-4149-8088-461BCB03A73B}"/>
    <cellStyle name="40% - Accent5 3 2 2 4 2" xfId="18817" xr:uid="{AED65160-4182-4782-9144-759F02470AF8}"/>
    <cellStyle name="40% - Accent5 3 2 2 5" xfId="10113" xr:uid="{1B551D53-4B31-4E61-A2BF-31BD2A947463}"/>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16888" xr:uid="{CBB98678-3154-4ADE-84A0-4503A2553C63}"/>
    <cellStyle name="40% - Accent5 3 2 3 2 3" xfId="12671" xr:uid="{3F7643F6-1D00-4224-A383-33C8D1D569AF}"/>
    <cellStyle name="40% - Accent5 3 2 3 3" xfId="5417" xr:uid="{00000000-0005-0000-0000-00009B060000}"/>
    <cellStyle name="40% - Accent5 3 2 3 3 2" xfId="14743" xr:uid="{ED82D862-C965-450C-90A3-842730BA5CA4}"/>
    <cellStyle name="40% - Accent5 3 2 3 4" xfId="10526" xr:uid="{87F2A076-679F-4D56-B7BE-8EC299DE2859}"/>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17301" xr:uid="{E1FE0466-C968-4931-B02E-5FC8ED75C160}"/>
    <cellStyle name="40% - Accent5 3 2 4 2 3" xfId="13084" xr:uid="{BC7BE2DF-1175-477F-9849-8C7AB6943C25}"/>
    <cellStyle name="40% - Accent5 3 2 4 3" xfId="5830" xr:uid="{00000000-0005-0000-0000-00009F060000}"/>
    <cellStyle name="40% - Accent5 3 2 4 3 2" xfId="15156" xr:uid="{F5E5FBB1-8AF4-4F18-BEC3-B2CE41670917}"/>
    <cellStyle name="40% - Accent5 3 2 4 4" xfId="10939" xr:uid="{D12E68B7-F84E-41A9-9EE1-C76C0A0994BD}"/>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17714" xr:uid="{6ABFECAB-0BC1-4C2F-B005-5C11B020F54C}"/>
    <cellStyle name="40% - Accent5 3 2 5 2 3" xfId="13497" xr:uid="{551135D4-302B-4032-8E5C-6EA579CDB206}"/>
    <cellStyle name="40% - Accent5 3 2 5 3" xfId="6243" xr:uid="{00000000-0005-0000-0000-0000A3060000}"/>
    <cellStyle name="40% - Accent5 3 2 5 3 2" xfId="15569" xr:uid="{B533136D-0737-4177-912A-33B53648F4D6}"/>
    <cellStyle name="40% - Accent5 3 2 5 4" xfId="11352" xr:uid="{ED69BE76-4C16-4BAA-B6CA-AD5014C733B2}"/>
    <cellStyle name="40% - Accent5 3 2 6" xfId="2350" xr:uid="{00000000-0005-0000-0000-0000A4060000}"/>
    <cellStyle name="40% - Accent5 3 2 6 2" xfId="6656" xr:uid="{00000000-0005-0000-0000-0000A5060000}"/>
    <cellStyle name="40% - Accent5 3 2 6 2 2" xfId="15982" xr:uid="{557C462A-C5B7-45F2-858C-B378D530C36F}"/>
    <cellStyle name="40% - Accent5 3 2 6 3" xfId="11765" xr:uid="{8CDF784F-FD62-4D3F-826C-EC62B0427787}"/>
    <cellStyle name="40% - Accent5 3 2 7" xfId="4590" xr:uid="{00000000-0005-0000-0000-0000A6060000}"/>
    <cellStyle name="40% - Accent5 3 2 7 2" xfId="13916" xr:uid="{BC5DD0FD-75D2-4922-887E-60EF7FD8522B}"/>
    <cellStyle name="40% - Accent5 3 2 8" xfId="9077" xr:uid="{8842DD15-54E4-487D-B492-3A505722387C}"/>
    <cellStyle name="40% - Accent5 3 2 8 2" xfId="18401" xr:uid="{70E34A83-164A-4913-8A81-263292E0BD0F}"/>
    <cellStyle name="40% - Accent5 3 2 9" xfId="9699" xr:uid="{B186F6B2-9380-411A-A128-F0CA31A1E648}"/>
    <cellStyle name="40% - Accent5 3 3" xfId="655" xr:uid="{00000000-0005-0000-0000-0000A7060000}"/>
    <cellStyle name="40% - Accent5 3 3 2" xfId="2926" xr:uid="{00000000-0005-0000-0000-0000A8060000}"/>
    <cellStyle name="40% - Accent5 3 3 2 2" xfId="7148" xr:uid="{00000000-0005-0000-0000-0000A9060000}"/>
    <cellStyle name="40% - Accent5 3 3 2 2 2" xfId="16474" xr:uid="{695D1687-F8C5-4EB5-9145-895447FC07BA}"/>
    <cellStyle name="40% - Accent5 3 3 2 3" xfId="12257" xr:uid="{A7C87E4A-9686-461D-9C86-996B420001AA}"/>
    <cellStyle name="40% - Accent5 3 3 3" xfId="5003" xr:uid="{00000000-0005-0000-0000-0000AA060000}"/>
    <cellStyle name="40% - Accent5 3 3 3 2" xfId="14329" xr:uid="{91148A11-F143-4BEB-815B-A0C542773150}"/>
    <cellStyle name="40% - Accent5 3 3 4" xfId="9295" xr:uid="{0D42C89E-252E-426A-8E1F-7D3AD6B9FE55}"/>
    <cellStyle name="40% - Accent5 3 3 4 2" xfId="18610" xr:uid="{71B66102-EB72-4CA5-A472-60930ECFD055}"/>
    <cellStyle name="40% - Accent5 3 3 5" xfId="10112" xr:uid="{41E227EE-DC57-4122-8E5D-28996B4C6F10}"/>
    <cellStyle name="40% - Accent5 3 4" xfId="1108" xr:uid="{00000000-0005-0000-0000-0000AB060000}"/>
    <cellStyle name="40% - Accent5 3 4 2" xfId="3339" xr:uid="{00000000-0005-0000-0000-0000AC060000}"/>
    <cellStyle name="40% - Accent5 3 4 2 2" xfId="7561" xr:uid="{00000000-0005-0000-0000-0000AD060000}"/>
    <cellStyle name="40% - Accent5 3 4 2 2 2" xfId="16887" xr:uid="{08B71BDD-9267-400C-88B6-06C9D79F4CE6}"/>
    <cellStyle name="40% - Accent5 3 4 2 3" xfId="12670" xr:uid="{40031E67-9640-4500-BA42-ECC467FB574B}"/>
    <cellStyle name="40% - Accent5 3 4 3" xfId="5416" xr:uid="{00000000-0005-0000-0000-0000AE060000}"/>
    <cellStyle name="40% - Accent5 3 4 3 2" xfId="14742" xr:uid="{357FD884-9D01-475C-8CFC-4A93293CA2F2}"/>
    <cellStyle name="40% - Accent5 3 4 4" xfId="10525" xr:uid="{FB6DFE1A-84F5-4190-92D3-4CA6BAA2A882}"/>
    <cellStyle name="40% - Accent5 3 5" xfId="1522" xr:uid="{00000000-0005-0000-0000-0000AF060000}"/>
    <cellStyle name="40% - Accent5 3 5 2" xfId="3752" xr:uid="{00000000-0005-0000-0000-0000B0060000}"/>
    <cellStyle name="40% - Accent5 3 5 2 2" xfId="7974" xr:uid="{00000000-0005-0000-0000-0000B1060000}"/>
    <cellStyle name="40% - Accent5 3 5 2 2 2" xfId="17300" xr:uid="{5139C12F-BB66-4CCD-A609-05430E18C7D6}"/>
    <cellStyle name="40% - Accent5 3 5 2 3" xfId="13083" xr:uid="{5E3C11B8-D61D-43B1-929C-BEC8A94311BE}"/>
    <cellStyle name="40% - Accent5 3 5 3" xfId="5829" xr:uid="{00000000-0005-0000-0000-0000B2060000}"/>
    <cellStyle name="40% - Accent5 3 5 3 2" xfId="15155" xr:uid="{53C4B365-0908-4BF5-8737-79506C71D7B0}"/>
    <cellStyle name="40% - Accent5 3 5 4" xfId="10938" xr:uid="{FADF0667-7718-41EF-B422-E9DF02941C74}"/>
    <cellStyle name="40% - Accent5 3 6" xfId="1936" xr:uid="{00000000-0005-0000-0000-0000B3060000}"/>
    <cellStyle name="40% - Accent5 3 6 2" xfId="4165" xr:uid="{00000000-0005-0000-0000-0000B4060000}"/>
    <cellStyle name="40% - Accent5 3 6 2 2" xfId="8387" xr:uid="{00000000-0005-0000-0000-0000B5060000}"/>
    <cellStyle name="40% - Accent5 3 6 2 2 2" xfId="17713" xr:uid="{6FB75749-0704-449B-81BA-E2DC1D6B8A26}"/>
    <cellStyle name="40% - Accent5 3 6 2 3" xfId="13496" xr:uid="{68B25435-5E36-4177-B91B-0FA16C943897}"/>
    <cellStyle name="40% - Accent5 3 6 3" xfId="6242" xr:uid="{00000000-0005-0000-0000-0000B6060000}"/>
    <cellStyle name="40% - Accent5 3 6 3 2" xfId="15568" xr:uid="{6B0043B1-48E1-4E58-97B8-839F249D408E}"/>
    <cellStyle name="40% - Accent5 3 6 4" xfId="11351" xr:uid="{7F572D10-A199-411F-9C92-EAD2DE3572F9}"/>
    <cellStyle name="40% - Accent5 3 7" xfId="2349" xr:uid="{00000000-0005-0000-0000-0000B7060000}"/>
    <cellStyle name="40% - Accent5 3 7 2" xfId="6655" xr:uid="{00000000-0005-0000-0000-0000B8060000}"/>
    <cellStyle name="40% - Accent5 3 7 2 2" xfId="15981" xr:uid="{0579F84B-A287-478C-8057-A3F30870704F}"/>
    <cellStyle name="40% - Accent5 3 7 3" xfId="11764" xr:uid="{637AD5F1-95CC-44F4-AA68-4806CAE9F2AF}"/>
    <cellStyle name="40% - Accent5 3 8" xfId="4589" xr:uid="{00000000-0005-0000-0000-0000B9060000}"/>
    <cellStyle name="40% - Accent5 3 8 2" xfId="13915" xr:uid="{04E44599-77A7-4D22-B4C9-0BB1A19E6D03}"/>
    <cellStyle name="40% - Accent5 3 9" xfId="8870" xr:uid="{F7DB5D96-1272-4D48-B3B6-48053CFCBA44}"/>
    <cellStyle name="40% - Accent5 3 9 2" xfId="18194" xr:uid="{866509DC-0E51-435E-854A-C12967B879EE}"/>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2 2 2" xfId="16476" xr:uid="{2D5DB4ED-AD6A-4358-BC29-2F07A95B0ADB}"/>
    <cellStyle name="40% - Accent5 4 2 2 3" xfId="12259" xr:uid="{8DCB38DF-A67F-41C7-91A2-5397ECFCDC5B}"/>
    <cellStyle name="40% - Accent5 4 2 3" xfId="5005" xr:uid="{00000000-0005-0000-0000-0000BE060000}"/>
    <cellStyle name="40% - Accent5 4 2 3 2" xfId="14331" xr:uid="{FF0688D8-DFCB-4B7C-BDC2-36381FB17660}"/>
    <cellStyle name="40% - Accent5 4 2 4" xfId="9381" xr:uid="{6D86932C-AFC4-4FF0-967D-0F56E90E02E1}"/>
    <cellStyle name="40% - Accent5 4 2 4 2" xfId="18696" xr:uid="{CDB1EDAB-3713-42D9-A892-FE68FB2B6475}"/>
    <cellStyle name="40% - Accent5 4 2 5" xfId="10114" xr:uid="{45C0C5B8-34E2-4EDF-B091-7D49B71AD613}"/>
    <cellStyle name="40% - Accent5 4 3" xfId="1110" xr:uid="{00000000-0005-0000-0000-0000BF060000}"/>
    <cellStyle name="40% - Accent5 4 3 2" xfId="3341" xr:uid="{00000000-0005-0000-0000-0000C0060000}"/>
    <cellStyle name="40% - Accent5 4 3 2 2" xfId="7563" xr:uid="{00000000-0005-0000-0000-0000C1060000}"/>
    <cellStyle name="40% - Accent5 4 3 2 2 2" xfId="16889" xr:uid="{42E43A2D-97B0-4CFB-ABC4-DAA755300A75}"/>
    <cellStyle name="40% - Accent5 4 3 2 3" xfId="12672" xr:uid="{A02D6737-EA6F-4ACC-B6E1-9C15F7E7E78A}"/>
    <cellStyle name="40% - Accent5 4 3 3" xfId="5418" xr:uid="{00000000-0005-0000-0000-0000C2060000}"/>
    <cellStyle name="40% - Accent5 4 3 3 2" xfId="14744" xr:uid="{4E9409C7-A035-4BDE-BC87-ED8D2DD6E3A2}"/>
    <cellStyle name="40% - Accent5 4 3 4" xfId="10527" xr:uid="{6236D4AB-099B-4C88-8D7E-C118D38AA97D}"/>
    <cellStyle name="40% - Accent5 4 4" xfId="1524" xr:uid="{00000000-0005-0000-0000-0000C3060000}"/>
    <cellStyle name="40% - Accent5 4 4 2" xfId="3754" xr:uid="{00000000-0005-0000-0000-0000C4060000}"/>
    <cellStyle name="40% - Accent5 4 4 2 2" xfId="7976" xr:uid="{00000000-0005-0000-0000-0000C5060000}"/>
    <cellStyle name="40% - Accent5 4 4 2 2 2" xfId="17302" xr:uid="{A0410447-4590-4E8E-8C32-F1CD94B49A35}"/>
    <cellStyle name="40% - Accent5 4 4 2 3" xfId="13085" xr:uid="{D6F48722-365D-44B1-B8F2-FBCCA90DD52E}"/>
    <cellStyle name="40% - Accent5 4 4 3" xfId="5831" xr:uid="{00000000-0005-0000-0000-0000C6060000}"/>
    <cellStyle name="40% - Accent5 4 4 3 2" xfId="15157" xr:uid="{5A2D6C73-B31D-417D-8783-75ADE980BC79}"/>
    <cellStyle name="40% - Accent5 4 4 4" xfId="10940" xr:uid="{C1C52FD4-3ECF-4AC4-B9A6-42D9B40E5D97}"/>
    <cellStyle name="40% - Accent5 4 5" xfId="1938" xr:uid="{00000000-0005-0000-0000-0000C7060000}"/>
    <cellStyle name="40% - Accent5 4 5 2" xfId="4167" xr:uid="{00000000-0005-0000-0000-0000C8060000}"/>
    <cellStyle name="40% - Accent5 4 5 2 2" xfId="8389" xr:uid="{00000000-0005-0000-0000-0000C9060000}"/>
    <cellStyle name="40% - Accent5 4 5 2 2 2" xfId="17715" xr:uid="{4521A931-6429-4F62-B713-41522BC3A70E}"/>
    <cellStyle name="40% - Accent5 4 5 2 3" xfId="13498" xr:uid="{C48D94BD-24C4-4A0F-9308-13313C813BC6}"/>
    <cellStyle name="40% - Accent5 4 5 3" xfId="6244" xr:uid="{00000000-0005-0000-0000-0000CA060000}"/>
    <cellStyle name="40% - Accent5 4 5 3 2" xfId="15570" xr:uid="{25D9156C-630F-4B23-B590-AB42880745C8}"/>
    <cellStyle name="40% - Accent5 4 5 4" xfId="11353" xr:uid="{BD588461-3D10-4AC3-8A14-D47C20521849}"/>
    <cellStyle name="40% - Accent5 4 6" xfId="2351" xr:uid="{00000000-0005-0000-0000-0000CB060000}"/>
    <cellStyle name="40% - Accent5 4 6 2" xfId="6657" xr:uid="{00000000-0005-0000-0000-0000CC060000}"/>
    <cellStyle name="40% - Accent5 4 6 2 2" xfId="15983" xr:uid="{A3102996-AE37-4892-8230-E258088D4277}"/>
    <cellStyle name="40% - Accent5 4 6 3" xfId="11766" xr:uid="{5E38902E-CED2-4C73-965B-E615A72C3761}"/>
    <cellStyle name="40% - Accent5 4 7" xfId="4591" xr:uid="{00000000-0005-0000-0000-0000CD060000}"/>
    <cellStyle name="40% - Accent5 4 7 2" xfId="13917" xr:uid="{7C20AC19-0D5A-49B8-9D00-5529A3DFFF10}"/>
    <cellStyle name="40% - Accent5 4 8" xfId="8956" xr:uid="{20EBAEFE-DF5E-4B38-878B-CDA5BD3DABC1}"/>
    <cellStyle name="40% - Accent5 4 8 2" xfId="18280" xr:uid="{22AD6563-5781-4A8E-BEE5-17F9CF674851}"/>
    <cellStyle name="40% - Accent5 4 9" xfId="9700" xr:uid="{89AEAED9-560C-45F6-8787-436E13962250}"/>
    <cellStyle name="40% - Accent5 5" xfId="650" xr:uid="{00000000-0005-0000-0000-0000CE060000}"/>
    <cellStyle name="40% - Accent5 5 2" xfId="2921" xr:uid="{00000000-0005-0000-0000-0000CF060000}"/>
    <cellStyle name="40% - Accent5 5 2 2" xfId="7143" xr:uid="{00000000-0005-0000-0000-0000D0060000}"/>
    <cellStyle name="40% - Accent5 5 2 2 2" xfId="16469" xr:uid="{F9232F33-8B2C-4D75-84EB-EDD99817165B}"/>
    <cellStyle name="40% - Accent5 5 2 3" xfId="12252" xr:uid="{F3A6FA2F-2E6D-47C2-B6C1-186CAEBC364D}"/>
    <cellStyle name="40% - Accent5 5 3" xfId="4998" xr:uid="{00000000-0005-0000-0000-0000D1060000}"/>
    <cellStyle name="40% - Accent5 5 3 2" xfId="14324" xr:uid="{1B23CE8B-8866-4BF6-8F3F-CD90F07539AE}"/>
    <cellStyle name="40% - Accent5 5 4" xfId="9189" xr:uid="{AE9A155E-B06B-4FF1-8984-8F7810581B15}"/>
    <cellStyle name="40% - Accent5 5 4 2" xfId="18507" xr:uid="{6C36988B-5A05-4B97-B521-8FE193DB773B}"/>
    <cellStyle name="40% - Accent5 5 5" xfId="10107" xr:uid="{E6191BFE-9A9C-4715-B1C1-E4DBED7FBCD3}"/>
    <cellStyle name="40% - Accent5 6" xfId="1103" xr:uid="{00000000-0005-0000-0000-0000D2060000}"/>
    <cellStyle name="40% - Accent5 6 2" xfId="3334" xr:uid="{00000000-0005-0000-0000-0000D3060000}"/>
    <cellStyle name="40% - Accent5 6 2 2" xfId="7556" xr:uid="{00000000-0005-0000-0000-0000D4060000}"/>
    <cellStyle name="40% - Accent5 6 2 2 2" xfId="16882" xr:uid="{4159C276-A157-4E98-8502-A83CDA9847F8}"/>
    <cellStyle name="40% - Accent5 6 2 3" xfId="12665" xr:uid="{8FA3D675-2A7F-42DB-83C9-A9983477EEC5}"/>
    <cellStyle name="40% - Accent5 6 3" xfId="5411" xr:uid="{00000000-0005-0000-0000-0000D5060000}"/>
    <cellStyle name="40% - Accent5 6 3 2" xfId="14737" xr:uid="{0BB25181-92CF-4627-9090-0DCD39B66AD5}"/>
    <cellStyle name="40% - Accent5 6 4" xfId="10520" xr:uid="{5C5A6D42-A7D6-4B4E-8172-B36D74B90B44}"/>
    <cellStyle name="40% - Accent5 7" xfId="1517" xr:uid="{00000000-0005-0000-0000-0000D6060000}"/>
    <cellStyle name="40% - Accent5 7 2" xfId="3747" xr:uid="{00000000-0005-0000-0000-0000D7060000}"/>
    <cellStyle name="40% - Accent5 7 2 2" xfId="7969" xr:uid="{00000000-0005-0000-0000-0000D8060000}"/>
    <cellStyle name="40% - Accent5 7 2 2 2" xfId="17295" xr:uid="{AF775777-1E4E-4A30-96C3-2AF30678A031}"/>
    <cellStyle name="40% - Accent5 7 2 3" xfId="13078" xr:uid="{AA9271C9-6A6A-4364-808C-FD39E4427D04}"/>
    <cellStyle name="40% - Accent5 7 3" xfId="5824" xr:uid="{00000000-0005-0000-0000-0000D9060000}"/>
    <cellStyle name="40% - Accent5 7 3 2" xfId="15150" xr:uid="{DA865B81-1E0C-4217-986A-E64827C70275}"/>
    <cellStyle name="40% - Accent5 7 4" xfId="10933" xr:uid="{5AB3ADC5-0532-4DAA-82A9-411B3BF7FB3F}"/>
    <cellStyle name="40% - Accent5 8" xfId="1931" xr:uid="{00000000-0005-0000-0000-0000DA060000}"/>
    <cellStyle name="40% - Accent5 8 2" xfId="4160" xr:uid="{00000000-0005-0000-0000-0000DB060000}"/>
    <cellStyle name="40% - Accent5 8 2 2" xfId="8382" xr:uid="{00000000-0005-0000-0000-0000DC060000}"/>
    <cellStyle name="40% - Accent5 8 2 2 2" xfId="17708" xr:uid="{76B2D15D-5FA7-412D-9A8B-E171DE4DD3A0}"/>
    <cellStyle name="40% - Accent5 8 2 3" xfId="13491" xr:uid="{80128B76-561C-4260-B7E2-D9291E598A22}"/>
    <cellStyle name="40% - Accent5 8 3" xfId="6237" xr:uid="{00000000-0005-0000-0000-0000DD060000}"/>
    <cellStyle name="40% - Accent5 8 3 2" xfId="15563" xr:uid="{AC84265F-B2A5-48FF-83EE-8630586B1A8D}"/>
    <cellStyle name="40% - Accent5 8 4" xfId="11346" xr:uid="{BB5342E5-49D9-4802-A6CA-74292ECCD154}"/>
    <cellStyle name="40% - Accent5 9" xfId="2344" xr:uid="{00000000-0005-0000-0000-0000DE060000}"/>
    <cellStyle name="40% - Accent5 9 2" xfId="6650" xr:uid="{00000000-0005-0000-0000-0000DF060000}"/>
    <cellStyle name="40% - Accent5 9 2 2" xfId="15976" xr:uid="{9613AFDE-5B5F-4DA2-B180-C15E4BF630D7}"/>
    <cellStyle name="40% - Accent5 9 3" xfId="11759" xr:uid="{FCC262FD-0C22-441B-A623-B601B9E51677}"/>
    <cellStyle name="40% - Accent6" xfId="89" builtinId="51" customBuiltin="1"/>
    <cellStyle name="40% - Accent6 10" xfId="4592" xr:uid="{00000000-0005-0000-0000-0000E1060000}"/>
    <cellStyle name="40% - Accent6 10 2" xfId="13918" xr:uid="{99252D51-E134-40FD-98C3-7EDE2BBB9DD9}"/>
    <cellStyle name="40% - Accent6 11" xfId="8769" xr:uid="{8369FE49-3815-490F-BF3A-3BEB88E35DFA}"/>
    <cellStyle name="40% - Accent6 11 2" xfId="18093" xr:uid="{AE94531D-61BF-449C-8381-34807442A271}"/>
    <cellStyle name="40% - Accent6 12" xfId="9701" xr:uid="{39189CAB-70BA-4487-8E78-BCD7510520AE}"/>
    <cellStyle name="40% - Accent6 2" xfId="90" xr:uid="{00000000-0005-0000-0000-0000E2060000}"/>
    <cellStyle name="40% - Accent6 2 10" xfId="8803" xr:uid="{3530B69D-EB1D-41EA-A6FB-440FE4FE29AB}"/>
    <cellStyle name="40% - Accent6 2 10 2" xfId="18127" xr:uid="{5ABAC3C2-9F7E-4875-BA55-8D3314FF2382}"/>
    <cellStyle name="40% - Accent6 2 11" xfId="9702" xr:uid="{8F868571-FBEF-46D3-825C-C2F96E85A807}"/>
    <cellStyle name="40% - Accent6 2 2" xfId="91" xr:uid="{00000000-0005-0000-0000-0000E3060000}"/>
    <cellStyle name="40% - Accent6 2 2 10" xfId="9703" xr:uid="{957BA11E-2C45-4BA8-953C-7EE470D46446}"/>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16480" xr:uid="{53A10C79-5ACF-4D83-BF6F-450F19DB4B3A}"/>
    <cellStyle name="40% - Accent6 2 2 2 2 2 3" xfId="12263" xr:uid="{64C29AD5-4604-4524-9DB4-E3B200CE893D}"/>
    <cellStyle name="40% - Accent6 2 2 2 2 3" xfId="5009" xr:uid="{00000000-0005-0000-0000-0000E8060000}"/>
    <cellStyle name="40% - Accent6 2 2 2 2 3 2" xfId="14335" xr:uid="{471F01DA-EBE0-47C4-9DDC-029369D726A5}"/>
    <cellStyle name="40% - Accent6 2 2 2 2 4" xfId="9538" xr:uid="{D1801D0B-FDF1-4C59-8DE2-DEC53081BC5D}"/>
    <cellStyle name="40% - Accent6 2 2 2 2 4 2" xfId="18853" xr:uid="{FF82D316-B9AF-4B9C-B04E-C56F89F8AE52}"/>
    <cellStyle name="40% - Accent6 2 2 2 2 5" xfId="10118" xr:uid="{5A77FAB7-A7A8-4EF3-820D-BDDDB6BCB50C}"/>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16893" xr:uid="{897288BD-D56E-4FC6-98D3-DBD281AE2F74}"/>
    <cellStyle name="40% - Accent6 2 2 2 3 2 3" xfId="12676" xr:uid="{E684D5EF-18FD-44B0-BD0A-01BC51438D42}"/>
    <cellStyle name="40% - Accent6 2 2 2 3 3" xfId="5422" xr:uid="{00000000-0005-0000-0000-0000EC060000}"/>
    <cellStyle name="40% - Accent6 2 2 2 3 3 2" xfId="14748" xr:uid="{EFB6F103-BD16-486E-B70D-FA858543AD58}"/>
    <cellStyle name="40% - Accent6 2 2 2 3 4" xfId="10531" xr:uid="{B700B23B-656F-4A78-B78F-F66A90651409}"/>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17306" xr:uid="{0CD0E44D-895B-4F66-A554-537A6A48A9B2}"/>
    <cellStyle name="40% - Accent6 2 2 2 4 2 3" xfId="13089" xr:uid="{E5FFA596-6E7A-4D87-AB48-530965D8675F}"/>
    <cellStyle name="40% - Accent6 2 2 2 4 3" xfId="5835" xr:uid="{00000000-0005-0000-0000-0000F0060000}"/>
    <cellStyle name="40% - Accent6 2 2 2 4 3 2" xfId="15161" xr:uid="{2AB9AE04-627F-41F7-BC8F-1DACA8D64128}"/>
    <cellStyle name="40% - Accent6 2 2 2 4 4" xfId="10944" xr:uid="{595D7341-7CB9-49C1-B39B-4E15076C219F}"/>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17719" xr:uid="{86E30AB7-E823-479B-85F2-847ABF840582}"/>
    <cellStyle name="40% - Accent6 2 2 2 5 2 3" xfId="13502" xr:uid="{C2047395-4943-41E8-A93D-8F5168E12CFA}"/>
    <cellStyle name="40% - Accent6 2 2 2 5 3" xfId="6248" xr:uid="{00000000-0005-0000-0000-0000F4060000}"/>
    <cellStyle name="40% - Accent6 2 2 2 5 3 2" xfId="15574" xr:uid="{E2A2691C-ACF6-4C28-935A-281222460924}"/>
    <cellStyle name="40% - Accent6 2 2 2 5 4" xfId="11357" xr:uid="{04806039-816E-4320-B28A-D655386A2B23}"/>
    <cellStyle name="40% - Accent6 2 2 2 6" xfId="2355" xr:uid="{00000000-0005-0000-0000-0000F5060000}"/>
    <cellStyle name="40% - Accent6 2 2 2 6 2" xfId="6661" xr:uid="{00000000-0005-0000-0000-0000F6060000}"/>
    <cellStyle name="40% - Accent6 2 2 2 6 2 2" xfId="15987" xr:uid="{414C4773-9EC3-4A21-A1F7-58054D396930}"/>
    <cellStyle name="40% - Accent6 2 2 2 6 3" xfId="11770" xr:uid="{5D940E94-5E5B-428A-8877-1B3F451AC1EA}"/>
    <cellStyle name="40% - Accent6 2 2 2 7" xfId="4595" xr:uid="{00000000-0005-0000-0000-0000F7060000}"/>
    <cellStyle name="40% - Accent6 2 2 2 7 2" xfId="13921" xr:uid="{3E3F6A86-E9D6-4A73-80E0-86A0E1DC6432}"/>
    <cellStyle name="40% - Accent6 2 2 2 8" xfId="9113" xr:uid="{D9373B4A-E1DA-437A-874A-FCE4D00708EB}"/>
    <cellStyle name="40% - Accent6 2 2 2 8 2" xfId="18437" xr:uid="{8BE70FB4-E31C-468F-A8EE-CE2596382057}"/>
    <cellStyle name="40% - Accent6 2 2 2 9" xfId="9704" xr:uid="{C84B6119-C943-4F5D-8BE7-F9D588681AE0}"/>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16479" xr:uid="{54E1705E-7AEF-4A10-8346-E947C23B6384}"/>
    <cellStyle name="40% - Accent6 2 2 3 2 3" xfId="12262" xr:uid="{52F7B59D-B681-4C80-9A3E-CD7E4C3AF1F1}"/>
    <cellStyle name="40% - Accent6 2 2 3 3" xfId="5008" xr:uid="{00000000-0005-0000-0000-0000FB060000}"/>
    <cellStyle name="40% - Accent6 2 2 3 3 2" xfId="14334" xr:uid="{65D8E72A-0777-4515-ACA2-84FAA4D7EFD2}"/>
    <cellStyle name="40% - Accent6 2 2 3 4" xfId="9331" xr:uid="{223B62DA-AA8A-4703-B6D5-D6AA8918B034}"/>
    <cellStyle name="40% - Accent6 2 2 3 4 2" xfId="18646" xr:uid="{51195D21-03E9-464C-B8FB-85B70543EBFF}"/>
    <cellStyle name="40% - Accent6 2 2 3 5" xfId="10117" xr:uid="{9CDF4538-FD6A-4E11-9330-932AC9013E8A}"/>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16892" xr:uid="{EBD0DB1A-6779-4268-9CFA-FFA5C11FC093}"/>
    <cellStyle name="40% - Accent6 2 2 4 2 3" xfId="12675" xr:uid="{A173BF8A-D709-4490-A793-FB3C93834F35}"/>
    <cellStyle name="40% - Accent6 2 2 4 3" xfId="5421" xr:uid="{00000000-0005-0000-0000-0000FF060000}"/>
    <cellStyle name="40% - Accent6 2 2 4 3 2" xfId="14747" xr:uid="{EE2E4937-4E5D-46B9-95AE-DB81020342E9}"/>
    <cellStyle name="40% - Accent6 2 2 4 4" xfId="10530" xr:uid="{90F3BCDE-AA9E-4791-8ABE-EE13C06AC81A}"/>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17305" xr:uid="{6BF15B05-B7D9-41B8-AA28-40E44D921072}"/>
    <cellStyle name="40% - Accent6 2 2 5 2 3" xfId="13088" xr:uid="{19225DF6-6C52-438C-B87F-A892A08579CF}"/>
    <cellStyle name="40% - Accent6 2 2 5 3" xfId="5834" xr:uid="{00000000-0005-0000-0000-000003070000}"/>
    <cellStyle name="40% - Accent6 2 2 5 3 2" xfId="15160" xr:uid="{1E1379A8-C737-4579-B783-F79C388A05AD}"/>
    <cellStyle name="40% - Accent6 2 2 5 4" xfId="10943" xr:uid="{7684A292-26AD-4CB3-B207-0E8EDC9FA2F9}"/>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17718" xr:uid="{D63031D8-6B76-4DCF-B122-EF6AD0607A91}"/>
    <cellStyle name="40% - Accent6 2 2 6 2 3" xfId="13501" xr:uid="{A0776FA0-80A1-4C44-BDFB-E5A3D4196EAA}"/>
    <cellStyle name="40% - Accent6 2 2 6 3" xfId="6247" xr:uid="{00000000-0005-0000-0000-000007070000}"/>
    <cellStyle name="40% - Accent6 2 2 6 3 2" xfId="15573" xr:uid="{C1F770CB-5811-42F7-8ED3-526C3C39ED7B}"/>
    <cellStyle name="40% - Accent6 2 2 6 4" xfId="11356" xr:uid="{A5F8F7E2-98FC-459B-A0A2-B376AD77217A}"/>
    <cellStyle name="40% - Accent6 2 2 7" xfId="2354" xr:uid="{00000000-0005-0000-0000-000008070000}"/>
    <cellStyle name="40% - Accent6 2 2 7 2" xfId="6660" xr:uid="{00000000-0005-0000-0000-000009070000}"/>
    <cellStyle name="40% - Accent6 2 2 7 2 2" xfId="15986" xr:uid="{3E6F684C-F00E-48C2-B79E-45339196DCD7}"/>
    <cellStyle name="40% - Accent6 2 2 7 3" xfId="11769" xr:uid="{18372E27-54A4-4C69-9D0D-E20E8CFB1F6E}"/>
    <cellStyle name="40% - Accent6 2 2 8" xfId="4594" xr:uid="{00000000-0005-0000-0000-00000A070000}"/>
    <cellStyle name="40% - Accent6 2 2 8 2" xfId="13920" xr:uid="{5F2E68CB-D1B6-4A1F-AB2A-787FDF9A0EEE}"/>
    <cellStyle name="40% - Accent6 2 2 9" xfId="8906" xr:uid="{C30FCA09-BA1A-4F54-9397-4FC676425C46}"/>
    <cellStyle name="40% - Accent6 2 2 9 2" xfId="18230" xr:uid="{3D79683E-83B1-4D1D-8BA1-DF03AB142B29}"/>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16481" xr:uid="{38BD890F-4216-4E42-AB71-D3D843BADA41}"/>
    <cellStyle name="40% - Accent6 2 3 2 2 3" xfId="12264" xr:uid="{EE236C5F-B4AE-43D6-A647-21B68CDA14D3}"/>
    <cellStyle name="40% - Accent6 2 3 2 3" xfId="5010" xr:uid="{00000000-0005-0000-0000-00000F070000}"/>
    <cellStyle name="40% - Accent6 2 3 2 3 2" xfId="14336" xr:uid="{78928297-A868-4262-A004-1548AF79955F}"/>
    <cellStyle name="40% - Accent6 2 3 2 4" xfId="9435" xr:uid="{36535681-1736-4584-8CB6-F8F38C9E0E5B}"/>
    <cellStyle name="40% - Accent6 2 3 2 4 2" xfId="18750" xr:uid="{FF73E85F-B88F-4950-B624-79DF9C1ACF3C}"/>
    <cellStyle name="40% - Accent6 2 3 2 5" xfId="10119" xr:uid="{EE14D3C9-33F8-41AE-8CAF-6E729A529CB8}"/>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16894" xr:uid="{143C9ADF-D39A-4D80-8411-456FF310618D}"/>
    <cellStyle name="40% - Accent6 2 3 3 2 3" xfId="12677" xr:uid="{A596E25F-4746-40BB-B118-E17DD68DB77F}"/>
    <cellStyle name="40% - Accent6 2 3 3 3" xfId="5423" xr:uid="{00000000-0005-0000-0000-000013070000}"/>
    <cellStyle name="40% - Accent6 2 3 3 3 2" xfId="14749" xr:uid="{13E43FB5-6F7C-43F9-BF81-143F66F501AF}"/>
    <cellStyle name="40% - Accent6 2 3 3 4" xfId="10532" xr:uid="{9D8CB021-6993-45F9-8EB5-6371A9CBED77}"/>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17307" xr:uid="{7C3FD45E-6362-420B-A17D-6275369BFA57}"/>
    <cellStyle name="40% - Accent6 2 3 4 2 3" xfId="13090" xr:uid="{FB303723-6E78-41D4-85C0-AE074E23C760}"/>
    <cellStyle name="40% - Accent6 2 3 4 3" xfId="5836" xr:uid="{00000000-0005-0000-0000-000017070000}"/>
    <cellStyle name="40% - Accent6 2 3 4 3 2" xfId="15162" xr:uid="{D20ED940-6B28-454E-89C1-0C9FEC7EDEC2}"/>
    <cellStyle name="40% - Accent6 2 3 4 4" xfId="10945" xr:uid="{EF6A230D-45DD-4D59-8E0D-4AF0BED210B7}"/>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17720" xr:uid="{A1677047-CCE7-4E86-8DA8-5BDE9BCCA0FF}"/>
    <cellStyle name="40% - Accent6 2 3 5 2 3" xfId="13503" xr:uid="{95F05929-3AEE-4BE6-9CC4-88CD1C96177F}"/>
    <cellStyle name="40% - Accent6 2 3 5 3" xfId="6249" xr:uid="{00000000-0005-0000-0000-00001B070000}"/>
    <cellStyle name="40% - Accent6 2 3 5 3 2" xfId="15575" xr:uid="{59A78998-A52A-44E8-8B7E-8E7522C7D52E}"/>
    <cellStyle name="40% - Accent6 2 3 5 4" xfId="11358" xr:uid="{717B3816-A268-46DC-B098-906F4404F769}"/>
    <cellStyle name="40% - Accent6 2 3 6" xfId="2356" xr:uid="{00000000-0005-0000-0000-00001C070000}"/>
    <cellStyle name="40% - Accent6 2 3 6 2" xfId="6662" xr:uid="{00000000-0005-0000-0000-00001D070000}"/>
    <cellStyle name="40% - Accent6 2 3 6 2 2" xfId="15988" xr:uid="{74EEABE7-B7CD-4236-B9A3-4A6B07C21478}"/>
    <cellStyle name="40% - Accent6 2 3 6 3" xfId="11771" xr:uid="{31D5C00D-1DE2-4E15-ADE9-6FD804F50013}"/>
    <cellStyle name="40% - Accent6 2 3 7" xfId="4596" xr:uid="{00000000-0005-0000-0000-00001E070000}"/>
    <cellStyle name="40% - Accent6 2 3 7 2" xfId="13922" xr:uid="{A826963A-D46D-4F40-A61C-E5E6866A09A2}"/>
    <cellStyle name="40% - Accent6 2 3 8" xfId="9010" xr:uid="{63E1B5F8-FE5F-441F-B768-94B1D98CB2B1}"/>
    <cellStyle name="40% - Accent6 2 3 8 2" xfId="18334" xr:uid="{EBB9E2B8-A635-4A8A-B66B-4D41E0CF9605}"/>
    <cellStyle name="40% - Accent6 2 3 9" xfId="9705" xr:uid="{2D421DA4-005F-4EB3-8A7D-1B3F41ADEA60}"/>
    <cellStyle name="40% - Accent6 2 4" xfId="659" xr:uid="{00000000-0005-0000-0000-00001F070000}"/>
    <cellStyle name="40% - Accent6 2 4 2" xfId="2930" xr:uid="{00000000-0005-0000-0000-000020070000}"/>
    <cellStyle name="40% - Accent6 2 4 2 2" xfId="7152" xr:uid="{00000000-0005-0000-0000-000021070000}"/>
    <cellStyle name="40% - Accent6 2 4 2 2 2" xfId="16478" xr:uid="{FD18CE35-F496-4E6E-8759-70090A911005}"/>
    <cellStyle name="40% - Accent6 2 4 2 3" xfId="12261" xr:uid="{B7F11775-5133-4995-AE6F-2B7F000AA5B0}"/>
    <cellStyle name="40% - Accent6 2 4 3" xfId="5007" xr:uid="{00000000-0005-0000-0000-000022070000}"/>
    <cellStyle name="40% - Accent6 2 4 3 2" xfId="14333" xr:uid="{1423EC39-BA2E-40DD-9A11-86D1F7027BCD}"/>
    <cellStyle name="40% - Accent6 2 4 4" xfId="9227" xr:uid="{61BC3AC1-FAE9-47DF-8143-7EECE05FF8D3}"/>
    <cellStyle name="40% - Accent6 2 4 4 2" xfId="18543" xr:uid="{42095F18-BFC5-4CD4-B02A-68027CC588DE}"/>
    <cellStyle name="40% - Accent6 2 4 5" xfId="10116" xr:uid="{4649BF0D-2564-4DB0-AD5E-51C98D48E272}"/>
    <cellStyle name="40% - Accent6 2 5" xfId="1112" xr:uid="{00000000-0005-0000-0000-000023070000}"/>
    <cellStyle name="40% - Accent6 2 5 2" xfId="3343" xr:uid="{00000000-0005-0000-0000-000024070000}"/>
    <cellStyle name="40% - Accent6 2 5 2 2" xfId="7565" xr:uid="{00000000-0005-0000-0000-000025070000}"/>
    <cellStyle name="40% - Accent6 2 5 2 2 2" xfId="16891" xr:uid="{715835BD-96B2-4E75-B295-8F2346867EBA}"/>
    <cellStyle name="40% - Accent6 2 5 2 3" xfId="12674" xr:uid="{2DB4AD46-F1D8-411C-A652-3669A8CDF35A}"/>
    <cellStyle name="40% - Accent6 2 5 3" xfId="5420" xr:uid="{00000000-0005-0000-0000-000026070000}"/>
    <cellStyle name="40% - Accent6 2 5 3 2" xfId="14746" xr:uid="{51001267-8C59-4361-9819-568FBC998E78}"/>
    <cellStyle name="40% - Accent6 2 5 4" xfId="10529" xr:uid="{CB27DEE2-936F-4A87-9FFD-7D85DB03B019}"/>
    <cellStyle name="40% - Accent6 2 6" xfId="1526" xr:uid="{00000000-0005-0000-0000-000027070000}"/>
    <cellStyle name="40% - Accent6 2 6 2" xfId="3756" xr:uid="{00000000-0005-0000-0000-000028070000}"/>
    <cellStyle name="40% - Accent6 2 6 2 2" xfId="7978" xr:uid="{00000000-0005-0000-0000-000029070000}"/>
    <cellStyle name="40% - Accent6 2 6 2 2 2" xfId="17304" xr:uid="{8344EEE8-71FA-4269-855F-13D8E626A2BB}"/>
    <cellStyle name="40% - Accent6 2 6 2 3" xfId="13087" xr:uid="{7E231280-1793-4BA6-B030-DAE135C363E9}"/>
    <cellStyle name="40% - Accent6 2 6 3" xfId="5833" xr:uid="{00000000-0005-0000-0000-00002A070000}"/>
    <cellStyle name="40% - Accent6 2 6 3 2" xfId="15159" xr:uid="{70C85E7B-0388-4BDA-A3F1-8365134E7689}"/>
    <cellStyle name="40% - Accent6 2 6 4" xfId="10942" xr:uid="{151A29E0-BF6E-4E1B-8CC8-9A507A6FCE68}"/>
    <cellStyle name="40% - Accent6 2 7" xfId="1940" xr:uid="{00000000-0005-0000-0000-00002B070000}"/>
    <cellStyle name="40% - Accent6 2 7 2" xfId="4169" xr:uid="{00000000-0005-0000-0000-00002C070000}"/>
    <cellStyle name="40% - Accent6 2 7 2 2" xfId="8391" xr:uid="{00000000-0005-0000-0000-00002D070000}"/>
    <cellStyle name="40% - Accent6 2 7 2 2 2" xfId="17717" xr:uid="{1A4DE41B-A3B8-46CC-80B4-A3DB20CD1796}"/>
    <cellStyle name="40% - Accent6 2 7 2 3" xfId="13500" xr:uid="{E116B778-C490-4002-8B6E-67AB0D370399}"/>
    <cellStyle name="40% - Accent6 2 7 3" xfId="6246" xr:uid="{00000000-0005-0000-0000-00002E070000}"/>
    <cellStyle name="40% - Accent6 2 7 3 2" xfId="15572" xr:uid="{8D59AD60-D93B-495B-BE10-5E737DB63129}"/>
    <cellStyle name="40% - Accent6 2 7 4" xfId="11355" xr:uid="{0CE6ED82-6012-46AC-A22F-DFC147E3B390}"/>
    <cellStyle name="40% - Accent6 2 8" xfId="2353" xr:uid="{00000000-0005-0000-0000-00002F070000}"/>
    <cellStyle name="40% - Accent6 2 8 2" xfId="6659" xr:uid="{00000000-0005-0000-0000-000030070000}"/>
    <cellStyle name="40% - Accent6 2 8 2 2" xfId="15985" xr:uid="{317B6671-E961-4DAD-816D-FA81909B6297}"/>
    <cellStyle name="40% - Accent6 2 8 3" xfId="11768" xr:uid="{0FEA937D-C590-4DCA-AFBA-ADE1CD7E4E05}"/>
    <cellStyle name="40% - Accent6 2 9" xfId="4593" xr:uid="{00000000-0005-0000-0000-000031070000}"/>
    <cellStyle name="40% - Accent6 2 9 2" xfId="13919" xr:uid="{C940B796-6D82-49A4-87BA-23FCC4959A31}"/>
    <cellStyle name="40% - Accent6 3" xfId="94" xr:uid="{00000000-0005-0000-0000-000032070000}"/>
    <cellStyle name="40% - Accent6 3 10" xfId="9706" xr:uid="{3924E022-FFF5-4496-9D04-B812C4D83542}"/>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16483" xr:uid="{885D3D5C-8FFE-48F7-89E0-8D488CF8B5ED}"/>
    <cellStyle name="40% - Accent6 3 2 2 2 3" xfId="12266" xr:uid="{984B2280-BEDE-44BD-AB0A-0E2B24935C9F}"/>
    <cellStyle name="40% - Accent6 3 2 2 3" xfId="5012" xr:uid="{00000000-0005-0000-0000-000037070000}"/>
    <cellStyle name="40% - Accent6 3 2 2 3 2" xfId="14338" xr:uid="{20CC666B-E413-4653-8824-B62E50142E7E}"/>
    <cellStyle name="40% - Accent6 3 2 2 4" xfId="9504" xr:uid="{23E46585-FD8F-4BA3-8B65-284D6884E4FD}"/>
    <cellStyle name="40% - Accent6 3 2 2 4 2" xfId="18819" xr:uid="{2154E4D1-0A2A-47BA-84A3-67B4673D318D}"/>
    <cellStyle name="40% - Accent6 3 2 2 5" xfId="10121" xr:uid="{5A97231B-AF9F-4EE5-A348-236352AE130E}"/>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16896" xr:uid="{C72AD86A-F16C-4E78-A991-0B8B3FCF856D}"/>
    <cellStyle name="40% - Accent6 3 2 3 2 3" xfId="12679" xr:uid="{BF253B37-C8BC-4250-BCED-2F4CE1FCE57D}"/>
    <cellStyle name="40% - Accent6 3 2 3 3" xfId="5425" xr:uid="{00000000-0005-0000-0000-00003B070000}"/>
    <cellStyle name="40% - Accent6 3 2 3 3 2" xfId="14751" xr:uid="{0C627B41-1213-41B4-9170-B78A498E41E8}"/>
    <cellStyle name="40% - Accent6 3 2 3 4" xfId="10534" xr:uid="{1FC66739-2871-45B8-ACBC-AD99996E3851}"/>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17309" xr:uid="{1B149BC2-DD3A-4890-B620-D58DC8FA8EAF}"/>
    <cellStyle name="40% - Accent6 3 2 4 2 3" xfId="13092" xr:uid="{B8EF6AA0-2EB9-40B6-934F-02301EFD7BCB}"/>
    <cellStyle name="40% - Accent6 3 2 4 3" xfId="5838" xr:uid="{00000000-0005-0000-0000-00003F070000}"/>
    <cellStyle name="40% - Accent6 3 2 4 3 2" xfId="15164" xr:uid="{AEF68DF6-3355-44D1-8851-508068CC75CA}"/>
    <cellStyle name="40% - Accent6 3 2 4 4" xfId="10947" xr:uid="{1CCA1D36-E62B-44D7-BF53-22A967847681}"/>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17722" xr:uid="{D8C5211D-3811-477A-862E-628C7A50CBD4}"/>
    <cellStyle name="40% - Accent6 3 2 5 2 3" xfId="13505" xr:uid="{8B4749BB-CF48-4005-A0A6-ED27FA69B91C}"/>
    <cellStyle name="40% - Accent6 3 2 5 3" xfId="6251" xr:uid="{00000000-0005-0000-0000-000043070000}"/>
    <cellStyle name="40% - Accent6 3 2 5 3 2" xfId="15577" xr:uid="{41F14A72-E9C2-49F6-81F1-ADEEB04B2F40}"/>
    <cellStyle name="40% - Accent6 3 2 5 4" xfId="11360" xr:uid="{288B5DEB-EDDD-4769-912E-C57A35CD6C59}"/>
    <cellStyle name="40% - Accent6 3 2 6" xfId="2358" xr:uid="{00000000-0005-0000-0000-000044070000}"/>
    <cellStyle name="40% - Accent6 3 2 6 2" xfId="6664" xr:uid="{00000000-0005-0000-0000-000045070000}"/>
    <cellStyle name="40% - Accent6 3 2 6 2 2" xfId="15990" xr:uid="{C2DE575D-146F-4949-80CB-72FE663F9F47}"/>
    <cellStyle name="40% - Accent6 3 2 6 3" xfId="11773" xr:uid="{F0FCDB23-4B2A-4E42-BA02-3EFE8EE0181B}"/>
    <cellStyle name="40% - Accent6 3 2 7" xfId="4598" xr:uid="{00000000-0005-0000-0000-000046070000}"/>
    <cellStyle name="40% - Accent6 3 2 7 2" xfId="13924" xr:uid="{2080976E-433F-405B-9162-F6132C94ACB2}"/>
    <cellStyle name="40% - Accent6 3 2 8" xfId="9079" xr:uid="{7FA93E2E-699F-4676-8533-A3CC5F80D807}"/>
    <cellStyle name="40% - Accent6 3 2 8 2" xfId="18403" xr:uid="{2E399DA9-68BD-4B76-B829-ED12B6856914}"/>
    <cellStyle name="40% - Accent6 3 2 9" xfId="9707" xr:uid="{D3A0939E-CAFF-4B37-BFB5-5A9615373882}"/>
    <cellStyle name="40% - Accent6 3 3" xfId="663" xr:uid="{00000000-0005-0000-0000-000047070000}"/>
    <cellStyle name="40% - Accent6 3 3 2" xfId="2934" xr:uid="{00000000-0005-0000-0000-000048070000}"/>
    <cellStyle name="40% - Accent6 3 3 2 2" xfId="7156" xr:uid="{00000000-0005-0000-0000-000049070000}"/>
    <cellStyle name="40% - Accent6 3 3 2 2 2" xfId="16482" xr:uid="{DF491EBF-237C-49EA-B937-EC31689A2C6C}"/>
    <cellStyle name="40% - Accent6 3 3 2 3" xfId="12265" xr:uid="{663CB8A3-B1A2-4E99-918C-21881842B571}"/>
    <cellStyle name="40% - Accent6 3 3 3" xfId="5011" xr:uid="{00000000-0005-0000-0000-00004A070000}"/>
    <cellStyle name="40% - Accent6 3 3 3 2" xfId="14337" xr:uid="{7EE83146-B4E4-4700-8645-39F0336E7863}"/>
    <cellStyle name="40% - Accent6 3 3 4" xfId="9297" xr:uid="{1226E28F-09E7-4580-8D19-7F14AC1CB4B3}"/>
    <cellStyle name="40% - Accent6 3 3 4 2" xfId="18612" xr:uid="{F5D4D186-E784-4EAE-BE91-C1724E051F4E}"/>
    <cellStyle name="40% - Accent6 3 3 5" xfId="10120" xr:uid="{11C35FF3-5055-4F9D-81B3-6F22989CA499}"/>
    <cellStyle name="40% - Accent6 3 4" xfId="1116" xr:uid="{00000000-0005-0000-0000-00004B070000}"/>
    <cellStyle name="40% - Accent6 3 4 2" xfId="3347" xr:uid="{00000000-0005-0000-0000-00004C070000}"/>
    <cellStyle name="40% - Accent6 3 4 2 2" xfId="7569" xr:uid="{00000000-0005-0000-0000-00004D070000}"/>
    <cellStyle name="40% - Accent6 3 4 2 2 2" xfId="16895" xr:uid="{B44036C6-B9E4-44B4-A792-D1935CB17F9E}"/>
    <cellStyle name="40% - Accent6 3 4 2 3" xfId="12678" xr:uid="{8E173DE7-92CE-4AA1-9EDD-ADE0F0B893B7}"/>
    <cellStyle name="40% - Accent6 3 4 3" xfId="5424" xr:uid="{00000000-0005-0000-0000-00004E070000}"/>
    <cellStyle name="40% - Accent6 3 4 3 2" xfId="14750" xr:uid="{CA9E607B-7DE8-4123-B744-7C58F30C7A2D}"/>
    <cellStyle name="40% - Accent6 3 4 4" xfId="10533" xr:uid="{9CAE8CB1-4F0C-4E6C-BAF0-379F564F36C5}"/>
    <cellStyle name="40% - Accent6 3 5" xfId="1530" xr:uid="{00000000-0005-0000-0000-00004F070000}"/>
    <cellStyle name="40% - Accent6 3 5 2" xfId="3760" xr:uid="{00000000-0005-0000-0000-000050070000}"/>
    <cellStyle name="40% - Accent6 3 5 2 2" xfId="7982" xr:uid="{00000000-0005-0000-0000-000051070000}"/>
    <cellStyle name="40% - Accent6 3 5 2 2 2" xfId="17308" xr:uid="{322C37C7-B51B-4B6B-8B67-3045EDEB3CC9}"/>
    <cellStyle name="40% - Accent6 3 5 2 3" xfId="13091" xr:uid="{891E821A-F546-48D2-9972-B688F8964E2F}"/>
    <cellStyle name="40% - Accent6 3 5 3" xfId="5837" xr:uid="{00000000-0005-0000-0000-000052070000}"/>
    <cellStyle name="40% - Accent6 3 5 3 2" xfId="15163" xr:uid="{D8E8071F-7B9C-4278-8CAA-28FD50CC1B07}"/>
    <cellStyle name="40% - Accent6 3 5 4" xfId="10946" xr:uid="{6EE0C998-6AA0-47DF-A245-F84AC347CC47}"/>
    <cellStyle name="40% - Accent6 3 6" xfId="1944" xr:uid="{00000000-0005-0000-0000-000053070000}"/>
    <cellStyle name="40% - Accent6 3 6 2" xfId="4173" xr:uid="{00000000-0005-0000-0000-000054070000}"/>
    <cellStyle name="40% - Accent6 3 6 2 2" xfId="8395" xr:uid="{00000000-0005-0000-0000-000055070000}"/>
    <cellStyle name="40% - Accent6 3 6 2 2 2" xfId="17721" xr:uid="{463D0B23-792B-45BD-B7CB-EE6D32D562A9}"/>
    <cellStyle name="40% - Accent6 3 6 2 3" xfId="13504" xr:uid="{2E1C8CF4-0BFF-4BE6-95DD-BE3A6055F6B8}"/>
    <cellStyle name="40% - Accent6 3 6 3" xfId="6250" xr:uid="{00000000-0005-0000-0000-000056070000}"/>
    <cellStyle name="40% - Accent6 3 6 3 2" xfId="15576" xr:uid="{A8AAB398-EB80-4321-A2FF-3E70BA174922}"/>
    <cellStyle name="40% - Accent6 3 6 4" xfId="11359" xr:uid="{E0794236-1E7F-4481-845D-072DAF7CA4E3}"/>
    <cellStyle name="40% - Accent6 3 7" xfId="2357" xr:uid="{00000000-0005-0000-0000-000057070000}"/>
    <cellStyle name="40% - Accent6 3 7 2" xfId="6663" xr:uid="{00000000-0005-0000-0000-000058070000}"/>
    <cellStyle name="40% - Accent6 3 7 2 2" xfId="15989" xr:uid="{762D449B-9BB5-4648-8D16-B5FCF5EE2D7F}"/>
    <cellStyle name="40% - Accent6 3 7 3" xfId="11772" xr:uid="{17DEBC07-304A-4665-84D3-8F7AB5702A87}"/>
    <cellStyle name="40% - Accent6 3 8" xfId="4597" xr:uid="{00000000-0005-0000-0000-000059070000}"/>
    <cellStyle name="40% - Accent6 3 8 2" xfId="13923" xr:uid="{FBE6E4FB-C5B9-4841-A041-3FD20132AD8C}"/>
    <cellStyle name="40% - Accent6 3 9" xfId="8872" xr:uid="{E018AF0F-504E-4DED-BF70-CC97997D74E9}"/>
    <cellStyle name="40% - Accent6 3 9 2" xfId="18196" xr:uid="{13E35C3E-1F83-4AFD-8C1C-E5658F32B90C}"/>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2 2 2" xfId="16484" xr:uid="{4E90935A-5DD2-4EBD-B343-088BC9B551CE}"/>
    <cellStyle name="40% - Accent6 4 2 2 3" xfId="12267" xr:uid="{2E074FA7-8CE9-452E-BB0B-AE31529BAAA8}"/>
    <cellStyle name="40% - Accent6 4 2 3" xfId="5013" xr:uid="{00000000-0005-0000-0000-00005E070000}"/>
    <cellStyle name="40% - Accent6 4 2 3 2" xfId="14339" xr:uid="{4D9F2025-E028-41CD-8EB2-8E07CC028CFB}"/>
    <cellStyle name="40% - Accent6 4 2 4" xfId="9383" xr:uid="{07C7426F-B517-4815-A0BF-2BAE02B26B53}"/>
    <cellStyle name="40% - Accent6 4 2 4 2" xfId="18698" xr:uid="{47E1911A-F204-4FCE-A0BB-2D364D190B1E}"/>
    <cellStyle name="40% - Accent6 4 2 5" xfId="10122" xr:uid="{50C4549E-C514-4446-8A38-1BD6738BB68C}"/>
    <cellStyle name="40% - Accent6 4 3" xfId="1118" xr:uid="{00000000-0005-0000-0000-00005F070000}"/>
    <cellStyle name="40% - Accent6 4 3 2" xfId="3349" xr:uid="{00000000-0005-0000-0000-000060070000}"/>
    <cellStyle name="40% - Accent6 4 3 2 2" xfId="7571" xr:uid="{00000000-0005-0000-0000-000061070000}"/>
    <cellStyle name="40% - Accent6 4 3 2 2 2" xfId="16897" xr:uid="{DE89264A-03D7-494D-B810-3BCD8591D0CA}"/>
    <cellStyle name="40% - Accent6 4 3 2 3" xfId="12680" xr:uid="{E33AB994-2C19-4321-B4D5-8696E5A342E7}"/>
    <cellStyle name="40% - Accent6 4 3 3" xfId="5426" xr:uid="{00000000-0005-0000-0000-000062070000}"/>
    <cellStyle name="40% - Accent6 4 3 3 2" xfId="14752" xr:uid="{C52234AD-2DEE-44C0-90F0-47F4EB33CDDB}"/>
    <cellStyle name="40% - Accent6 4 3 4" xfId="10535" xr:uid="{55771083-3820-4A6B-A83C-F8E20DBAB9F4}"/>
    <cellStyle name="40% - Accent6 4 4" xfId="1532" xr:uid="{00000000-0005-0000-0000-000063070000}"/>
    <cellStyle name="40% - Accent6 4 4 2" xfId="3762" xr:uid="{00000000-0005-0000-0000-000064070000}"/>
    <cellStyle name="40% - Accent6 4 4 2 2" xfId="7984" xr:uid="{00000000-0005-0000-0000-000065070000}"/>
    <cellStyle name="40% - Accent6 4 4 2 2 2" xfId="17310" xr:uid="{76198898-C839-42F4-B72A-64FB4D76FE57}"/>
    <cellStyle name="40% - Accent6 4 4 2 3" xfId="13093" xr:uid="{73FDF570-1D55-4D3A-822D-15FF062A2948}"/>
    <cellStyle name="40% - Accent6 4 4 3" xfId="5839" xr:uid="{00000000-0005-0000-0000-000066070000}"/>
    <cellStyle name="40% - Accent6 4 4 3 2" xfId="15165" xr:uid="{9DE5ADC7-DCF3-4446-A624-ED65431E960D}"/>
    <cellStyle name="40% - Accent6 4 4 4" xfId="10948" xr:uid="{0F1AD5DA-55B0-4407-BA1B-D6A2574D3F77}"/>
    <cellStyle name="40% - Accent6 4 5" xfId="1946" xr:uid="{00000000-0005-0000-0000-000067070000}"/>
    <cellStyle name="40% - Accent6 4 5 2" xfId="4175" xr:uid="{00000000-0005-0000-0000-000068070000}"/>
    <cellStyle name="40% - Accent6 4 5 2 2" xfId="8397" xr:uid="{00000000-0005-0000-0000-000069070000}"/>
    <cellStyle name="40% - Accent6 4 5 2 2 2" xfId="17723" xr:uid="{A2066C36-8FB6-4389-AD88-EABED4D550A4}"/>
    <cellStyle name="40% - Accent6 4 5 2 3" xfId="13506" xr:uid="{DBA0AE10-E16D-467F-A0F5-4328BC9A563F}"/>
    <cellStyle name="40% - Accent6 4 5 3" xfId="6252" xr:uid="{00000000-0005-0000-0000-00006A070000}"/>
    <cellStyle name="40% - Accent6 4 5 3 2" xfId="15578" xr:uid="{D4F4E36C-796F-43B8-9D0A-E020ABEB0734}"/>
    <cellStyle name="40% - Accent6 4 5 4" xfId="11361" xr:uid="{3D734396-0B7C-42BE-ACC1-122A003B5236}"/>
    <cellStyle name="40% - Accent6 4 6" xfId="2359" xr:uid="{00000000-0005-0000-0000-00006B070000}"/>
    <cellStyle name="40% - Accent6 4 6 2" xfId="6665" xr:uid="{00000000-0005-0000-0000-00006C070000}"/>
    <cellStyle name="40% - Accent6 4 6 2 2" xfId="15991" xr:uid="{5337DA34-27F8-4463-9462-4A959C71AB37}"/>
    <cellStyle name="40% - Accent6 4 6 3" xfId="11774" xr:uid="{062D0372-0B33-4961-B57E-85434B376036}"/>
    <cellStyle name="40% - Accent6 4 7" xfId="4599" xr:uid="{00000000-0005-0000-0000-00006D070000}"/>
    <cellStyle name="40% - Accent6 4 7 2" xfId="13925" xr:uid="{747F73D8-E17E-4717-A467-C10342632995}"/>
    <cellStyle name="40% - Accent6 4 8" xfId="8958" xr:uid="{058203D5-6D6D-4106-8D68-93F66B236239}"/>
    <cellStyle name="40% - Accent6 4 8 2" xfId="18282" xr:uid="{7D0C0041-8FFA-4932-AAE4-5F7CAA332DCE}"/>
    <cellStyle name="40% - Accent6 4 9" xfId="9708" xr:uid="{D70B56E5-6825-4B5E-9A1D-BBDB1B6BC62E}"/>
    <cellStyle name="40% - Accent6 5" xfId="658" xr:uid="{00000000-0005-0000-0000-00006E070000}"/>
    <cellStyle name="40% - Accent6 5 2" xfId="2929" xr:uid="{00000000-0005-0000-0000-00006F070000}"/>
    <cellStyle name="40% - Accent6 5 2 2" xfId="7151" xr:uid="{00000000-0005-0000-0000-000070070000}"/>
    <cellStyle name="40% - Accent6 5 2 2 2" xfId="16477" xr:uid="{A8EDE3C7-199E-4030-B0AE-67D5AD37C5C3}"/>
    <cellStyle name="40% - Accent6 5 2 3" xfId="12260" xr:uid="{5AA13B6D-BA76-45C3-98AE-0553075C4658}"/>
    <cellStyle name="40% - Accent6 5 3" xfId="5006" xr:uid="{00000000-0005-0000-0000-000071070000}"/>
    <cellStyle name="40% - Accent6 5 3 2" xfId="14332" xr:uid="{85F49983-D9F1-44F8-B374-59645AB515AA}"/>
    <cellStyle name="40% - Accent6 5 4" xfId="9192" xr:uid="{19661A88-B46A-4EF9-A9F3-4BCF8E242108}"/>
    <cellStyle name="40% - Accent6 5 4 2" xfId="18509" xr:uid="{21196B51-3DD2-4328-A5E6-D33153B9DC63}"/>
    <cellStyle name="40% - Accent6 5 5" xfId="10115" xr:uid="{1C19330A-3197-4C26-9838-9729D0D65AC7}"/>
    <cellStyle name="40% - Accent6 6" xfId="1111" xr:uid="{00000000-0005-0000-0000-000072070000}"/>
    <cellStyle name="40% - Accent6 6 2" xfId="3342" xr:uid="{00000000-0005-0000-0000-000073070000}"/>
    <cellStyle name="40% - Accent6 6 2 2" xfId="7564" xr:uid="{00000000-0005-0000-0000-000074070000}"/>
    <cellStyle name="40% - Accent6 6 2 2 2" xfId="16890" xr:uid="{A743501D-642A-43C9-ACAD-D9DE4C51F000}"/>
    <cellStyle name="40% - Accent6 6 2 3" xfId="12673" xr:uid="{89A2842E-86CD-4472-857E-B2B8B7891D95}"/>
    <cellStyle name="40% - Accent6 6 3" xfId="5419" xr:uid="{00000000-0005-0000-0000-000075070000}"/>
    <cellStyle name="40% - Accent6 6 3 2" xfId="14745" xr:uid="{3F4F4B9F-A87B-44C1-B2E4-6F1C6E49749C}"/>
    <cellStyle name="40% - Accent6 6 4" xfId="10528" xr:uid="{BEC0DD97-9E2B-42B9-AD5B-0484B1595508}"/>
    <cellStyle name="40% - Accent6 7" xfId="1525" xr:uid="{00000000-0005-0000-0000-000076070000}"/>
    <cellStyle name="40% - Accent6 7 2" xfId="3755" xr:uid="{00000000-0005-0000-0000-000077070000}"/>
    <cellStyle name="40% - Accent6 7 2 2" xfId="7977" xr:uid="{00000000-0005-0000-0000-000078070000}"/>
    <cellStyle name="40% - Accent6 7 2 2 2" xfId="17303" xr:uid="{11F2506D-2E5A-4D8A-A3FF-3717E8E94DA5}"/>
    <cellStyle name="40% - Accent6 7 2 3" xfId="13086" xr:uid="{0530B9DA-F4C6-41B1-A255-99D279F7DC0B}"/>
    <cellStyle name="40% - Accent6 7 3" xfId="5832" xr:uid="{00000000-0005-0000-0000-000079070000}"/>
    <cellStyle name="40% - Accent6 7 3 2" xfId="15158" xr:uid="{039257F7-DF6B-45DA-9ECB-D07FCB5273D3}"/>
    <cellStyle name="40% - Accent6 7 4" xfId="10941" xr:uid="{88926B32-B2B0-4B99-90F6-456DD7D518A4}"/>
    <cellStyle name="40% - Accent6 8" xfId="1939" xr:uid="{00000000-0005-0000-0000-00007A070000}"/>
    <cellStyle name="40% - Accent6 8 2" xfId="4168" xr:uid="{00000000-0005-0000-0000-00007B070000}"/>
    <cellStyle name="40% - Accent6 8 2 2" xfId="8390" xr:uid="{00000000-0005-0000-0000-00007C070000}"/>
    <cellStyle name="40% - Accent6 8 2 2 2" xfId="17716" xr:uid="{BFB53E31-AE5A-49E8-985C-364DAE7BC15A}"/>
    <cellStyle name="40% - Accent6 8 2 3" xfId="13499" xr:uid="{FD3D2B10-4FC3-47D1-9D7F-13336B182BFF}"/>
    <cellStyle name="40% - Accent6 8 3" xfId="6245" xr:uid="{00000000-0005-0000-0000-00007D070000}"/>
    <cellStyle name="40% - Accent6 8 3 2" xfId="15571" xr:uid="{5AFC0132-DFA1-44D4-BBB5-8BD9DDFC309E}"/>
    <cellStyle name="40% - Accent6 8 4" xfId="11354" xr:uid="{472D2075-1682-47CB-B996-526812EEB99A}"/>
    <cellStyle name="40% - Accent6 9" xfId="2352" xr:uid="{00000000-0005-0000-0000-00007E070000}"/>
    <cellStyle name="40% - Accent6 9 2" xfId="6658" xr:uid="{00000000-0005-0000-0000-00007F070000}"/>
    <cellStyle name="40% - Accent6 9 2 2" xfId="15984" xr:uid="{4DD5FDF5-032E-4793-A6C2-5B5E5A5C0EA7}"/>
    <cellStyle name="40% - Accent6 9 3" xfId="11767" xr:uid="{ECA4F5B9-F9AB-4ABB-A94B-8BAA8BDA45DA}"/>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16309" xr:uid="{441B7519-3714-4CDB-B85C-2B7632F8FAAF}"/>
    <cellStyle name="Comma 4 2 2 2 10 3" xfId="12092" xr:uid="{76DFCEFE-8F4E-4035-B0E4-0D3522EC89CE}"/>
    <cellStyle name="Comma 4 2 2 2 11" xfId="4600" xr:uid="{00000000-0005-0000-0000-0000A3070000}"/>
    <cellStyle name="Comma 4 2 2 2 11 2" xfId="13926" xr:uid="{5C97C686-7653-4907-AD90-3F17AF385524}"/>
    <cellStyle name="Comma 4 2 2 2 12" xfId="8806" xr:uid="{6C773D0B-D2E3-4A8C-B041-8DA2843B9E25}"/>
    <cellStyle name="Comma 4 2 2 2 12 2" xfId="18130" xr:uid="{E5DCBCBC-0FCE-4530-B6DA-B415307F68DF}"/>
    <cellStyle name="Comma 4 2 2 2 13" xfId="9709" xr:uid="{C31E11B7-170B-4114-BE5C-52871DBE809E}"/>
    <cellStyle name="Comma 4 2 2 2 2" xfId="129" xr:uid="{00000000-0005-0000-0000-0000A4070000}"/>
    <cellStyle name="Comma 4 2 2 2 2 10" xfId="4601" xr:uid="{00000000-0005-0000-0000-0000A5070000}"/>
    <cellStyle name="Comma 4 2 2 2 2 10 2" xfId="13927" xr:uid="{D56AFA4B-DEA3-41F8-B63C-55E361E3B154}"/>
    <cellStyle name="Comma 4 2 2 2 2 11" xfId="8909" xr:uid="{477FCE05-1F49-4658-A03C-A8A5E7983C47}"/>
    <cellStyle name="Comma 4 2 2 2 2 11 2" xfId="18233" xr:uid="{5F61E321-92F9-4EED-8D90-34E383A162F3}"/>
    <cellStyle name="Comma 4 2 2 2 2 12" xfId="9710" xr:uid="{6F35C964-D36E-4A3C-8C1A-7BCEBC359495}"/>
    <cellStyle name="Comma 4 2 2 2 2 2" xfId="130" xr:uid="{00000000-0005-0000-0000-0000A6070000}"/>
    <cellStyle name="Comma 4 2 2 2 2 2 10" xfId="9116" xr:uid="{7A07505D-6B4C-4086-90B5-B5D345FB7611}"/>
    <cellStyle name="Comma 4 2 2 2 2 2 10 2" xfId="18440" xr:uid="{D5859869-AA10-45D1-9427-2E20D73B177B}"/>
    <cellStyle name="Comma 4 2 2 2 2 2 11" xfId="9711" xr:uid="{A6145EE8-BC27-460D-B525-2B0FADE9997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16487" xr:uid="{117F2FC8-D825-4E01-A7E6-65558E89BD37}"/>
    <cellStyle name="Comma 4 2 2 2 2 2 2 2 3" xfId="12270" xr:uid="{879C065C-26C9-435D-A73A-3251C26D85A1}"/>
    <cellStyle name="Comma 4 2 2 2 2 2 2 3" xfId="5016" xr:uid="{00000000-0005-0000-0000-0000AA070000}"/>
    <cellStyle name="Comma 4 2 2 2 2 2 2 3 2" xfId="14342" xr:uid="{3808848D-C742-426E-876C-0427B79054A2}"/>
    <cellStyle name="Comma 4 2 2 2 2 2 2 4" xfId="9541" xr:uid="{21DC771E-83A2-48BA-BE40-3E9E8454DE28}"/>
    <cellStyle name="Comma 4 2 2 2 2 2 2 4 2" xfId="18856" xr:uid="{9403C686-246E-492A-BB5D-3CBB127BC52E}"/>
    <cellStyle name="Comma 4 2 2 2 2 2 2 5" xfId="10125" xr:uid="{8D1035BD-15F6-4C3F-A034-2279C5D3E049}"/>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16900" xr:uid="{8EEEFD7A-5A88-4685-8A13-95CE38A77CDF}"/>
    <cellStyle name="Comma 4 2 2 2 2 2 3 2 3" xfId="12683" xr:uid="{EA27057D-6755-48DC-9823-609890DFA29D}"/>
    <cellStyle name="Comma 4 2 2 2 2 2 3 3" xfId="5429" xr:uid="{00000000-0005-0000-0000-0000AE070000}"/>
    <cellStyle name="Comma 4 2 2 2 2 2 3 3 2" xfId="14755" xr:uid="{EAFD73DE-0F3F-4021-A05D-8F02F601962A}"/>
    <cellStyle name="Comma 4 2 2 2 2 2 3 4" xfId="10538" xr:uid="{12D616DE-F900-4F92-B78D-9C1FE35B1ECB}"/>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17313" xr:uid="{7BD3E5A1-9776-4D59-96C2-5D05F2B75C5A}"/>
    <cellStyle name="Comma 4 2 2 2 2 2 4 2 3" xfId="13096" xr:uid="{7AC2D7D7-D606-4958-A5B1-B5FEC0C6EC23}"/>
    <cellStyle name="Comma 4 2 2 2 2 2 4 3" xfId="5842" xr:uid="{00000000-0005-0000-0000-0000B2070000}"/>
    <cellStyle name="Comma 4 2 2 2 2 2 4 3 2" xfId="15168" xr:uid="{AF1E47AE-59A5-4EAE-87B2-B7A6437537B8}"/>
    <cellStyle name="Comma 4 2 2 2 2 2 4 4" xfId="10951" xr:uid="{776C0B14-DDF7-4BCC-9595-8F80DC0EFC6D}"/>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17726" xr:uid="{97DDD765-3766-4BB7-8E68-15B8BBDD2375}"/>
    <cellStyle name="Comma 4 2 2 2 2 2 5 2 3" xfId="13509" xr:uid="{E7AD582C-370A-4CE5-839E-46E43A123208}"/>
    <cellStyle name="Comma 4 2 2 2 2 2 5 3" xfId="6255" xr:uid="{00000000-0005-0000-0000-0000B6070000}"/>
    <cellStyle name="Comma 4 2 2 2 2 2 5 3 2" xfId="15581" xr:uid="{64783682-19DE-41BB-91C2-A5CC69E4EF8B}"/>
    <cellStyle name="Comma 4 2 2 2 2 2 5 4" xfId="11364" xr:uid="{CB5E3A0E-CE17-436F-8AD2-7B1FD54675D0}"/>
    <cellStyle name="Comma 4 2 2 2 2 2 6" xfId="2384" xr:uid="{00000000-0005-0000-0000-0000B7070000}"/>
    <cellStyle name="Comma 4 2 2 2 2 2 6 2" xfId="6668" xr:uid="{00000000-0005-0000-0000-0000B8070000}"/>
    <cellStyle name="Comma 4 2 2 2 2 2 6 2 2" xfId="15994" xr:uid="{AF8105AF-37FE-4521-A8E3-F5A09E32EEEE}"/>
    <cellStyle name="Comma 4 2 2 2 2 2 6 3" xfId="11777" xr:uid="{7848E9B4-C240-469C-9E20-603B7EA23DE0}"/>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16311" xr:uid="{470165FD-E4EC-42FF-87FE-D7917FE8AAAC}"/>
    <cellStyle name="Comma 4 2 2 2 2 2 8 3" xfId="12094" xr:uid="{1D7C359B-0041-49FB-8AA0-DE0CB36F3049}"/>
    <cellStyle name="Comma 4 2 2 2 2 2 9" xfId="4602" xr:uid="{00000000-0005-0000-0000-0000BC070000}"/>
    <cellStyle name="Comma 4 2 2 2 2 2 9 2" xfId="13928" xr:uid="{24B7023C-DA3F-415F-AFCE-6D07CC8F944F}"/>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16486" xr:uid="{F76D4E29-040A-40EF-AF94-5DC2A919141D}"/>
    <cellStyle name="Comma 4 2 2 2 2 3 2 3" xfId="12269" xr:uid="{2425FB5E-0FF4-454D-BE74-89C351609CCB}"/>
    <cellStyle name="Comma 4 2 2 2 2 3 3" xfId="5015" xr:uid="{00000000-0005-0000-0000-0000C0070000}"/>
    <cellStyle name="Comma 4 2 2 2 2 3 3 2" xfId="14341" xr:uid="{1B5EDF33-53FB-4469-9A89-35CA5FDEA553}"/>
    <cellStyle name="Comma 4 2 2 2 2 3 4" xfId="9334" xr:uid="{50E8807F-6450-4082-BD30-0A86C2E78D0E}"/>
    <cellStyle name="Comma 4 2 2 2 2 3 4 2" xfId="18649" xr:uid="{6985B066-9095-42E9-A77B-7D9486E4BFAF}"/>
    <cellStyle name="Comma 4 2 2 2 2 3 5" xfId="10124" xr:uid="{C588C63B-841D-43DA-A113-4A2FBD19AF5C}"/>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16899" xr:uid="{AF96A6FE-3DF6-456A-BD11-1499AA9829F9}"/>
    <cellStyle name="Comma 4 2 2 2 2 4 2 3" xfId="12682" xr:uid="{E84ADE44-AC40-4077-B456-74F13719073E}"/>
    <cellStyle name="Comma 4 2 2 2 2 4 3" xfId="5428" xr:uid="{00000000-0005-0000-0000-0000C4070000}"/>
    <cellStyle name="Comma 4 2 2 2 2 4 3 2" xfId="14754" xr:uid="{579BC25A-0D1D-4461-8064-396FE0519D02}"/>
    <cellStyle name="Comma 4 2 2 2 2 4 4" xfId="10537" xr:uid="{8DEBBBC2-14AF-45CC-9553-10DED24EA069}"/>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17312" xr:uid="{5665D718-4E5F-4C6A-9A7C-D2CA0DEBD45E}"/>
    <cellStyle name="Comma 4 2 2 2 2 5 2 3" xfId="13095" xr:uid="{45912AAE-B85E-4CF2-9294-F5AFBF318278}"/>
    <cellStyle name="Comma 4 2 2 2 2 5 3" xfId="5841" xr:uid="{00000000-0005-0000-0000-0000C8070000}"/>
    <cellStyle name="Comma 4 2 2 2 2 5 3 2" xfId="15167" xr:uid="{90511326-1FA7-4185-9101-7553FE351BF8}"/>
    <cellStyle name="Comma 4 2 2 2 2 5 4" xfId="10950" xr:uid="{982CD855-6278-4CE1-A56B-16912AFDA84F}"/>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17725" xr:uid="{DF240FBD-0C29-49D3-9BB2-0289A88E48A1}"/>
    <cellStyle name="Comma 4 2 2 2 2 6 2 3" xfId="13508" xr:uid="{1064F02E-184D-4516-B2AC-C69B8F7E1450}"/>
    <cellStyle name="Comma 4 2 2 2 2 6 3" xfId="6254" xr:uid="{00000000-0005-0000-0000-0000CC070000}"/>
    <cellStyle name="Comma 4 2 2 2 2 6 3 2" xfId="15580" xr:uid="{47D44C86-AE22-4222-8113-C8AD0EE9D785}"/>
    <cellStyle name="Comma 4 2 2 2 2 6 4" xfId="11363" xr:uid="{FFBCECF1-3A7B-4482-89FA-91D8CA3620C0}"/>
    <cellStyle name="Comma 4 2 2 2 2 7" xfId="2383" xr:uid="{00000000-0005-0000-0000-0000CD070000}"/>
    <cellStyle name="Comma 4 2 2 2 2 7 2" xfId="6667" xr:uid="{00000000-0005-0000-0000-0000CE070000}"/>
    <cellStyle name="Comma 4 2 2 2 2 7 2 2" xfId="15993" xr:uid="{74078669-C0B3-4B68-96A2-17F84C07F5B7}"/>
    <cellStyle name="Comma 4 2 2 2 2 7 3" xfId="11776" xr:uid="{B32FBEB7-2C84-4631-861F-5C87AFF40181}"/>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16310" xr:uid="{593C72A7-5F6F-4BDA-A8CA-FBBB8FE52DAE}"/>
    <cellStyle name="Comma 4 2 2 2 2 9 3" xfId="12093" xr:uid="{45454583-CF80-4D05-9DA3-CE276ABC5BD1}"/>
    <cellStyle name="Comma 4 2 2 2 3" xfId="131" xr:uid="{00000000-0005-0000-0000-0000D2070000}"/>
    <cellStyle name="Comma 4 2 2 2 3 10" xfId="9013" xr:uid="{D7491CA1-A7A0-4099-A659-9FB418CDDACA}"/>
    <cellStyle name="Comma 4 2 2 2 3 10 2" xfId="18337" xr:uid="{A0324DE7-771A-47FC-934E-EE0DB39F7BE7}"/>
    <cellStyle name="Comma 4 2 2 2 3 11" xfId="9712" xr:uid="{63203641-3456-4DEB-8DAB-25F33634D4CB}"/>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16488" xr:uid="{CB41D491-F8A9-4AAD-A288-73955FA2BEB3}"/>
    <cellStyle name="Comma 4 2 2 2 3 2 2 3" xfId="12271" xr:uid="{3CC15D14-B7D9-4C2B-8E96-9CC6E82163E3}"/>
    <cellStyle name="Comma 4 2 2 2 3 2 3" xfId="5017" xr:uid="{00000000-0005-0000-0000-0000D6070000}"/>
    <cellStyle name="Comma 4 2 2 2 3 2 3 2" xfId="14343" xr:uid="{23002057-1878-406C-A9DB-DF33393B9673}"/>
    <cellStyle name="Comma 4 2 2 2 3 2 4" xfId="9438" xr:uid="{8E9C4341-814A-43D1-8D35-8CCC512A2E32}"/>
    <cellStyle name="Comma 4 2 2 2 3 2 4 2" xfId="18753" xr:uid="{C09F0F76-76A5-4A46-A71D-174B7DF69AA5}"/>
    <cellStyle name="Comma 4 2 2 2 3 2 5" xfId="10126" xr:uid="{A1249E91-4EDB-40CB-B4B2-018A05CD28A9}"/>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16901" xr:uid="{099D65D9-3508-450B-8747-20E74580D402}"/>
    <cellStyle name="Comma 4 2 2 2 3 3 2 3" xfId="12684" xr:uid="{80B9708E-A3BA-4D8A-BBD2-0BB4855B0E27}"/>
    <cellStyle name="Comma 4 2 2 2 3 3 3" xfId="5430" xr:uid="{00000000-0005-0000-0000-0000DA070000}"/>
    <cellStyle name="Comma 4 2 2 2 3 3 3 2" xfId="14756" xr:uid="{849A27AF-276A-4DE0-8C76-1BF70E28E24C}"/>
    <cellStyle name="Comma 4 2 2 2 3 3 4" xfId="10539" xr:uid="{60D9E5B3-FEB9-45C5-BCD9-4A7CEE3A7CED}"/>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17314" xr:uid="{CC4599F5-E766-449C-9697-25498EC86812}"/>
    <cellStyle name="Comma 4 2 2 2 3 4 2 3" xfId="13097" xr:uid="{84F36CE5-3EB9-421B-A918-32535F012E6E}"/>
    <cellStyle name="Comma 4 2 2 2 3 4 3" xfId="5843" xr:uid="{00000000-0005-0000-0000-0000DE070000}"/>
    <cellStyle name="Comma 4 2 2 2 3 4 3 2" xfId="15169" xr:uid="{817D3CE4-7277-463F-B527-621E9C254319}"/>
    <cellStyle name="Comma 4 2 2 2 3 4 4" xfId="10952" xr:uid="{CD401D64-AC63-432E-8568-51BEFCEC5B30}"/>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17727" xr:uid="{8A3AE31C-D627-450C-88B6-087EC9A8E3CC}"/>
    <cellStyle name="Comma 4 2 2 2 3 5 2 3" xfId="13510" xr:uid="{9325DD5C-29BF-422F-87E6-448ACA442970}"/>
    <cellStyle name="Comma 4 2 2 2 3 5 3" xfId="6256" xr:uid="{00000000-0005-0000-0000-0000E2070000}"/>
    <cellStyle name="Comma 4 2 2 2 3 5 3 2" xfId="15582" xr:uid="{27D8A192-ACA0-467C-94B7-D0CFE4243C4B}"/>
    <cellStyle name="Comma 4 2 2 2 3 5 4" xfId="11365" xr:uid="{F0F49290-EFDA-45DF-BC9C-91199ADDD878}"/>
    <cellStyle name="Comma 4 2 2 2 3 6" xfId="2385" xr:uid="{00000000-0005-0000-0000-0000E3070000}"/>
    <cellStyle name="Comma 4 2 2 2 3 6 2" xfId="6669" xr:uid="{00000000-0005-0000-0000-0000E4070000}"/>
    <cellStyle name="Comma 4 2 2 2 3 6 2 2" xfId="15995" xr:uid="{B7B3C5F5-AA3E-419D-9CA6-36A25D13462C}"/>
    <cellStyle name="Comma 4 2 2 2 3 6 3" xfId="11778" xr:uid="{16524DAA-010B-4EC5-AB88-36F5F96D57DB}"/>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16312" xr:uid="{A6C901F7-2A71-490B-BF93-D24013877E9D}"/>
    <cellStyle name="Comma 4 2 2 2 3 8 3" xfId="12095" xr:uid="{4D17603D-D0C3-40FA-8041-06799485D382}"/>
    <cellStyle name="Comma 4 2 2 2 3 9" xfId="4603" xr:uid="{00000000-0005-0000-0000-0000E8070000}"/>
    <cellStyle name="Comma 4 2 2 2 3 9 2" xfId="13929" xr:uid="{C9550CE6-A69A-4429-8E11-8DBA693C4EE9}"/>
    <cellStyle name="Comma 4 2 2 2 4" xfId="666" xr:uid="{00000000-0005-0000-0000-0000E9070000}"/>
    <cellStyle name="Comma 4 2 2 2 4 2" xfId="2937" xr:uid="{00000000-0005-0000-0000-0000EA070000}"/>
    <cellStyle name="Comma 4 2 2 2 4 2 2" xfId="7159" xr:uid="{00000000-0005-0000-0000-0000EB070000}"/>
    <cellStyle name="Comma 4 2 2 2 4 2 2 2" xfId="16485" xr:uid="{BC06CC73-795D-4328-A25F-11FBB5001027}"/>
    <cellStyle name="Comma 4 2 2 2 4 2 3" xfId="12268" xr:uid="{70D9FEF1-5C95-43FD-B057-6757AC72CA94}"/>
    <cellStyle name="Comma 4 2 2 2 4 3" xfId="5014" xr:uid="{00000000-0005-0000-0000-0000EC070000}"/>
    <cellStyle name="Comma 4 2 2 2 4 3 2" xfId="14340" xr:uid="{F7FD48A7-6EB3-4E55-BC17-E4AB4EEDC2D4}"/>
    <cellStyle name="Comma 4 2 2 2 4 4" xfId="9231" xr:uid="{31DAC97A-9492-467B-9850-183797A56FBE}"/>
    <cellStyle name="Comma 4 2 2 2 4 4 2" xfId="18546" xr:uid="{F6A9992C-7C53-4322-8F5F-B28EFA75B271}"/>
    <cellStyle name="Comma 4 2 2 2 4 5" xfId="10123" xr:uid="{83124D19-39B4-4E99-8BAF-D0DED8E85234}"/>
    <cellStyle name="Comma 4 2 2 2 5" xfId="1119" xr:uid="{00000000-0005-0000-0000-0000ED070000}"/>
    <cellStyle name="Comma 4 2 2 2 5 2" xfId="3350" xr:uid="{00000000-0005-0000-0000-0000EE070000}"/>
    <cellStyle name="Comma 4 2 2 2 5 2 2" xfId="7572" xr:uid="{00000000-0005-0000-0000-0000EF070000}"/>
    <cellStyle name="Comma 4 2 2 2 5 2 2 2" xfId="16898" xr:uid="{502A9F16-DB87-4ECF-A36F-A6EDFBAF9EAB}"/>
    <cellStyle name="Comma 4 2 2 2 5 2 3" xfId="12681" xr:uid="{588E63E7-8817-468D-8CE2-47852776FF6D}"/>
    <cellStyle name="Comma 4 2 2 2 5 3" xfId="5427" xr:uid="{00000000-0005-0000-0000-0000F0070000}"/>
    <cellStyle name="Comma 4 2 2 2 5 3 2" xfId="14753" xr:uid="{D0992F85-854A-486C-AAE7-0316C215A3E6}"/>
    <cellStyle name="Comma 4 2 2 2 5 4" xfId="10536" xr:uid="{C1AD8095-D661-4C2F-A2EF-62FD121DCA7B}"/>
    <cellStyle name="Comma 4 2 2 2 6" xfId="1533" xr:uid="{00000000-0005-0000-0000-0000F1070000}"/>
    <cellStyle name="Comma 4 2 2 2 6 2" xfId="3763" xr:uid="{00000000-0005-0000-0000-0000F2070000}"/>
    <cellStyle name="Comma 4 2 2 2 6 2 2" xfId="7985" xr:uid="{00000000-0005-0000-0000-0000F3070000}"/>
    <cellStyle name="Comma 4 2 2 2 6 2 2 2" xfId="17311" xr:uid="{ABE85DE7-C1DD-460C-8BA2-08AB5A495835}"/>
    <cellStyle name="Comma 4 2 2 2 6 2 3" xfId="13094" xr:uid="{D18E3BB0-A50E-4477-99FD-2159425299D5}"/>
    <cellStyle name="Comma 4 2 2 2 6 3" xfId="5840" xr:uid="{00000000-0005-0000-0000-0000F4070000}"/>
    <cellStyle name="Comma 4 2 2 2 6 3 2" xfId="15166" xr:uid="{68160C6D-0506-4B74-A76C-A5326B1D51E4}"/>
    <cellStyle name="Comma 4 2 2 2 6 4" xfId="10949" xr:uid="{C000E86E-4391-4DFF-9530-CB0BC68A2FB7}"/>
    <cellStyle name="Comma 4 2 2 2 7" xfId="1947" xr:uid="{00000000-0005-0000-0000-0000F5070000}"/>
    <cellStyle name="Comma 4 2 2 2 7 2" xfId="4176" xr:uid="{00000000-0005-0000-0000-0000F6070000}"/>
    <cellStyle name="Comma 4 2 2 2 7 2 2" xfId="8398" xr:uid="{00000000-0005-0000-0000-0000F7070000}"/>
    <cellStyle name="Comma 4 2 2 2 7 2 2 2" xfId="17724" xr:uid="{7E1754E2-0E5C-4A51-A2A0-5B0B77F12CC2}"/>
    <cellStyle name="Comma 4 2 2 2 7 2 3" xfId="13507" xr:uid="{63100587-012E-4C3E-BA68-6474D9B10F79}"/>
    <cellStyle name="Comma 4 2 2 2 7 3" xfId="6253" xr:uid="{00000000-0005-0000-0000-0000F8070000}"/>
    <cellStyle name="Comma 4 2 2 2 7 3 2" xfId="15579" xr:uid="{D40E8AC8-5200-4A30-A5E8-2779EF1F5A53}"/>
    <cellStyle name="Comma 4 2 2 2 7 4" xfId="11362" xr:uid="{855D61C2-17AA-48B2-AFC1-1D504E0D1C2C}"/>
    <cellStyle name="Comma 4 2 2 2 8" xfId="2382" xr:uid="{00000000-0005-0000-0000-0000F9070000}"/>
    <cellStyle name="Comma 4 2 2 2 8 2" xfId="6666" xr:uid="{00000000-0005-0000-0000-0000FA070000}"/>
    <cellStyle name="Comma 4 2 2 2 8 2 2" xfId="15992" xr:uid="{B1AB6375-33A8-408E-98DC-10860FD0BC6D}"/>
    <cellStyle name="Comma 4 2 2 2 8 3" xfId="11775" xr:uid="{B08A7308-A91C-4C30-8B2F-440AA1302677}"/>
    <cellStyle name="Comma 4 2 2 2 9" xfId="2381" xr:uid="{00000000-0005-0000-0000-0000FB070000}"/>
    <cellStyle name="Comma 4 2 2 3" xfId="132" xr:uid="{00000000-0005-0000-0000-0000FC070000}"/>
    <cellStyle name="Comma 4 2 2 3 10" xfId="4604" xr:uid="{00000000-0005-0000-0000-0000FD070000}"/>
    <cellStyle name="Comma 4 2 2 3 10 2" xfId="13930" xr:uid="{EE6BA3B9-36D7-455A-8589-E4964B895E0D}"/>
    <cellStyle name="Comma 4 2 2 3 11" xfId="8889" xr:uid="{93813409-C042-4436-8561-B0237A135E7D}"/>
    <cellStyle name="Comma 4 2 2 3 11 2" xfId="18213" xr:uid="{0671437D-0AA1-4F52-88A4-AB465AE57702}"/>
    <cellStyle name="Comma 4 2 2 3 12" xfId="9713" xr:uid="{3F9ECB94-1513-45F8-BCD2-D68323CB2638}"/>
    <cellStyle name="Comma 4 2 2 3 2" xfId="133" xr:uid="{00000000-0005-0000-0000-0000FE070000}"/>
    <cellStyle name="Comma 4 2 2 3 2 10" xfId="9096" xr:uid="{C395B6CC-7E3E-452B-B5AB-BBF992A45CEB}"/>
    <cellStyle name="Comma 4 2 2 3 2 10 2" xfId="18420" xr:uid="{3BB71539-D838-4319-8562-8DC635948AC4}"/>
    <cellStyle name="Comma 4 2 2 3 2 11" xfId="9714" xr:uid="{265AE634-FB0C-48ED-A24D-B63F50ABE341}"/>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16490" xr:uid="{C3B0CA11-D5A3-4A64-91A2-E81D51D97EE0}"/>
    <cellStyle name="Comma 4 2 2 3 2 2 2 3" xfId="12273" xr:uid="{93200315-9A3F-4D17-AF89-7B26D1743996}"/>
    <cellStyle name="Comma 4 2 2 3 2 2 3" xfId="5019" xr:uid="{00000000-0005-0000-0000-000002080000}"/>
    <cellStyle name="Comma 4 2 2 3 2 2 3 2" xfId="14345" xr:uid="{B75F01CF-84E7-49DB-A00F-0503E90144A5}"/>
    <cellStyle name="Comma 4 2 2 3 2 2 4" xfId="9521" xr:uid="{8F14F654-C711-4E70-8A06-71F68E70E2E0}"/>
    <cellStyle name="Comma 4 2 2 3 2 2 4 2" xfId="18836" xr:uid="{8FDBCAFC-714A-423F-A1B9-27B7DE65956A}"/>
    <cellStyle name="Comma 4 2 2 3 2 2 5" xfId="10128" xr:uid="{0AAEF27A-1361-4A06-9181-8EC838928B08}"/>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16903" xr:uid="{C7235E5D-DC73-402F-80F7-54C8655310EE}"/>
    <cellStyle name="Comma 4 2 2 3 2 3 2 3" xfId="12686" xr:uid="{E6161333-B96B-4721-9B04-7B84B327E7A7}"/>
    <cellStyle name="Comma 4 2 2 3 2 3 3" xfId="5432" xr:uid="{00000000-0005-0000-0000-000006080000}"/>
    <cellStyle name="Comma 4 2 2 3 2 3 3 2" xfId="14758" xr:uid="{C696C52A-7BD2-4A21-9D75-9B1930ECD8B6}"/>
    <cellStyle name="Comma 4 2 2 3 2 3 4" xfId="10541" xr:uid="{AAEA5773-A5B2-4021-9C08-BB32E2E3346B}"/>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17316" xr:uid="{A0E5D60C-5A3E-4C1C-B490-B7D080097ECE}"/>
    <cellStyle name="Comma 4 2 2 3 2 4 2 3" xfId="13099" xr:uid="{09D051BB-9362-4320-9A54-FA315E587D4C}"/>
    <cellStyle name="Comma 4 2 2 3 2 4 3" xfId="5845" xr:uid="{00000000-0005-0000-0000-00000A080000}"/>
    <cellStyle name="Comma 4 2 2 3 2 4 3 2" xfId="15171" xr:uid="{265DE080-B3F6-4360-8305-DAC4B3F3147B}"/>
    <cellStyle name="Comma 4 2 2 3 2 4 4" xfId="10954" xr:uid="{35D72E43-27ED-440E-925C-A0AA55EE09D0}"/>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17729" xr:uid="{E874AD99-89E8-412C-8CA3-914A7CC3ACB3}"/>
    <cellStyle name="Comma 4 2 2 3 2 5 2 3" xfId="13512" xr:uid="{6A4D82C5-B35A-47A1-8BDF-64CD305E589E}"/>
    <cellStyle name="Comma 4 2 2 3 2 5 3" xfId="6258" xr:uid="{00000000-0005-0000-0000-00000E080000}"/>
    <cellStyle name="Comma 4 2 2 3 2 5 3 2" xfId="15584" xr:uid="{8BE34514-32E0-47DF-8212-4C58249879E6}"/>
    <cellStyle name="Comma 4 2 2 3 2 5 4" xfId="11367" xr:uid="{D6465ED6-C200-4E16-8324-25F33E3E7FD6}"/>
    <cellStyle name="Comma 4 2 2 3 2 6" xfId="2387" xr:uid="{00000000-0005-0000-0000-00000F080000}"/>
    <cellStyle name="Comma 4 2 2 3 2 6 2" xfId="6671" xr:uid="{00000000-0005-0000-0000-000010080000}"/>
    <cellStyle name="Comma 4 2 2 3 2 6 2 2" xfId="15997" xr:uid="{23A14E2D-363C-4D08-8F7D-7A2720FC5050}"/>
    <cellStyle name="Comma 4 2 2 3 2 6 3" xfId="11780" xr:uid="{B16EA2EF-BB42-445F-8E57-630ADE05B137}"/>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16314" xr:uid="{0A7C18F9-00A7-4804-AAC1-CDFA7650A35B}"/>
    <cellStyle name="Comma 4 2 2 3 2 8 3" xfId="12097" xr:uid="{5AD4459D-A5CD-4F50-87BE-A28C3A7C1062}"/>
    <cellStyle name="Comma 4 2 2 3 2 9" xfId="4605" xr:uid="{00000000-0005-0000-0000-000014080000}"/>
    <cellStyle name="Comma 4 2 2 3 2 9 2" xfId="13931" xr:uid="{FCDD3B39-BA62-4BC6-BEFB-9646341197A0}"/>
    <cellStyle name="Comma 4 2 2 3 3" xfId="670" xr:uid="{00000000-0005-0000-0000-000015080000}"/>
    <cellStyle name="Comma 4 2 2 3 3 2" xfId="2941" xr:uid="{00000000-0005-0000-0000-000016080000}"/>
    <cellStyle name="Comma 4 2 2 3 3 2 2" xfId="7163" xr:uid="{00000000-0005-0000-0000-000017080000}"/>
    <cellStyle name="Comma 4 2 2 3 3 2 2 2" xfId="16489" xr:uid="{12860F18-C15F-4155-A840-F264BFB9C809}"/>
    <cellStyle name="Comma 4 2 2 3 3 2 3" xfId="12272" xr:uid="{F1C3E946-4D77-48DF-9323-3141D8A4BE9C}"/>
    <cellStyle name="Comma 4 2 2 3 3 3" xfId="5018" xr:uid="{00000000-0005-0000-0000-000018080000}"/>
    <cellStyle name="Comma 4 2 2 3 3 3 2" xfId="14344" xr:uid="{C911266A-E7D9-4692-B6F2-9FB2B986D44E}"/>
    <cellStyle name="Comma 4 2 2 3 3 4" xfId="9314" xr:uid="{A74197AE-1229-40FC-8212-8FB289D74FF6}"/>
    <cellStyle name="Comma 4 2 2 3 3 4 2" xfId="18629" xr:uid="{05AC30DF-506F-4345-839F-D372E2A16299}"/>
    <cellStyle name="Comma 4 2 2 3 3 5" xfId="10127" xr:uid="{F41ADDFC-C23F-4D00-ABE2-F897B92577CE}"/>
    <cellStyle name="Comma 4 2 2 3 4" xfId="1123" xr:uid="{00000000-0005-0000-0000-000019080000}"/>
    <cellStyle name="Comma 4 2 2 3 4 2" xfId="3354" xr:uid="{00000000-0005-0000-0000-00001A080000}"/>
    <cellStyle name="Comma 4 2 2 3 4 2 2" xfId="7576" xr:uid="{00000000-0005-0000-0000-00001B080000}"/>
    <cellStyle name="Comma 4 2 2 3 4 2 2 2" xfId="16902" xr:uid="{A101579D-3989-43A8-9FCF-029823F3D561}"/>
    <cellStyle name="Comma 4 2 2 3 4 2 3" xfId="12685" xr:uid="{86751EA6-B51A-4FA2-8097-D804A742A993}"/>
    <cellStyle name="Comma 4 2 2 3 4 3" xfId="5431" xr:uid="{00000000-0005-0000-0000-00001C080000}"/>
    <cellStyle name="Comma 4 2 2 3 4 3 2" xfId="14757" xr:uid="{0492EBD6-F602-41E0-97C4-FBE5DC27DC3F}"/>
    <cellStyle name="Comma 4 2 2 3 4 4" xfId="10540" xr:uid="{C0151CC2-798A-4FCD-85F6-C28F3C005026}"/>
    <cellStyle name="Comma 4 2 2 3 5" xfId="1537" xr:uid="{00000000-0005-0000-0000-00001D080000}"/>
    <cellStyle name="Comma 4 2 2 3 5 2" xfId="3767" xr:uid="{00000000-0005-0000-0000-00001E080000}"/>
    <cellStyle name="Comma 4 2 2 3 5 2 2" xfId="7989" xr:uid="{00000000-0005-0000-0000-00001F080000}"/>
    <cellStyle name="Comma 4 2 2 3 5 2 2 2" xfId="17315" xr:uid="{1C37CF6B-9779-4BE8-A3E7-2FFDAFB3E188}"/>
    <cellStyle name="Comma 4 2 2 3 5 2 3" xfId="13098" xr:uid="{6AFDA2A6-5A33-49EC-A6BF-364484BA4E18}"/>
    <cellStyle name="Comma 4 2 2 3 5 3" xfId="5844" xr:uid="{00000000-0005-0000-0000-000020080000}"/>
    <cellStyle name="Comma 4 2 2 3 5 3 2" xfId="15170" xr:uid="{C306B8B5-77A1-4761-BEB9-8D8C9F43A68B}"/>
    <cellStyle name="Comma 4 2 2 3 5 4" xfId="10953" xr:uid="{C7D3C102-B565-4F74-84B6-EA5E0F407791}"/>
    <cellStyle name="Comma 4 2 2 3 6" xfId="1951" xr:uid="{00000000-0005-0000-0000-000021080000}"/>
    <cellStyle name="Comma 4 2 2 3 6 2" xfId="4180" xr:uid="{00000000-0005-0000-0000-000022080000}"/>
    <cellStyle name="Comma 4 2 2 3 6 2 2" xfId="8402" xr:uid="{00000000-0005-0000-0000-000023080000}"/>
    <cellStyle name="Comma 4 2 2 3 6 2 2 2" xfId="17728" xr:uid="{FC3ADD3B-3F45-4ED7-AE68-74D6E7A89394}"/>
    <cellStyle name="Comma 4 2 2 3 6 2 3" xfId="13511" xr:uid="{414FA297-A605-4485-84DC-5DD4C3910B40}"/>
    <cellStyle name="Comma 4 2 2 3 6 3" xfId="6257" xr:uid="{00000000-0005-0000-0000-000024080000}"/>
    <cellStyle name="Comma 4 2 2 3 6 3 2" xfId="15583" xr:uid="{BA61752F-9849-4461-9621-756EE5A504B1}"/>
    <cellStyle name="Comma 4 2 2 3 6 4" xfId="11366" xr:uid="{F9E6DF96-3ACF-467A-BCAC-FD51203B4E00}"/>
    <cellStyle name="Comma 4 2 2 3 7" xfId="2386" xr:uid="{00000000-0005-0000-0000-000025080000}"/>
    <cellStyle name="Comma 4 2 2 3 7 2" xfId="6670" xr:uid="{00000000-0005-0000-0000-000026080000}"/>
    <cellStyle name="Comma 4 2 2 3 7 2 2" xfId="15996" xr:uid="{2F768B87-7A75-4ED7-A681-BC91998BFC1B}"/>
    <cellStyle name="Comma 4 2 2 3 7 3" xfId="11779" xr:uid="{FC866366-6ADD-4A73-87A0-ABB6BBA87158}"/>
    <cellStyle name="Comma 4 2 2 3 8" xfId="2377" xr:uid="{00000000-0005-0000-0000-000027080000}"/>
    <cellStyle name="Comma 4 2 2 3 9" xfId="2764" xr:uid="{00000000-0005-0000-0000-000028080000}"/>
    <cellStyle name="Comma 4 2 2 3 9 2" xfId="6987" xr:uid="{00000000-0005-0000-0000-000029080000}"/>
    <cellStyle name="Comma 4 2 2 3 9 2 2" xfId="16313" xr:uid="{D1E45000-C8AE-4CF9-904A-7FEF1942A4EB}"/>
    <cellStyle name="Comma 4 2 2 3 9 3" xfId="12096" xr:uid="{5EB83B10-5178-41DA-8B87-6FC671DBBC54}"/>
    <cellStyle name="Comma 4 2 2 4" xfId="134" xr:uid="{00000000-0005-0000-0000-00002A080000}"/>
    <cellStyle name="Comma 4 2 2 4 10" xfId="8993" xr:uid="{2969CB69-37C4-4C43-BC9D-87F92556F829}"/>
    <cellStyle name="Comma 4 2 2 4 10 2" xfId="18317" xr:uid="{7BB97639-8722-48EA-BCD1-6DAC34D7CBF1}"/>
    <cellStyle name="Comma 4 2 2 4 11" xfId="9715" xr:uid="{21F97FEE-4939-49AB-B22D-95C423B2B2B4}"/>
    <cellStyle name="Comma 4 2 2 4 2" xfId="672" xr:uid="{00000000-0005-0000-0000-00002B080000}"/>
    <cellStyle name="Comma 4 2 2 4 2 2" xfId="2943" xr:uid="{00000000-0005-0000-0000-00002C080000}"/>
    <cellStyle name="Comma 4 2 2 4 2 2 2" xfId="7165" xr:uid="{00000000-0005-0000-0000-00002D080000}"/>
    <cellStyle name="Comma 4 2 2 4 2 2 2 2" xfId="16491" xr:uid="{B9A6E597-89E1-49D6-9685-5BD9003D6D34}"/>
    <cellStyle name="Comma 4 2 2 4 2 2 3" xfId="12274" xr:uid="{372E7377-B7A5-4AED-A325-0FE098D1CB47}"/>
    <cellStyle name="Comma 4 2 2 4 2 3" xfId="5020" xr:uid="{00000000-0005-0000-0000-00002E080000}"/>
    <cellStyle name="Comma 4 2 2 4 2 3 2" xfId="14346" xr:uid="{3EBCB233-08C9-4402-9738-8DCB30A03242}"/>
    <cellStyle name="Comma 4 2 2 4 2 4" xfId="9418" xr:uid="{F2EB07B7-2227-485D-9411-A8F75EC2F9DA}"/>
    <cellStyle name="Comma 4 2 2 4 2 4 2" xfId="18733" xr:uid="{E15EC1A6-4FE6-4C5F-8CB4-D08B97056233}"/>
    <cellStyle name="Comma 4 2 2 4 2 5" xfId="10129" xr:uid="{4229D589-3098-4664-ABEC-A7220429564A}"/>
    <cellStyle name="Comma 4 2 2 4 3" xfId="1125" xr:uid="{00000000-0005-0000-0000-00002F080000}"/>
    <cellStyle name="Comma 4 2 2 4 3 2" xfId="3356" xr:uid="{00000000-0005-0000-0000-000030080000}"/>
    <cellStyle name="Comma 4 2 2 4 3 2 2" xfId="7578" xr:uid="{00000000-0005-0000-0000-000031080000}"/>
    <cellStyle name="Comma 4 2 2 4 3 2 2 2" xfId="16904" xr:uid="{2C673482-091C-4A2B-A026-764AA5F9BC78}"/>
    <cellStyle name="Comma 4 2 2 4 3 2 3" xfId="12687" xr:uid="{34E87640-E10D-459F-AFE8-67BC06B49623}"/>
    <cellStyle name="Comma 4 2 2 4 3 3" xfId="5433" xr:uid="{00000000-0005-0000-0000-000032080000}"/>
    <cellStyle name="Comma 4 2 2 4 3 3 2" xfId="14759" xr:uid="{C2B533FB-17AC-4C30-8781-4F6FC80A2E38}"/>
    <cellStyle name="Comma 4 2 2 4 3 4" xfId="10542" xr:uid="{FAB4EB21-7566-4C71-B9A2-56CAF779508A}"/>
    <cellStyle name="Comma 4 2 2 4 4" xfId="1539" xr:uid="{00000000-0005-0000-0000-000033080000}"/>
    <cellStyle name="Comma 4 2 2 4 4 2" xfId="3769" xr:uid="{00000000-0005-0000-0000-000034080000}"/>
    <cellStyle name="Comma 4 2 2 4 4 2 2" xfId="7991" xr:uid="{00000000-0005-0000-0000-000035080000}"/>
    <cellStyle name="Comma 4 2 2 4 4 2 2 2" xfId="17317" xr:uid="{30274184-A74C-4E47-A0FD-4FDDD48A1C88}"/>
    <cellStyle name="Comma 4 2 2 4 4 2 3" xfId="13100" xr:uid="{A74D5235-F51B-472A-8657-EFEACF84BCDD}"/>
    <cellStyle name="Comma 4 2 2 4 4 3" xfId="5846" xr:uid="{00000000-0005-0000-0000-000036080000}"/>
    <cellStyle name="Comma 4 2 2 4 4 3 2" xfId="15172" xr:uid="{9BBFD5AA-840E-4128-9099-C0B205CE263C}"/>
    <cellStyle name="Comma 4 2 2 4 4 4" xfId="10955" xr:uid="{60CA3282-CF25-4A4F-9D47-D8693B3BB0AC}"/>
    <cellStyle name="Comma 4 2 2 4 5" xfId="1953" xr:uid="{00000000-0005-0000-0000-000037080000}"/>
    <cellStyle name="Comma 4 2 2 4 5 2" xfId="4182" xr:uid="{00000000-0005-0000-0000-000038080000}"/>
    <cellStyle name="Comma 4 2 2 4 5 2 2" xfId="8404" xr:uid="{00000000-0005-0000-0000-000039080000}"/>
    <cellStyle name="Comma 4 2 2 4 5 2 2 2" xfId="17730" xr:uid="{43A57DEB-5635-4C3E-B2AA-A46ABC8AA58B}"/>
    <cellStyle name="Comma 4 2 2 4 5 2 3" xfId="13513" xr:uid="{C4687129-199A-470D-99F8-51E986355E70}"/>
    <cellStyle name="Comma 4 2 2 4 5 3" xfId="6259" xr:uid="{00000000-0005-0000-0000-00003A080000}"/>
    <cellStyle name="Comma 4 2 2 4 5 3 2" xfId="15585" xr:uid="{E7A1AD02-B3AD-4201-9718-28F775265D73}"/>
    <cellStyle name="Comma 4 2 2 4 5 4" xfId="11368" xr:uid="{6D59753F-F1AC-4AA7-B5B6-8316F1DD0D43}"/>
    <cellStyle name="Comma 4 2 2 4 6" xfId="2388" xr:uid="{00000000-0005-0000-0000-00003B080000}"/>
    <cellStyle name="Comma 4 2 2 4 6 2" xfId="6672" xr:uid="{00000000-0005-0000-0000-00003C080000}"/>
    <cellStyle name="Comma 4 2 2 4 6 2 2" xfId="15998" xr:uid="{5FA0C89B-EF25-4BB1-9FA4-A9AFB49A7A27}"/>
    <cellStyle name="Comma 4 2 2 4 6 3" xfId="11781" xr:uid="{C2DDFFD3-AAF1-4BEA-A800-68DE38E206F9}"/>
    <cellStyle name="Comma 4 2 2 4 7" xfId="2375" xr:uid="{00000000-0005-0000-0000-00003D080000}"/>
    <cellStyle name="Comma 4 2 2 4 8" xfId="2766" xr:uid="{00000000-0005-0000-0000-00003E080000}"/>
    <cellStyle name="Comma 4 2 2 4 8 2" xfId="6989" xr:uid="{00000000-0005-0000-0000-00003F080000}"/>
    <cellStyle name="Comma 4 2 2 4 8 2 2" xfId="16315" xr:uid="{BD1701FA-E842-454F-A709-E1F3FDC37B0D}"/>
    <cellStyle name="Comma 4 2 2 4 8 3" xfId="12098" xr:uid="{23B59F0F-67BE-4328-AA46-2915FEC652EC}"/>
    <cellStyle name="Comma 4 2 2 4 9" xfId="4606" xr:uid="{00000000-0005-0000-0000-000040080000}"/>
    <cellStyle name="Comma 4 2 2 4 9 2" xfId="13932" xr:uid="{D3A825B0-091B-4419-A11A-0F7FBF7DB13C}"/>
    <cellStyle name="Comma 4 2 2 5" xfId="135" xr:uid="{00000000-0005-0000-0000-000041080000}"/>
    <cellStyle name="Comma 4 2 2 5 10" xfId="9210" xr:uid="{C1F9418B-EF96-4063-883D-A983E131C6A4}"/>
    <cellStyle name="Comma 4 2 2 5 10 2" xfId="18526" xr:uid="{45147053-0D8A-40D6-A037-4DA44F27594B}"/>
    <cellStyle name="Comma 4 2 2 5 11" xfId="9716" xr:uid="{2D20F081-C213-4919-923A-504099C41FEC}"/>
    <cellStyle name="Comma 4 2 2 5 2" xfId="673" xr:uid="{00000000-0005-0000-0000-000042080000}"/>
    <cellStyle name="Comma 4 2 2 5 2 2" xfId="2944" xr:uid="{00000000-0005-0000-0000-000043080000}"/>
    <cellStyle name="Comma 4 2 2 5 2 2 2" xfId="7166" xr:uid="{00000000-0005-0000-0000-000044080000}"/>
    <cellStyle name="Comma 4 2 2 5 2 2 2 2" xfId="16492" xr:uid="{2FD52B28-A287-455B-85B9-35409BDE1426}"/>
    <cellStyle name="Comma 4 2 2 5 2 2 3" xfId="12275" xr:uid="{7E6E0EDE-55EC-464F-B260-41E41AAC6E14}"/>
    <cellStyle name="Comma 4 2 2 5 2 3" xfId="5021" xr:uid="{00000000-0005-0000-0000-000045080000}"/>
    <cellStyle name="Comma 4 2 2 5 2 3 2" xfId="14347" xr:uid="{85C324F3-B941-49BD-BFBD-D395A7B36135}"/>
    <cellStyle name="Comma 4 2 2 5 2 4" xfId="9593" xr:uid="{3B41C66E-2108-4CBE-9776-211459781E55}"/>
    <cellStyle name="Comma 4 2 2 5 2 4 2" xfId="18897" xr:uid="{5C7DC8B2-1FD6-4F16-B06C-79B8B43DE52A}"/>
    <cellStyle name="Comma 4 2 2 5 2 5" xfId="10130" xr:uid="{BB88D403-DC1F-4A91-BAE7-9ED06FCDCD47}"/>
    <cellStyle name="Comma 4 2 2 5 3" xfId="1126" xr:uid="{00000000-0005-0000-0000-000046080000}"/>
    <cellStyle name="Comma 4 2 2 5 3 2" xfId="3357" xr:uid="{00000000-0005-0000-0000-000047080000}"/>
    <cellStyle name="Comma 4 2 2 5 3 2 2" xfId="7579" xr:uid="{00000000-0005-0000-0000-000048080000}"/>
    <cellStyle name="Comma 4 2 2 5 3 2 2 2" xfId="16905" xr:uid="{14ABDD1A-5B21-4229-90E9-0EFC34A774FF}"/>
    <cellStyle name="Comma 4 2 2 5 3 2 3" xfId="12688" xr:uid="{6F54C796-F181-4307-9C2F-CDC3B085B009}"/>
    <cellStyle name="Comma 4 2 2 5 3 3" xfId="5434" xr:uid="{00000000-0005-0000-0000-000049080000}"/>
    <cellStyle name="Comma 4 2 2 5 3 3 2" xfId="14760" xr:uid="{22E0C8FA-4C47-4B75-9592-5E38E2D2C732}"/>
    <cellStyle name="Comma 4 2 2 5 3 4" xfId="10543" xr:uid="{58E24A2E-5A02-401B-A8AD-C229B82C0166}"/>
    <cellStyle name="Comma 4 2 2 5 4" xfId="1540" xr:uid="{00000000-0005-0000-0000-00004A080000}"/>
    <cellStyle name="Comma 4 2 2 5 4 2" xfId="3770" xr:uid="{00000000-0005-0000-0000-00004B080000}"/>
    <cellStyle name="Comma 4 2 2 5 4 2 2" xfId="7992" xr:uid="{00000000-0005-0000-0000-00004C080000}"/>
    <cellStyle name="Comma 4 2 2 5 4 2 2 2" xfId="17318" xr:uid="{5F290E25-ABF2-47D0-BD30-D3B05C959F29}"/>
    <cellStyle name="Comma 4 2 2 5 4 2 3" xfId="13101" xr:uid="{797ABE81-9EC4-494A-83DC-6BF7C08F7F4D}"/>
    <cellStyle name="Comma 4 2 2 5 4 3" xfId="5847" xr:uid="{00000000-0005-0000-0000-00004D080000}"/>
    <cellStyle name="Comma 4 2 2 5 4 3 2" xfId="15173" xr:uid="{6F854C97-2911-4834-80E0-3781E02A5E6F}"/>
    <cellStyle name="Comma 4 2 2 5 4 4" xfId="10956" xr:uid="{C4CE94B1-2DAC-40C2-BF4E-4925057BA84E}"/>
    <cellStyle name="Comma 4 2 2 5 5" xfId="1954" xr:uid="{00000000-0005-0000-0000-00004E080000}"/>
    <cellStyle name="Comma 4 2 2 5 5 2" xfId="4183" xr:uid="{00000000-0005-0000-0000-00004F080000}"/>
    <cellStyle name="Comma 4 2 2 5 5 2 2" xfId="8405" xr:uid="{00000000-0005-0000-0000-000050080000}"/>
    <cellStyle name="Comma 4 2 2 5 5 2 2 2" xfId="17731" xr:uid="{E7D5E193-1499-4742-9CD9-3FF89BA2AAA7}"/>
    <cellStyle name="Comma 4 2 2 5 5 2 3" xfId="13514" xr:uid="{11D6F95E-C2FD-4919-9C51-11590F12DC46}"/>
    <cellStyle name="Comma 4 2 2 5 5 3" xfId="6260" xr:uid="{00000000-0005-0000-0000-000051080000}"/>
    <cellStyle name="Comma 4 2 2 5 5 3 2" xfId="15586" xr:uid="{B3BB19F1-ACA9-498F-B67A-8D71D8E00F99}"/>
    <cellStyle name="Comma 4 2 2 5 5 4" xfId="11369" xr:uid="{EF411829-B87F-4EAF-8BE2-A2E51F2EBD27}"/>
    <cellStyle name="Comma 4 2 2 5 6" xfId="2389" xr:uid="{00000000-0005-0000-0000-000052080000}"/>
    <cellStyle name="Comma 4 2 2 5 6 2" xfId="6673" xr:uid="{00000000-0005-0000-0000-000053080000}"/>
    <cellStyle name="Comma 4 2 2 5 6 2 2" xfId="15999" xr:uid="{E02B7933-8F2C-45A3-9A10-A9A3832CB100}"/>
    <cellStyle name="Comma 4 2 2 5 6 3" xfId="11782" xr:uid="{2410AC61-7F56-482E-B2AB-D2D59116C940}"/>
    <cellStyle name="Comma 4 2 2 5 7" xfId="2374" xr:uid="{00000000-0005-0000-0000-000054080000}"/>
    <cellStyle name="Comma 4 2 2 5 8" xfId="2767" xr:uid="{00000000-0005-0000-0000-000055080000}"/>
    <cellStyle name="Comma 4 2 2 5 8 2" xfId="6990" xr:uid="{00000000-0005-0000-0000-000056080000}"/>
    <cellStyle name="Comma 4 2 2 5 8 2 2" xfId="16316" xr:uid="{7D71F208-38DC-4DF8-B962-102F7C20AC03}"/>
    <cellStyle name="Comma 4 2 2 5 8 3" xfId="12099" xr:uid="{5883616D-4905-4AD7-8034-F96E66A040AC}"/>
    <cellStyle name="Comma 4 2 2 5 9" xfId="4607" xr:uid="{00000000-0005-0000-0000-000057080000}"/>
    <cellStyle name="Comma 4 2 2 5 9 2" xfId="13933" xr:uid="{D41B2464-C874-4FB2-B53B-1A3974023ED8}"/>
    <cellStyle name="Comma 4 2 2 6" xfId="9228" xr:uid="{49D8FCED-23A7-48B2-8D10-F90787B2F62D}"/>
    <cellStyle name="Comma 4 2 2 7" xfId="8786" xr:uid="{8FDBE9F4-5F27-4B1B-A262-D62BF874EF16}"/>
    <cellStyle name="Comma 4 2 2 7 2" xfId="18110" xr:uid="{7F6FF358-A481-48B5-ABF0-993D5921F856}"/>
    <cellStyle name="Comma 4 2 3" xfId="136" xr:uid="{00000000-0005-0000-0000-000058080000}"/>
    <cellStyle name="Comma 4 2 3 10" xfId="2768" xr:uid="{00000000-0005-0000-0000-000059080000}"/>
    <cellStyle name="Comma 4 2 3 10 2" xfId="6991" xr:uid="{00000000-0005-0000-0000-00005A080000}"/>
    <cellStyle name="Comma 4 2 3 10 2 2" xfId="16317" xr:uid="{2A7E4F7B-DE19-4298-9BDA-DE0A01CA03EB}"/>
    <cellStyle name="Comma 4 2 3 10 3" xfId="12100" xr:uid="{2470EADA-0285-4A26-A68B-EA946D5BA83B}"/>
    <cellStyle name="Comma 4 2 3 11" xfId="4608" xr:uid="{00000000-0005-0000-0000-00005B080000}"/>
    <cellStyle name="Comma 4 2 3 11 2" xfId="13934" xr:uid="{28498A11-B501-4EAF-ABF1-41B3819C5F96}"/>
    <cellStyle name="Comma 4 2 3 12" xfId="8805" xr:uid="{C45527F6-07B7-4887-BAF3-A6424444BA3B}"/>
    <cellStyle name="Comma 4 2 3 12 2" xfId="18129" xr:uid="{3A718A65-F548-496D-AF61-D88C0D67205D}"/>
    <cellStyle name="Comma 4 2 3 13" xfId="9717" xr:uid="{A03FEB30-1214-40B8-85E6-BC805DD3D7DC}"/>
    <cellStyle name="Comma 4 2 3 2" xfId="137" xr:uid="{00000000-0005-0000-0000-00005C080000}"/>
    <cellStyle name="Comma 4 2 3 2 10" xfId="4609" xr:uid="{00000000-0005-0000-0000-00005D080000}"/>
    <cellStyle name="Comma 4 2 3 2 10 2" xfId="13935" xr:uid="{8A52F345-C3D5-45FB-A131-46204367AA56}"/>
    <cellStyle name="Comma 4 2 3 2 11" xfId="8908" xr:uid="{E7021C11-E6EB-4392-A0AD-2A78F42B4BB7}"/>
    <cellStyle name="Comma 4 2 3 2 11 2" xfId="18232" xr:uid="{C393DCB2-F1E7-4752-8636-D7820D418BEA}"/>
    <cellStyle name="Comma 4 2 3 2 12" xfId="9718" xr:uid="{793706B3-70EB-4ED6-994C-1F4273A30442}"/>
    <cellStyle name="Comma 4 2 3 2 2" xfId="138" xr:uid="{00000000-0005-0000-0000-00005E080000}"/>
    <cellStyle name="Comma 4 2 3 2 2 10" xfId="9115" xr:uid="{1A31CCC4-B2C0-4E0C-B714-855521500FE8}"/>
    <cellStyle name="Comma 4 2 3 2 2 10 2" xfId="18439" xr:uid="{C0493FF5-AC24-4441-8807-039CAABF4F5D}"/>
    <cellStyle name="Comma 4 2 3 2 2 11" xfId="9719" xr:uid="{69524D17-736C-4149-8127-12ECD64467A2}"/>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16495" xr:uid="{4105077D-B4AC-4934-91BD-C585DCA0C28C}"/>
    <cellStyle name="Comma 4 2 3 2 2 2 2 3" xfId="12278" xr:uid="{68488EF3-5A8C-430E-B233-EA6E50F9F032}"/>
    <cellStyle name="Comma 4 2 3 2 2 2 3" xfId="5024" xr:uid="{00000000-0005-0000-0000-000062080000}"/>
    <cellStyle name="Comma 4 2 3 2 2 2 3 2" xfId="14350" xr:uid="{9D60CE9C-5268-42EE-9430-6455BB104E6A}"/>
    <cellStyle name="Comma 4 2 3 2 2 2 4" xfId="9540" xr:uid="{F922DD27-FEAE-4DB6-894F-26CD58815668}"/>
    <cellStyle name="Comma 4 2 3 2 2 2 4 2" xfId="18855" xr:uid="{BEE051E1-6300-4F47-908E-5E8B3E9DE11F}"/>
    <cellStyle name="Comma 4 2 3 2 2 2 5" xfId="10133" xr:uid="{606A6F9D-F912-41F2-B98A-125F7973DCD1}"/>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16908" xr:uid="{3FEA5EBA-871E-4142-BE73-FE51BDBB9D21}"/>
    <cellStyle name="Comma 4 2 3 2 2 3 2 3" xfId="12691" xr:uid="{992CB9F2-6C76-4195-BFEC-DA9D3215DAEA}"/>
    <cellStyle name="Comma 4 2 3 2 2 3 3" xfId="5437" xr:uid="{00000000-0005-0000-0000-000066080000}"/>
    <cellStyle name="Comma 4 2 3 2 2 3 3 2" xfId="14763" xr:uid="{2A2E50EB-572E-46E9-AB1D-BAD3CF014C4E}"/>
    <cellStyle name="Comma 4 2 3 2 2 3 4" xfId="10546" xr:uid="{7B1BDFCC-BA05-43BA-9678-9D5C3230C2B4}"/>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17321" xr:uid="{D0856340-E86E-4977-B322-AA45718EEFE9}"/>
    <cellStyle name="Comma 4 2 3 2 2 4 2 3" xfId="13104" xr:uid="{26D0DDB4-4A41-4816-A6EA-102834671447}"/>
    <cellStyle name="Comma 4 2 3 2 2 4 3" xfId="5850" xr:uid="{00000000-0005-0000-0000-00006A080000}"/>
    <cellStyle name="Comma 4 2 3 2 2 4 3 2" xfId="15176" xr:uid="{E75886FA-D0EF-4F95-83DC-8BA6C7EBA3FD}"/>
    <cellStyle name="Comma 4 2 3 2 2 4 4" xfId="10959" xr:uid="{EF1ABE34-39B3-46F1-98A6-7B94669BC73D}"/>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17734" xr:uid="{7136CBBC-0008-4C88-8370-C4C2F18065EF}"/>
    <cellStyle name="Comma 4 2 3 2 2 5 2 3" xfId="13517" xr:uid="{20150134-CF52-4822-8120-F659EAB50020}"/>
    <cellStyle name="Comma 4 2 3 2 2 5 3" xfId="6263" xr:uid="{00000000-0005-0000-0000-00006E080000}"/>
    <cellStyle name="Comma 4 2 3 2 2 5 3 2" xfId="15589" xr:uid="{FA49CB69-CD1C-44E5-8AF5-2C278B7E6D82}"/>
    <cellStyle name="Comma 4 2 3 2 2 5 4" xfId="11372" xr:uid="{8B606DB0-DE35-4F73-B961-AE985DBD21E6}"/>
    <cellStyle name="Comma 4 2 3 2 2 6" xfId="2392" xr:uid="{00000000-0005-0000-0000-00006F080000}"/>
    <cellStyle name="Comma 4 2 3 2 2 6 2" xfId="6676" xr:uid="{00000000-0005-0000-0000-000070080000}"/>
    <cellStyle name="Comma 4 2 3 2 2 6 2 2" xfId="16002" xr:uid="{7F854780-F700-48E7-8B2B-EA9D559D5BB1}"/>
    <cellStyle name="Comma 4 2 3 2 2 6 3" xfId="11785" xr:uid="{D56B2A1C-E355-4580-A267-8D632CB639FF}"/>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16319" xr:uid="{72D98FFE-2F77-4875-962E-68D442630385}"/>
    <cellStyle name="Comma 4 2 3 2 2 8 3" xfId="12102" xr:uid="{F50EAADA-4205-415C-AFCB-7675033DD02B}"/>
    <cellStyle name="Comma 4 2 3 2 2 9" xfId="4610" xr:uid="{00000000-0005-0000-0000-000074080000}"/>
    <cellStyle name="Comma 4 2 3 2 2 9 2" xfId="13936" xr:uid="{A7BC8769-05DF-4444-84D1-DB39892C27E6}"/>
    <cellStyle name="Comma 4 2 3 2 3" xfId="675" xr:uid="{00000000-0005-0000-0000-000075080000}"/>
    <cellStyle name="Comma 4 2 3 2 3 2" xfId="2946" xr:uid="{00000000-0005-0000-0000-000076080000}"/>
    <cellStyle name="Comma 4 2 3 2 3 2 2" xfId="7168" xr:uid="{00000000-0005-0000-0000-000077080000}"/>
    <cellStyle name="Comma 4 2 3 2 3 2 2 2" xfId="16494" xr:uid="{6D0B4CDB-308D-4CA5-96C3-04F6ACB10DE6}"/>
    <cellStyle name="Comma 4 2 3 2 3 2 3" xfId="12277" xr:uid="{5FE243D2-AB53-4751-BBFB-0B7AC1CED31F}"/>
    <cellStyle name="Comma 4 2 3 2 3 3" xfId="5023" xr:uid="{00000000-0005-0000-0000-000078080000}"/>
    <cellStyle name="Comma 4 2 3 2 3 3 2" xfId="14349" xr:uid="{B5FF8FFE-D708-402B-8FBC-F6A2F11D0956}"/>
    <cellStyle name="Comma 4 2 3 2 3 4" xfId="9333" xr:uid="{5C974796-1B06-4FA8-AB2A-F6B34628ACD4}"/>
    <cellStyle name="Comma 4 2 3 2 3 4 2" xfId="18648" xr:uid="{176C66DB-66C8-4CF0-941B-E9CE79DAE0B0}"/>
    <cellStyle name="Comma 4 2 3 2 3 5" xfId="10132" xr:uid="{E35A479E-1E54-4183-A54F-FA2F33BCB517}"/>
    <cellStyle name="Comma 4 2 3 2 4" xfId="1128" xr:uid="{00000000-0005-0000-0000-000079080000}"/>
    <cellStyle name="Comma 4 2 3 2 4 2" xfId="3359" xr:uid="{00000000-0005-0000-0000-00007A080000}"/>
    <cellStyle name="Comma 4 2 3 2 4 2 2" xfId="7581" xr:uid="{00000000-0005-0000-0000-00007B080000}"/>
    <cellStyle name="Comma 4 2 3 2 4 2 2 2" xfId="16907" xr:uid="{FC8143D3-8298-4EE8-9D04-5643687FBBC4}"/>
    <cellStyle name="Comma 4 2 3 2 4 2 3" xfId="12690" xr:uid="{2F778FF7-0EF4-4B54-985F-A7456ACBA71E}"/>
    <cellStyle name="Comma 4 2 3 2 4 3" xfId="5436" xr:uid="{00000000-0005-0000-0000-00007C080000}"/>
    <cellStyle name="Comma 4 2 3 2 4 3 2" xfId="14762" xr:uid="{3296C933-7C11-4A12-A177-6C7D34D13914}"/>
    <cellStyle name="Comma 4 2 3 2 4 4" xfId="10545" xr:uid="{1845DC11-B3E9-4613-B83F-AD29F644AA24}"/>
    <cellStyle name="Comma 4 2 3 2 5" xfId="1542" xr:uid="{00000000-0005-0000-0000-00007D080000}"/>
    <cellStyle name="Comma 4 2 3 2 5 2" xfId="3772" xr:uid="{00000000-0005-0000-0000-00007E080000}"/>
    <cellStyle name="Comma 4 2 3 2 5 2 2" xfId="7994" xr:uid="{00000000-0005-0000-0000-00007F080000}"/>
    <cellStyle name="Comma 4 2 3 2 5 2 2 2" xfId="17320" xr:uid="{5492B8DE-07B1-4A35-A2C1-305B8014C685}"/>
    <cellStyle name="Comma 4 2 3 2 5 2 3" xfId="13103" xr:uid="{A7A9A863-EDB0-4A07-9F12-1BCDFC9EE813}"/>
    <cellStyle name="Comma 4 2 3 2 5 3" xfId="5849" xr:uid="{00000000-0005-0000-0000-000080080000}"/>
    <cellStyle name="Comma 4 2 3 2 5 3 2" xfId="15175" xr:uid="{B7231A03-8D82-42BC-97E7-C4676EF2C418}"/>
    <cellStyle name="Comma 4 2 3 2 5 4" xfId="10958" xr:uid="{6C9FE536-3399-4E44-93C3-A29094795563}"/>
    <cellStyle name="Comma 4 2 3 2 6" xfId="1956" xr:uid="{00000000-0005-0000-0000-000081080000}"/>
    <cellStyle name="Comma 4 2 3 2 6 2" xfId="4185" xr:uid="{00000000-0005-0000-0000-000082080000}"/>
    <cellStyle name="Comma 4 2 3 2 6 2 2" xfId="8407" xr:uid="{00000000-0005-0000-0000-000083080000}"/>
    <cellStyle name="Comma 4 2 3 2 6 2 2 2" xfId="17733" xr:uid="{79F5E6B1-698C-4837-9D3F-DB2BE638D5A1}"/>
    <cellStyle name="Comma 4 2 3 2 6 2 3" xfId="13516" xr:uid="{5E569FAB-7F7C-44B7-B93C-B0188FD8B3FB}"/>
    <cellStyle name="Comma 4 2 3 2 6 3" xfId="6262" xr:uid="{00000000-0005-0000-0000-000084080000}"/>
    <cellStyle name="Comma 4 2 3 2 6 3 2" xfId="15588" xr:uid="{B5637E32-5715-4AC5-A46F-14D47A517119}"/>
    <cellStyle name="Comma 4 2 3 2 6 4" xfId="11371" xr:uid="{2517B8CB-9F8D-405F-9C52-4DAC9EE2F756}"/>
    <cellStyle name="Comma 4 2 3 2 7" xfId="2391" xr:uid="{00000000-0005-0000-0000-000085080000}"/>
    <cellStyle name="Comma 4 2 3 2 7 2" xfId="6675" xr:uid="{00000000-0005-0000-0000-000086080000}"/>
    <cellStyle name="Comma 4 2 3 2 7 2 2" xfId="16001" xr:uid="{A9BA0363-7576-4FA1-AD41-CBCD05189592}"/>
    <cellStyle name="Comma 4 2 3 2 7 3" xfId="11784" xr:uid="{9CE16039-E0EA-47B2-8E69-68C9341119D9}"/>
    <cellStyle name="Comma 4 2 3 2 8" xfId="2372" xr:uid="{00000000-0005-0000-0000-000087080000}"/>
    <cellStyle name="Comma 4 2 3 2 9" xfId="2769" xr:uid="{00000000-0005-0000-0000-000088080000}"/>
    <cellStyle name="Comma 4 2 3 2 9 2" xfId="6992" xr:uid="{00000000-0005-0000-0000-000089080000}"/>
    <cellStyle name="Comma 4 2 3 2 9 2 2" xfId="16318" xr:uid="{CD6825D9-23A2-431E-946E-B89D6D0F36DF}"/>
    <cellStyle name="Comma 4 2 3 2 9 3" xfId="12101" xr:uid="{FC97B4F8-27C2-4131-9063-BD10B43AD1F0}"/>
    <cellStyle name="Comma 4 2 3 3" xfId="139" xr:uid="{00000000-0005-0000-0000-00008A080000}"/>
    <cellStyle name="Comma 4 2 3 3 10" xfId="9012" xr:uid="{61C0F117-76A9-43CA-B381-88B2CFF6294C}"/>
    <cellStyle name="Comma 4 2 3 3 10 2" xfId="18336" xr:uid="{3B43D6AF-B5FE-40C7-828F-1A912EBC4198}"/>
    <cellStyle name="Comma 4 2 3 3 11" xfId="9720" xr:uid="{588A3686-40D6-43AB-A9BC-DEC24075D05D}"/>
    <cellStyle name="Comma 4 2 3 3 2" xfId="677" xr:uid="{00000000-0005-0000-0000-00008B080000}"/>
    <cellStyle name="Comma 4 2 3 3 2 2" xfId="2948" xr:uid="{00000000-0005-0000-0000-00008C080000}"/>
    <cellStyle name="Comma 4 2 3 3 2 2 2" xfId="7170" xr:uid="{00000000-0005-0000-0000-00008D080000}"/>
    <cellStyle name="Comma 4 2 3 3 2 2 2 2" xfId="16496" xr:uid="{3CE57260-8A5B-4A2A-932E-51145831428E}"/>
    <cellStyle name="Comma 4 2 3 3 2 2 3" xfId="12279" xr:uid="{ED6E3883-105B-4F2B-BA22-64AC59C7D67B}"/>
    <cellStyle name="Comma 4 2 3 3 2 3" xfId="5025" xr:uid="{00000000-0005-0000-0000-00008E080000}"/>
    <cellStyle name="Comma 4 2 3 3 2 3 2" xfId="14351" xr:uid="{7DD5FEBA-53D6-41C0-92DA-D4C1B72F1CB4}"/>
    <cellStyle name="Comma 4 2 3 3 2 4" xfId="9437" xr:uid="{35C6809B-E49F-4A7F-8CB1-650474E72B0A}"/>
    <cellStyle name="Comma 4 2 3 3 2 4 2" xfId="18752" xr:uid="{D1E57F3E-67D6-4A36-9B30-8B7E66751753}"/>
    <cellStyle name="Comma 4 2 3 3 2 5" xfId="10134" xr:uid="{D8CD24D0-1A94-4A42-A868-8A1E8109DFE1}"/>
    <cellStyle name="Comma 4 2 3 3 3" xfId="1130" xr:uid="{00000000-0005-0000-0000-00008F080000}"/>
    <cellStyle name="Comma 4 2 3 3 3 2" xfId="3361" xr:uid="{00000000-0005-0000-0000-000090080000}"/>
    <cellStyle name="Comma 4 2 3 3 3 2 2" xfId="7583" xr:uid="{00000000-0005-0000-0000-000091080000}"/>
    <cellStyle name="Comma 4 2 3 3 3 2 2 2" xfId="16909" xr:uid="{3277C8F2-2587-48BA-889A-BDBF6788C970}"/>
    <cellStyle name="Comma 4 2 3 3 3 2 3" xfId="12692" xr:uid="{259D706E-0809-49F3-B78E-75BA850880A8}"/>
    <cellStyle name="Comma 4 2 3 3 3 3" xfId="5438" xr:uid="{00000000-0005-0000-0000-000092080000}"/>
    <cellStyle name="Comma 4 2 3 3 3 3 2" xfId="14764" xr:uid="{6F35DD01-4CEB-41CD-B8BF-57BFA8766A9A}"/>
    <cellStyle name="Comma 4 2 3 3 3 4" xfId="10547" xr:uid="{28E4CA60-0262-4676-8528-46FBC8AC0039}"/>
    <cellStyle name="Comma 4 2 3 3 4" xfId="1544" xr:uid="{00000000-0005-0000-0000-000093080000}"/>
    <cellStyle name="Comma 4 2 3 3 4 2" xfId="3774" xr:uid="{00000000-0005-0000-0000-000094080000}"/>
    <cellStyle name="Comma 4 2 3 3 4 2 2" xfId="7996" xr:uid="{00000000-0005-0000-0000-000095080000}"/>
    <cellStyle name="Comma 4 2 3 3 4 2 2 2" xfId="17322" xr:uid="{BBA3800E-A443-4F7C-9407-0945D8E40E23}"/>
    <cellStyle name="Comma 4 2 3 3 4 2 3" xfId="13105" xr:uid="{D6EC4D45-6EAA-4C2F-A6A4-B43A14D2379B}"/>
    <cellStyle name="Comma 4 2 3 3 4 3" xfId="5851" xr:uid="{00000000-0005-0000-0000-000096080000}"/>
    <cellStyle name="Comma 4 2 3 3 4 3 2" xfId="15177" xr:uid="{C57AFFAA-CA6A-4E65-9B7B-1392CAFB7EC2}"/>
    <cellStyle name="Comma 4 2 3 3 4 4" xfId="10960" xr:uid="{6E1FF869-BC5D-462A-801A-7CFF805CA4B5}"/>
    <cellStyle name="Comma 4 2 3 3 5" xfId="1958" xr:uid="{00000000-0005-0000-0000-000097080000}"/>
    <cellStyle name="Comma 4 2 3 3 5 2" xfId="4187" xr:uid="{00000000-0005-0000-0000-000098080000}"/>
    <cellStyle name="Comma 4 2 3 3 5 2 2" xfId="8409" xr:uid="{00000000-0005-0000-0000-000099080000}"/>
    <cellStyle name="Comma 4 2 3 3 5 2 2 2" xfId="17735" xr:uid="{D9D42F91-915B-4F6E-823F-7F8DC0004A95}"/>
    <cellStyle name="Comma 4 2 3 3 5 2 3" xfId="13518" xr:uid="{5F58DB8F-1648-4605-A536-A5AA72BFAA0C}"/>
    <cellStyle name="Comma 4 2 3 3 5 3" xfId="6264" xr:uid="{00000000-0005-0000-0000-00009A080000}"/>
    <cellStyle name="Comma 4 2 3 3 5 3 2" xfId="15590" xr:uid="{E39B2B23-C858-4A30-9CA0-4E53C1C109C4}"/>
    <cellStyle name="Comma 4 2 3 3 5 4" xfId="11373" xr:uid="{0F0FF31F-A2BC-481A-936C-1A1D4960A9E5}"/>
    <cellStyle name="Comma 4 2 3 3 6" xfId="2393" xr:uid="{00000000-0005-0000-0000-00009B080000}"/>
    <cellStyle name="Comma 4 2 3 3 6 2" xfId="6677" xr:uid="{00000000-0005-0000-0000-00009C080000}"/>
    <cellStyle name="Comma 4 2 3 3 6 2 2" xfId="16003" xr:uid="{DBDB7026-D1BC-456E-BA19-A5222FEA1CF9}"/>
    <cellStyle name="Comma 4 2 3 3 6 3" xfId="11786" xr:uid="{9DA00101-7A77-4DA7-9FBD-A10301361895}"/>
    <cellStyle name="Comma 4 2 3 3 7" xfId="2370" xr:uid="{00000000-0005-0000-0000-00009D080000}"/>
    <cellStyle name="Comma 4 2 3 3 8" xfId="2771" xr:uid="{00000000-0005-0000-0000-00009E080000}"/>
    <cellStyle name="Comma 4 2 3 3 8 2" xfId="6994" xr:uid="{00000000-0005-0000-0000-00009F080000}"/>
    <cellStyle name="Comma 4 2 3 3 8 2 2" xfId="16320" xr:uid="{05371C2C-732D-4687-A914-677E52763140}"/>
    <cellStyle name="Comma 4 2 3 3 8 3" xfId="12103" xr:uid="{A564388A-C674-4CA5-8F4B-29C3B587B729}"/>
    <cellStyle name="Comma 4 2 3 3 9" xfId="4611" xr:uid="{00000000-0005-0000-0000-0000A0080000}"/>
    <cellStyle name="Comma 4 2 3 3 9 2" xfId="13937" xr:uid="{220313BA-88AF-4DE2-ACDA-DF864354DAD8}"/>
    <cellStyle name="Comma 4 2 3 4" xfId="674" xr:uid="{00000000-0005-0000-0000-0000A1080000}"/>
    <cellStyle name="Comma 4 2 3 4 2" xfId="2945" xr:uid="{00000000-0005-0000-0000-0000A2080000}"/>
    <cellStyle name="Comma 4 2 3 4 2 2" xfId="7167" xr:uid="{00000000-0005-0000-0000-0000A3080000}"/>
    <cellStyle name="Comma 4 2 3 4 2 2 2" xfId="16493" xr:uid="{0E7ADCD7-A54A-44E5-B44C-38515E9C86C9}"/>
    <cellStyle name="Comma 4 2 3 4 2 3" xfId="12276" xr:uid="{198AC9D6-41BF-41D3-B5DC-BDD0D48F5210}"/>
    <cellStyle name="Comma 4 2 3 4 3" xfId="5022" xr:uid="{00000000-0005-0000-0000-0000A4080000}"/>
    <cellStyle name="Comma 4 2 3 4 3 2" xfId="14348" xr:uid="{28BBFF24-06DF-405D-82EA-E2FE6B2E5640}"/>
    <cellStyle name="Comma 4 2 3 4 4" xfId="9230" xr:uid="{24B6B749-023F-4009-8785-C6CFE1098E24}"/>
    <cellStyle name="Comma 4 2 3 4 4 2" xfId="18545" xr:uid="{9D6F7A91-00FE-4989-8793-22C2CD94E3F8}"/>
    <cellStyle name="Comma 4 2 3 4 5" xfId="10131" xr:uid="{E049332E-9E67-435F-B964-7AE830ED8B80}"/>
    <cellStyle name="Comma 4 2 3 5" xfId="1127" xr:uid="{00000000-0005-0000-0000-0000A5080000}"/>
    <cellStyle name="Comma 4 2 3 5 2" xfId="3358" xr:uid="{00000000-0005-0000-0000-0000A6080000}"/>
    <cellStyle name="Comma 4 2 3 5 2 2" xfId="7580" xr:uid="{00000000-0005-0000-0000-0000A7080000}"/>
    <cellStyle name="Comma 4 2 3 5 2 2 2" xfId="16906" xr:uid="{9DD74902-9508-43D0-B499-6D746A9FF103}"/>
    <cellStyle name="Comma 4 2 3 5 2 3" xfId="12689" xr:uid="{A6F1C780-B857-4410-A856-2A75745D91CE}"/>
    <cellStyle name="Comma 4 2 3 5 3" xfId="5435" xr:uid="{00000000-0005-0000-0000-0000A8080000}"/>
    <cellStyle name="Comma 4 2 3 5 3 2" xfId="14761" xr:uid="{B84EDC63-A700-467A-9E9A-F54B86120603}"/>
    <cellStyle name="Comma 4 2 3 5 4" xfId="10544" xr:uid="{8BF433DE-27E4-4C94-BD42-E57124CCB0DA}"/>
    <cellStyle name="Comma 4 2 3 6" xfId="1541" xr:uid="{00000000-0005-0000-0000-0000A9080000}"/>
    <cellStyle name="Comma 4 2 3 6 2" xfId="3771" xr:uid="{00000000-0005-0000-0000-0000AA080000}"/>
    <cellStyle name="Comma 4 2 3 6 2 2" xfId="7993" xr:uid="{00000000-0005-0000-0000-0000AB080000}"/>
    <cellStyle name="Comma 4 2 3 6 2 2 2" xfId="17319" xr:uid="{F0059678-BEE6-4556-82C0-A23DD5443FF0}"/>
    <cellStyle name="Comma 4 2 3 6 2 3" xfId="13102" xr:uid="{DB4BC08A-1181-4CDB-8EBF-2BDFA5BE5A71}"/>
    <cellStyle name="Comma 4 2 3 6 3" xfId="5848" xr:uid="{00000000-0005-0000-0000-0000AC080000}"/>
    <cellStyle name="Comma 4 2 3 6 3 2" xfId="15174" xr:uid="{6BD37F59-37BC-40F5-8C52-5B9790A58CFC}"/>
    <cellStyle name="Comma 4 2 3 6 4" xfId="10957" xr:uid="{65A15CC2-76E3-47C7-B823-BDD2F71551D0}"/>
    <cellStyle name="Comma 4 2 3 7" xfId="1955" xr:uid="{00000000-0005-0000-0000-0000AD080000}"/>
    <cellStyle name="Comma 4 2 3 7 2" xfId="4184" xr:uid="{00000000-0005-0000-0000-0000AE080000}"/>
    <cellStyle name="Comma 4 2 3 7 2 2" xfId="8406" xr:uid="{00000000-0005-0000-0000-0000AF080000}"/>
    <cellStyle name="Comma 4 2 3 7 2 2 2" xfId="17732" xr:uid="{7A05A6DE-59B9-4460-B9D9-174E83E79837}"/>
    <cellStyle name="Comma 4 2 3 7 2 3" xfId="13515" xr:uid="{3203D0A3-9E07-45BB-A0A1-C2A8A682C08B}"/>
    <cellStyle name="Comma 4 2 3 7 3" xfId="6261" xr:uid="{00000000-0005-0000-0000-0000B0080000}"/>
    <cellStyle name="Comma 4 2 3 7 3 2" xfId="15587" xr:uid="{1FED1169-C75F-41BD-B1BD-2683DFFBE8BA}"/>
    <cellStyle name="Comma 4 2 3 7 4" xfId="11370" xr:uid="{B94715D7-386C-4364-A400-A4403C97AE9D}"/>
    <cellStyle name="Comma 4 2 3 8" xfId="2390" xr:uid="{00000000-0005-0000-0000-0000B1080000}"/>
    <cellStyle name="Comma 4 2 3 8 2" xfId="6674" xr:uid="{00000000-0005-0000-0000-0000B2080000}"/>
    <cellStyle name="Comma 4 2 3 8 2 2" xfId="16000" xr:uid="{13A3EA68-C828-4FE5-8062-CA9C2EA25DA0}"/>
    <cellStyle name="Comma 4 2 3 8 3" xfId="11783" xr:uid="{638974C1-EC04-41AC-80A9-9E9D890C353E}"/>
    <cellStyle name="Comma 4 2 3 9" xfId="2373" xr:uid="{00000000-0005-0000-0000-0000B3080000}"/>
    <cellStyle name="Comma 4 2 4" xfId="140" xr:uid="{00000000-0005-0000-0000-0000B4080000}"/>
    <cellStyle name="Comma 4 2 4 10" xfId="4612" xr:uid="{00000000-0005-0000-0000-0000B5080000}"/>
    <cellStyle name="Comma 4 2 4 10 2" xfId="13938" xr:uid="{551975C5-88E1-4D84-97E7-0BEF896C08A1}"/>
    <cellStyle name="Comma 4 2 4 11" xfId="8858" xr:uid="{B6A00C95-D04C-44B2-B8AF-67540882256C}"/>
    <cellStyle name="Comma 4 2 4 11 2" xfId="18182" xr:uid="{D23CC7AE-8022-4546-B74D-A2AC3B96F70F}"/>
    <cellStyle name="Comma 4 2 4 12" xfId="9721" xr:uid="{975B78E1-1C69-4AEB-A6D0-B665E0CC6D99}"/>
    <cellStyle name="Comma 4 2 4 2" xfId="141" xr:uid="{00000000-0005-0000-0000-0000B6080000}"/>
    <cellStyle name="Comma 4 2 4 2 10" xfId="9065" xr:uid="{961AA06A-D943-447E-AADB-49B440E7E7CE}"/>
    <cellStyle name="Comma 4 2 4 2 10 2" xfId="18389" xr:uid="{763C8E60-6947-4392-840C-0E8ADC72349A}"/>
    <cellStyle name="Comma 4 2 4 2 11" xfId="9722" xr:uid="{55970F41-353C-4087-AEC8-BEF24B8F4ECD}"/>
    <cellStyle name="Comma 4 2 4 2 2" xfId="679" xr:uid="{00000000-0005-0000-0000-0000B7080000}"/>
    <cellStyle name="Comma 4 2 4 2 2 2" xfId="2950" xr:uid="{00000000-0005-0000-0000-0000B8080000}"/>
    <cellStyle name="Comma 4 2 4 2 2 2 2" xfId="7172" xr:uid="{00000000-0005-0000-0000-0000B9080000}"/>
    <cellStyle name="Comma 4 2 4 2 2 2 2 2" xfId="16498" xr:uid="{375ACC34-B847-40A5-B500-F917658A441F}"/>
    <cellStyle name="Comma 4 2 4 2 2 2 3" xfId="12281" xr:uid="{D194048C-EC02-408B-97F4-22F22FC77B9B}"/>
    <cellStyle name="Comma 4 2 4 2 2 3" xfId="5027" xr:uid="{00000000-0005-0000-0000-0000BA080000}"/>
    <cellStyle name="Comma 4 2 4 2 2 3 2" xfId="14353" xr:uid="{E8CDB3F0-5A3B-4945-BD3A-9B02ACC44632}"/>
    <cellStyle name="Comma 4 2 4 2 2 4" xfId="9490" xr:uid="{2FAEB1E6-7B41-437B-B2A9-4352AB4F4B98}"/>
    <cellStyle name="Comma 4 2 4 2 2 4 2" xfId="18805" xr:uid="{58E5B623-C7FE-4B48-893A-23F0863FBD71}"/>
    <cellStyle name="Comma 4 2 4 2 2 5" xfId="10136" xr:uid="{7E1E63E1-5158-410D-949B-62493649C6D7}"/>
    <cellStyle name="Comma 4 2 4 2 3" xfId="1132" xr:uid="{00000000-0005-0000-0000-0000BB080000}"/>
    <cellStyle name="Comma 4 2 4 2 3 2" xfId="3363" xr:uid="{00000000-0005-0000-0000-0000BC080000}"/>
    <cellStyle name="Comma 4 2 4 2 3 2 2" xfId="7585" xr:uid="{00000000-0005-0000-0000-0000BD080000}"/>
    <cellStyle name="Comma 4 2 4 2 3 2 2 2" xfId="16911" xr:uid="{3065E25F-3B51-48C5-B841-6DF21E09F15E}"/>
    <cellStyle name="Comma 4 2 4 2 3 2 3" xfId="12694" xr:uid="{DA995CB2-87C7-498A-8AEB-B7F6CEFEE586}"/>
    <cellStyle name="Comma 4 2 4 2 3 3" xfId="5440" xr:uid="{00000000-0005-0000-0000-0000BE080000}"/>
    <cellStyle name="Comma 4 2 4 2 3 3 2" xfId="14766" xr:uid="{552AE8D5-6670-4755-9FF1-1BDAD89199B4}"/>
    <cellStyle name="Comma 4 2 4 2 3 4" xfId="10549" xr:uid="{98DBC8DE-AC4A-488C-8345-6285D3917503}"/>
    <cellStyle name="Comma 4 2 4 2 4" xfId="1546" xr:uid="{00000000-0005-0000-0000-0000BF080000}"/>
    <cellStyle name="Comma 4 2 4 2 4 2" xfId="3776" xr:uid="{00000000-0005-0000-0000-0000C0080000}"/>
    <cellStyle name="Comma 4 2 4 2 4 2 2" xfId="7998" xr:uid="{00000000-0005-0000-0000-0000C1080000}"/>
    <cellStyle name="Comma 4 2 4 2 4 2 2 2" xfId="17324" xr:uid="{3FCCD5E1-B014-44FE-B91B-CFB06F62BD88}"/>
    <cellStyle name="Comma 4 2 4 2 4 2 3" xfId="13107" xr:uid="{57382EEF-7D9E-4FB4-B861-95A8B567B6F8}"/>
    <cellStyle name="Comma 4 2 4 2 4 3" xfId="5853" xr:uid="{00000000-0005-0000-0000-0000C2080000}"/>
    <cellStyle name="Comma 4 2 4 2 4 3 2" xfId="15179" xr:uid="{C07C64DE-D3E2-4D5E-8716-20E263DE606D}"/>
    <cellStyle name="Comma 4 2 4 2 4 4" xfId="10962" xr:uid="{205708CE-6A0F-42E5-9F56-7581F46E37A7}"/>
    <cellStyle name="Comma 4 2 4 2 5" xfId="1960" xr:uid="{00000000-0005-0000-0000-0000C3080000}"/>
    <cellStyle name="Comma 4 2 4 2 5 2" xfId="4189" xr:uid="{00000000-0005-0000-0000-0000C4080000}"/>
    <cellStyle name="Comma 4 2 4 2 5 2 2" xfId="8411" xr:uid="{00000000-0005-0000-0000-0000C5080000}"/>
    <cellStyle name="Comma 4 2 4 2 5 2 2 2" xfId="17737" xr:uid="{90C8E4E6-3347-4737-8BD2-DBF7FACE969D}"/>
    <cellStyle name="Comma 4 2 4 2 5 2 3" xfId="13520" xr:uid="{098EB393-CE90-4453-A481-5BF680D5C402}"/>
    <cellStyle name="Comma 4 2 4 2 5 3" xfId="6266" xr:uid="{00000000-0005-0000-0000-0000C6080000}"/>
    <cellStyle name="Comma 4 2 4 2 5 3 2" xfId="15592" xr:uid="{8354190A-9642-4D9F-951D-1EE562F25DDA}"/>
    <cellStyle name="Comma 4 2 4 2 5 4" xfId="11375" xr:uid="{EE9F5B87-2AAC-476B-9045-079BADBB4AAF}"/>
    <cellStyle name="Comma 4 2 4 2 6" xfId="2395" xr:uid="{00000000-0005-0000-0000-0000C7080000}"/>
    <cellStyle name="Comma 4 2 4 2 6 2" xfId="6679" xr:uid="{00000000-0005-0000-0000-0000C8080000}"/>
    <cellStyle name="Comma 4 2 4 2 6 2 2" xfId="16005" xr:uid="{04327124-1B2B-40FA-81D7-792C51A5DB0D}"/>
    <cellStyle name="Comma 4 2 4 2 6 3" xfId="11788" xr:uid="{A87143D8-9819-4D56-9328-A1C731834FBF}"/>
    <cellStyle name="Comma 4 2 4 2 7" xfId="2368" xr:uid="{00000000-0005-0000-0000-0000C9080000}"/>
    <cellStyle name="Comma 4 2 4 2 8" xfId="2773" xr:uid="{00000000-0005-0000-0000-0000CA080000}"/>
    <cellStyle name="Comma 4 2 4 2 8 2" xfId="6996" xr:uid="{00000000-0005-0000-0000-0000CB080000}"/>
    <cellStyle name="Comma 4 2 4 2 8 2 2" xfId="16322" xr:uid="{213CCC05-72C1-4392-8D25-2F4DB1A9CFD7}"/>
    <cellStyle name="Comma 4 2 4 2 8 3" xfId="12105" xr:uid="{BE34D7C7-F5BE-4A85-94E6-8DAC5F7BE0E6}"/>
    <cellStyle name="Comma 4 2 4 2 9" xfId="4613" xr:uid="{00000000-0005-0000-0000-0000CC080000}"/>
    <cellStyle name="Comma 4 2 4 2 9 2" xfId="13939" xr:uid="{129AB536-8C9A-4F82-A47E-29C69A6CFC4E}"/>
    <cellStyle name="Comma 4 2 4 3" xfId="678" xr:uid="{00000000-0005-0000-0000-0000CD080000}"/>
    <cellStyle name="Comma 4 2 4 3 2" xfId="2949" xr:uid="{00000000-0005-0000-0000-0000CE080000}"/>
    <cellStyle name="Comma 4 2 4 3 2 2" xfId="7171" xr:uid="{00000000-0005-0000-0000-0000CF080000}"/>
    <cellStyle name="Comma 4 2 4 3 2 2 2" xfId="16497" xr:uid="{9A62BF3D-DBBC-42DB-A438-709DBDA071BC}"/>
    <cellStyle name="Comma 4 2 4 3 2 3" xfId="12280" xr:uid="{43365760-487B-4BAC-8EE7-36DD1C799B64}"/>
    <cellStyle name="Comma 4 2 4 3 3" xfId="5026" xr:uid="{00000000-0005-0000-0000-0000D0080000}"/>
    <cellStyle name="Comma 4 2 4 3 3 2" xfId="14352" xr:uid="{E5F9EAD2-BE20-4109-AADC-6293DE277DF9}"/>
    <cellStyle name="Comma 4 2 4 3 4" xfId="9283" xr:uid="{7E46ED3C-A8F4-4512-93D9-5F41F1AC397C}"/>
    <cellStyle name="Comma 4 2 4 3 4 2" xfId="18598" xr:uid="{9F4AFA41-1A50-4E21-8DDF-DBB0F30DF2C4}"/>
    <cellStyle name="Comma 4 2 4 3 5" xfId="10135" xr:uid="{2566B7C8-EBA4-4D2D-908D-2A4640715BE3}"/>
    <cellStyle name="Comma 4 2 4 4" xfId="1131" xr:uid="{00000000-0005-0000-0000-0000D1080000}"/>
    <cellStyle name="Comma 4 2 4 4 2" xfId="3362" xr:uid="{00000000-0005-0000-0000-0000D2080000}"/>
    <cellStyle name="Comma 4 2 4 4 2 2" xfId="7584" xr:uid="{00000000-0005-0000-0000-0000D3080000}"/>
    <cellStyle name="Comma 4 2 4 4 2 2 2" xfId="16910" xr:uid="{B3EEE170-D9CC-48F0-98CB-7FF7DFC06ABD}"/>
    <cellStyle name="Comma 4 2 4 4 2 3" xfId="12693" xr:uid="{4998E483-2A16-4F54-BFFF-72563D74A474}"/>
    <cellStyle name="Comma 4 2 4 4 3" xfId="5439" xr:uid="{00000000-0005-0000-0000-0000D4080000}"/>
    <cellStyle name="Comma 4 2 4 4 3 2" xfId="14765" xr:uid="{3FDEADE6-EF82-4090-B0B2-3AD313E71819}"/>
    <cellStyle name="Comma 4 2 4 4 4" xfId="10548" xr:uid="{075AE577-6D1D-4C7C-83D7-84D971CA8AB5}"/>
    <cellStyle name="Comma 4 2 4 5" xfId="1545" xr:uid="{00000000-0005-0000-0000-0000D5080000}"/>
    <cellStyle name="Comma 4 2 4 5 2" xfId="3775" xr:uid="{00000000-0005-0000-0000-0000D6080000}"/>
    <cellStyle name="Comma 4 2 4 5 2 2" xfId="7997" xr:uid="{00000000-0005-0000-0000-0000D7080000}"/>
    <cellStyle name="Comma 4 2 4 5 2 2 2" xfId="17323" xr:uid="{435197C8-122B-4BC3-BBA4-C090A019A40D}"/>
    <cellStyle name="Comma 4 2 4 5 2 3" xfId="13106" xr:uid="{CE622202-84F7-4226-823A-8EEC6B92ECD1}"/>
    <cellStyle name="Comma 4 2 4 5 3" xfId="5852" xr:uid="{00000000-0005-0000-0000-0000D8080000}"/>
    <cellStyle name="Comma 4 2 4 5 3 2" xfId="15178" xr:uid="{12244475-35C6-498F-914E-7ECFEBEEAED1}"/>
    <cellStyle name="Comma 4 2 4 5 4" xfId="10961" xr:uid="{09226195-DDE2-4CCE-ABB5-21D87F882748}"/>
    <cellStyle name="Comma 4 2 4 6" xfId="1959" xr:uid="{00000000-0005-0000-0000-0000D9080000}"/>
    <cellStyle name="Comma 4 2 4 6 2" xfId="4188" xr:uid="{00000000-0005-0000-0000-0000DA080000}"/>
    <cellStyle name="Comma 4 2 4 6 2 2" xfId="8410" xr:uid="{00000000-0005-0000-0000-0000DB080000}"/>
    <cellStyle name="Comma 4 2 4 6 2 2 2" xfId="17736" xr:uid="{C8D77FD7-61DB-4AF5-AEAE-298A73DA5404}"/>
    <cellStyle name="Comma 4 2 4 6 2 3" xfId="13519" xr:uid="{0F4DD07F-7ED8-472D-8AB4-5000B45E9D94}"/>
    <cellStyle name="Comma 4 2 4 6 3" xfId="6265" xr:uid="{00000000-0005-0000-0000-0000DC080000}"/>
    <cellStyle name="Comma 4 2 4 6 3 2" xfId="15591" xr:uid="{E9E77FA0-D79D-46DB-9804-6BE5581886DA}"/>
    <cellStyle name="Comma 4 2 4 6 4" xfId="11374" xr:uid="{68C57914-A79D-49F7-ACED-20BFE72A65F7}"/>
    <cellStyle name="Comma 4 2 4 7" xfId="2394" xr:uid="{00000000-0005-0000-0000-0000DD080000}"/>
    <cellStyle name="Comma 4 2 4 7 2" xfId="6678" xr:uid="{00000000-0005-0000-0000-0000DE080000}"/>
    <cellStyle name="Comma 4 2 4 7 2 2" xfId="16004" xr:uid="{359DC8E9-0A92-4506-857A-D62C38B06C04}"/>
    <cellStyle name="Comma 4 2 4 7 3" xfId="11787" xr:uid="{3D659CE9-4748-41C6-BCE6-DCBFE67B2A7A}"/>
    <cellStyle name="Comma 4 2 4 8" xfId="2369" xr:uid="{00000000-0005-0000-0000-0000DF080000}"/>
    <cellStyle name="Comma 4 2 4 9" xfId="2772" xr:uid="{00000000-0005-0000-0000-0000E0080000}"/>
    <cellStyle name="Comma 4 2 4 9 2" xfId="6995" xr:uid="{00000000-0005-0000-0000-0000E1080000}"/>
    <cellStyle name="Comma 4 2 4 9 2 2" xfId="16321" xr:uid="{B5A41916-216E-4A88-B567-F328916E7D16}"/>
    <cellStyle name="Comma 4 2 4 9 3" xfId="12104" xr:uid="{7A78E809-07E7-45AF-8F72-DED7FD8A33D7}"/>
    <cellStyle name="Comma 4 2 5" xfId="142" xr:uid="{00000000-0005-0000-0000-0000E2080000}"/>
    <cellStyle name="Comma 4 2 5 10" xfId="8974" xr:uid="{86B0C89A-8A2D-4755-B15D-84E412E1D380}"/>
    <cellStyle name="Comma 4 2 5 10 2" xfId="18298" xr:uid="{62AB67D3-6D53-4DF5-A0B0-6D34ED76F2D9}"/>
    <cellStyle name="Comma 4 2 5 11" xfId="9723" xr:uid="{F18E71B5-6135-40EF-836A-85A66EA99715}"/>
    <cellStyle name="Comma 4 2 5 2" xfId="680" xr:uid="{00000000-0005-0000-0000-0000E3080000}"/>
    <cellStyle name="Comma 4 2 5 2 2" xfId="2951" xr:uid="{00000000-0005-0000-0000-0000E4080000}"/>
    <cellStyle name="Comma 4 2 5 2 2 2" xfId="7173" xr:uid="{00000000-0005-0000-0000-0000E5080000}"/>
    <cellStyle name="Comma 4 2 5 2 2 2 2" xfId="16499" xr:uid="{F733A5A0-ADED-4DF1-8649-75EFF6459616}"/>
    <cellStyle name="Comma 4 2 5 2 2 3" xfId="12282" xr:uid="{06572016-B717-4B62-BD70-6AD1BC52DF6F}"/>
    <cellStyle name="Comma 4 2 5 2 3" xfId="5028" xr:uid="{00000000-0005-0000-0000-0000E6080000}"/>
    <cellStyle name="Comma 4 2 5 2 3 2" xfId="14354" xr:uid="{64C89BD3-45FC-4E84-AC2D-F14002A30EB2}"/>
    <cellStyle name="Comma 4 2 5 2 4" xfId="9399" xr:uid="{1B388BC7-1FC6-4DC3-B345-755F61B57864}"/>
    <cellStyle name="Comma 4 2 5 2 4 2" xfId="18714" xr:uid="{31E66881-A72A-4177-9CFA-14DFADB37310}"/>
    <cellStyle name="Comma 4 2 5 2 5" xfId="10137" xr:uid="{95FB342F-6161-4B18-A543-EA05FE978207}"/>
    <cellStyle name="Comma 4 2 5 3" xfId="1133" xr:uid="{00000000-0005-0000-0000-0000E7080000}"/>
    <cellStyle name="Comma 4 2 5 3 2" xfId="3364" xr:uid="{00000000-0005-0000-0000-0000E8080000}"/>
    <cellStyle name="Comma 4 2 5 3 2 2" xfId="7586" xr:uid="{00000000-0005-0000-0000-0000E9080000}"/>
    <cellStyle name="Comma 4 2 5 3 2 2 2" xfId="16912" xr:uid="{14F0CF44-23BB-4C03-90F8-61F251724B60}"/>
    <cellStyle name="Comma 4 2 5 3 2 3" xfId="12695" xr:uid="{8FBAE559-D300-4507-BAED-B4DECBD82DB4}"/>
    <cellStyle name="Comma 4 2 5 3 3" xfId="5441" xr:uid="{00000000-0005-0000-0000-0000EA080000}"/>
    <cellStyle name="Comma 4 2 5 3 3 2" xfId="14767" xr:uid="{D088A606-EBA9-4737-A35F-BF4BB5AFDB47}"/>
    <cellStyle name="Comma 4 2 5 3 4" xfId="10550" xr:uid="{FD807175-9B00-4DE6-B5F8-6F0E70B1A045}"/>
    <cellStyle name="Comma 4 2 5 4" xfId="1547" xr:uid="{00000000-0005-0000-0000-0000EB080000}"/>
    <cellStyle name="Comma 4 2 5 4 2" xfId="3777" xr:uid="{00000000-0005-0000-0000-0000EC080000}"/>
    <cellStyle name="Comma 4 2 5 4 2 2" xfId="7999" xr:uid="{00000000-0005-0000-0000-0000ED080000}"/>
    <cellStyle name="Comma 4 2 5 4 2 2 2" xfId="17325" xr:uid="{661C5753-5166-4753-A93C-9544D82C15DB}"/>
    <cellStyle name="Comma 4 2 5 4 2 3" xfId="13108" xr:uid="{14F30067-BF53-4F5F-B9C7-C3C33B8EAE7D}"/>
    <cellStyle name="Comma 4 2 5 4 3" xfId="5854" xr:uid="{00000000-0005-0000-0000-0000EE080000}"/>
    <cellStyle name="Comma 4 2 5 4 3 2" xfId="15180" xr:uid="{D0107E0E-F231-400D-B2E0-7FB028C614E8}"/>
    <cellStyle name="Comma 4 2 5 4 4" xfId="10963" xr:uid="{C7837EBD-816C-456A-86D5-FF7AA93E414B}"/>
    <cellStyle name="Comma 4 2 5 5" xfId="1961" xr:uid="{00000000-0005-0000-0000-0000EF080000}"/>
    <cellStyle name="Comma 4 2 5 5 2" xfId="4190" xr:uid="{00000000-0005-0000-0000-0000F0080000}"/>
    <cellStyle name="Comma 4 2 5 5 2 2" xfId="8412" xr:uid="{00000000-0005-0000-0000-0000F1080000}"/>
    <cellStyle name="Comma 4 2 5 5 2 2 2" xfId="17738" xr:uid="{E3487FE9-4258-415C-82BE-64F42C0880FA}"/>
    <cellStyle name="Comma 4 2 5 5 2 3" xfId="13521" xr:uid="{A34FE07C-58A2-4A77-A49B-EE06C10ED3B4}"/>
    <cellStyle name="Comma 4 2 5 5 3" xfId="6267" xr:uid="{00000000-0005-0000-0000-0000F2080000}"/>
    <cellStyle name="Comma 4 2 5 5 3 2" xfId="15593" xr:uid="{FCDA9D73-2A8C-495A-96C8-403048A5E12D}"/>
    <cellStyle name="Comma 4 2 5 5 4" xfId="11376" xr:uid="{6F7648E5-E8FB-48A5-AB04-D9E0BC9CFFD7}"/>
    <cellStyle name="Comma 4 2 5 6" xfId="2396" xr:uid="{00000000-0005-0000-0000-0000F3080000}"/>
    <cellStyle name="Comma 4 2 5 6 2" xfId="6680" xr:uid="{00000000-0005-0000-0000-0000F4080000}"/>
    <cellStyle name="Comma 4 2 5 6 2 2" xfId="16006" xr:uid="{7A1255F8-F435-434E-8B91-49D2392A72E6}"/>
    <cellStyle name="Comma 4 2 5 6 3" xfId="11789" xr:uid="{7C7D4619-48FB-448F-A5B6-EDFD36A7CC0D}"/>
    <cellStyle name="Comma 4 2 5 7" xfId="2367" xr:uid="{00000000-0005-0000-0000-0000F5080000}"/>
    <cellStyle name="Comma 4 2 5 8" xfId="2774" xr:uid="{00000000-0005-0000-0000-0000F6080000}"/>
    <cellStyle name="Comma 4 2 5 8 2" xfId="6997" xr:uid="{00000000-0005-0000-0000-0000F7080000}"/>
    <cellStyle name="Comma 4 2 5 8 2 2" xfId="16323" xr:uid="{91E59199-3050-408C-93E3-FD481E9C8120}"/>
    <cellStyle name="Comma 4 2 5 8 3" xfId="12106" xr:uid="{8E22690E-3C24-423C-8DFE-69F5C22951C7}"/>
    <cellStyle name="Comma 4 2 5 9" xfId="4614" xr:uid="{00000000-0005-0000-0000-0000F8080000}"/>
    <cellStyle name="Comma 4 2 5 9 2" xfId="13940" xr:uid="{E6F59306-48F5-45DB-9721-27D0DA7771E2}"/>
    <cellStyle name="Comma 4 2 6" xfId="143" xr:uid="{00000000-0005-0000-0000-0000F9080000}"/>
    <cellStyle name="Comma 4 2 6 10" xfId="9177" xr:uid="{A20A3B72-7630-464F-8E57-DA2B9D6E44FB}"/>
    <cellStyle name="Comma 4 2 6 10 2" xfId="18495" xr:uid="{ECE4E738-82DD-4B4D-98BD-C3ADBF5D1A95}"/>
    <cellStyle name="Comma 4 2 6 11" xfId="9724" xr:uid="{980BE344-A7D4-44EA-9306-40520AE3E970}"/>
    <cellStyle name="Comma 4 2 6 2" xfId="681" xr:uid="{00000000-0005-0000-0000-0000FA080000}"/>
    <cellStyle name="Comma 4 2 6 2 2" xfId="2952" xr:uid="{00000000-0005-0000-0000-0000FB080000}"/>
    <cellStyle name="Comma 4 2 6 2 2 2" xfId="7174" xr:uid="{00000000-0005-0000-0000-0000FC080000}"/>
    <cellStyle name="Comma 4 2 6 2 2 2 2" xfId="16500" xr:uid="{2371C90C-B434-4D26-955C-85A8F3AFF4DF}"/>
    <cellStyle name="Comma 4 2 6 2 2 3" xfId="12283" xr:uid="{879F5BCC-6FA6-445C-9A10-50DED2E66105}"/>
    <cellStyle name="Comma 4 2 6 2 3" xfId="5029" xr:uid="{00000000-0005-0000-0000-0000FD080000}"/>
    <cellStyle name="Comma 4 2 6 2 3 2" xfId="14355" xr:uid="{5E77EAAB-E974-454D-BC6E-0CC59C8DE5C0}"/>
    <cellStyle name="Comma 4 2 6 2 4" xfId="9594" xr:uid="{CCB8D3FE-19FC-4F7F-9966-44FD23A1A32A}"/>
    <cellStyle name="Comma 4 2 6 2 4 2" xfId="18898" xr:uid="{91D75415-8513-48E8-9D8B-60140D584EC3}"/>
    <cellStyle name="Comma 4 2 6 2 5" xfId="10138" xr:uid="{B56AD546-AAA6-428A-B7CF-338F3911FE24}"/>
    <cellStyle name="Comma 4 2 6 3" xfId="1134" xr:uid="{00000000-0005-0000-0000-0000FE080000}"/>
    <cellStyle name="Comma 4 2 6 3 2" xfId="3365" xr:uid="{00000000-0005-0000-0000-0000FF080000}"/>
    <cellStyle name="Comma 4 2 6 3 2 2" xfId="7587" xr:uid="{00000000-0005-0000-0000-000000090000}"/>
    <cellStyle name="Comma 4 2 6 3 2 2 2" xfId="16913" xr:uid="{1D0091C6-05ED-4A92-A82E-DC7C231283B2}"/>
    <cellStyle name="Comma 4 2 6 3 2 3" xfId="12696" xr:uid="{744EBD92-2FAE-406A-9BF4-73FAA743F555}"/>
    <cellStyle name="Comma 4 2 6 3 3" xfId="5442" xr:uid="{00000000-0005-0000-0000-000001090000}"/>
    <cellStyle name="Comma 4 2 6 3 3 2" xfId="14768" xr:uid="{C8B2EA0E-8155-496D-8C5F-D5B9C4EE3DED}"/>
    <cellStyle name="Comma 4 2 6 3 4" xfId="10551" xr:uid="{8B1538AC-F34D-4ED9-8248-7A130E5F1939}"/>
    <cellStyle name="Comma 4 2 6 4" xfId="1548" xr:uid="{00000000-0005-0000-0000-000002090000}"/>
    <cellStyle name="Comma 4 2 6 4 2" xfId="3778" xr:uid="{00000000-0005-0000-0000-000003090000}"/>
    <cellStyle name="Comma 4 2 6 4 2 2" xfId="8000" xr:uid="{00000000-0005-0000-0000-000004090000}"/>
    <cellStyle name="Comma 4 2 6 4 2 2 2" xfId="17326" xr:uid="{B714591D-2CD7-4C29-ABF1-F2B89D37E5E4}"/>
    <cellStyle name="Comma 4 2 6 4 2 3" xfId="13109" xr:uid="{09D860B0-03E0-4614-8103-3B4AD543D225}"/>
    <cellStyle name="Comma 4 2 6 4 3" xfId="5855" xr:uid="{00000000-0005-0000-0000-000005090000}"/>
    <cellStyle name="Comma 4 2 6 4 3 2" xfId="15181" xr:uid="{AE132BB2-D3E0-4B3E-BA73-0C92F480E5E5}"/>
    <cellStyle name="Comma 4 2 6 4 4" xfId="10964" xr:uid="{BD94371A-8E68-4381-AA21-45F2230868C4}"/>
    <cellStyle name="Comma 4 2 6 5" xfId="1962" xr:uid="{00000000-0005-0000-0000-000006090000}"/>
    <cellStyle name="Comma 4 2 6 5 2" xfId="4191" xr:uid="{00000000-0005-0000-0000-000007090000}"/>
    <cellStyle name="Comma 4 2 6 5 2 2" xfId="8413" xr:uid="{00000000-0005-0000-0000-000008090000}"/>
    <cellStyle name="Comma 4 2 6 5 2 2 2" xfId="17739" xr:uid="{4B72D63B-69B5-4615-B9AF-1CB3A2097189}"/>
    <cellStyle name="Comma 4 2 6 5 2 3" xfId="13522" xr:uid="{9B5E5B7D-3384-44CC-8897-F2F1556F725C}"/>
    <cellStyle name="Comma 4 2 6 5 3" xfId="6268" xr:uid="{00000000-0005-0000-0000-000009090000}"/>
    <cellStyle name="Comma 4 2 6 5 3 2" xfId="15594" xr:uid="{07D0A202-5994-4FE1-918B-73A6EA15E71D}"/>
    <cellStyle name="Comma 4 2 6 5 4" xfId="11377" xr:uid="{6D5AD919-49F3-45A8-9152-C3FCA081B088}"/>
    <cellStyle name="Comma 4 2 6 6" xfId="2397" xr:uid="{00000000-0005-0000-0000-00000A090000}"/>
    <cellStyle name="Comma 4 2 6 6 2" xfId="6681" xr:uid="{00000000-0005-0000-0000-00000B090000}"/>
    <cellStyle name="Comma 4 2 6 6 2 2" xfId="16007" xr:uid="{4E7E96AB-A939-4485-9D41-B8A8C86A92A1}"/>
    <cellStyle name="Comma 4 2 6 6 3" xfId="11790" xr:uid="{7CEDA8CC-BE0D-4A31-B372-86C6D9B323FB}"/>
    <cellStyle name="Comma 4 2 6 7" xfId="2366" xr:uid="{00000000-0005-0000-0000-00000C090000}"/>
    <cellStyle name="Comma 4 2 6 8" xfId="2775" xr:uid="{00000000-0005-0000-0000-00000D090000}"/>
    <cellStyle name="Comma 4 2 6 8 2" xfId="6998" xr:uid="{00000000-0005-0000-0000-00000E090000}"/>
    <cellStyle name="Comma 4 2 6 8 2 2" xfId="16324" xr:uid="{B948DCDB-8EB3-4CD8-802B-38DE2428275E}"/>
    <cellStyle name="Comma 4 2 6 8 3" xfId="12107" xr:uid="{D62707CA-4723-437F-94A5-1324DF0E631E}"/>
    <cellStyle name="Comma 4 2 6 9" xfId="4615" xr:uid="{00000000-0005-0000-0000-00000F090000}"/>
    <cellStyle name="Comma 4 2 6 9 2" xfId="13941" xr:uid="{0EC319E2-A827-486A-AA5A-E877A01B85F4}"/>
    <cellStyle name="Comma 4 2 7" xfId="9190" xr:uid="{C8B7F6BD-E2DD-41C7-A6AF-A5C7B900A7ED}"/>
    <cellStyle name="Comma 4 2 8" xfId="8755" xr:uid="{40286204-C766-4116-8542-387551AD6364}"/>
    <cellStyle name="Comma 4 2 8 2" xfId="18079" xr:uid="{22D84A1A-48BE-41B7-905F-52ED57E7760F}"/>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16325" xr:uid="{BB9DCC66-ABA0-4B1F-89AF-ECA0BA0A6CDC}"/>
    <cellStyle name="Comma 4 3 2 10 3" xfId="12108" xr:uid="{07F969E6-BA0B-4030-9139-5FDA80673421}"/>
    <cellStyle name="Comma 4 3 2 11" xfId="4616" xr:uid="{00000000-0005-0000-0000-000014090000}"/>
    <cellStyle name="Comma 4 3 2 11 2" xfId="13942" xr:uid="{731B654D-A2F7-41E2-823C-9C29E8576273}"/>
    <cellStyle name="Comma 4 3 2 12" xfId="8807" xr:uid="{5C5EF314-D0DB-425B-AE7D-D52FEEE90EC1}"/>
    <cellStyle name="Comma 4 3 2 12 2" xfId="18131" xr:uid="{FE0EE3CA-1F15-47FE-9C8E-0401EB2FC0FA}"/>
    <cellStyle name="Comma 4 3 2 13" xfId="9725" xr:uid="{FA5BBAA0-EF9E-4518-929D-D7EB994B9C80}"/>
    <cellStyle name="Comma 4 3 2 2" xfId="146" xr:uid="{00000000-0005-0000-0000-000015090000}"/>
    <cellStyle name="Comma 4 3 2 2 10" xfId="4617" xr:uid="{00000000-0005-0000-0000-000016090000}"/>
    <cellStyle name="Comma 4 3 2 2 10 2" xfId="13943" xr:uid="{B4761AFE-E56B-4BFD-AA2A-579D87A2205E}"/>
    <cellStyle name="Comma 4 3 2 2 11" xfId="8910" xr:uid="{15019DD0-71A0-438D-B796-68DE42B22692}"/>
    <cellStyle name="Comma 4 3 2 2 11 2" xfId="18234" xr:uid="{533EC6E4-A373-40AB-88C1-1172269CB6EB}"/>
    <cellStyle name="Comma 4 3 2 2 12" xfId="9726" xr:uid="{F9857399-312C-4D32-8F93-1E6561AA791F}"/>
    <cellStyle name="Comma 4 3 2 2 2" xfId="147" xr:uid="{00000000-0005-0000-0000-000017090000}"/>
    <cellStyle name="Comma 4 3 2 2 2 10" xfId="9117" xr:uid="{1409F531-DBF2-41E0-9C74-F9317358BA15}"/>
    <cellStyle name="Comma 4 3 2 2 2 10 2" xfId="18441" xr:uid="{7733067F-C865-454D-AF97-66BCEEE0EF3A}"/>
    <cellStyle name="Comma 4 3 2 2 2 11" xfId="9727" xr:uid="{EB45F622-A8CD-4DF6-B6A3-9269A6E8F05B}"/>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16503" xr:uid="{46532176-811A-43F7-B72A-8009A2B1EA52}"/>
    <cellStyle name="Comma 4 3 2 2 2 2 2 3" xfId="12286" xr:uid="{0856E2FE-F5D3-4764-AAA7-1234AFD553FA}"/>
    <cellStyle name="Comma 4 3 2 2 2 2 3" xfId="5032" xr:uid="{00000000-0005-0000-0000-00001B090000}"/>
    <cellStyle name="Comma 4 3 2 2 2 2 3 2" xfId="14358" xr:uid="{B25A6E8E-CBA7-4AFF-968C-ACA38922A459}"/>
    <cellStyle name="Comma 4 3 2 2 2 2 4" xfId="9542" xr:uid="{26CD77CC-F017-4839-8245-BBF245D45E53}"/>
    <cellStyle name="Comma 4 3 2 2 2 2 4 2" xfId="18857" xr:uid="{BF9D430C-7E07-42EB-A3AC-30D79C663E73}"/>
    <cellStyle name="Comma 4 3 2 2 2 2 5" xfId="10141" xr:uid="{41C17680-774C-400E-8459-37D6275AE67A}"/>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16916" xr:uid="{0A7B015B-1DDE-49D5-B020-F2DDDCFD89E4}"/>
    <cellStyle name="Comma 4 3 2 2 2 3 2 3" xfId="12699" xr:uid="{D6DD3D3B-79D6-4F70-AC7C-6E7AE2AE6629}"/>
    <cellStyle name="Comma 4 3 2 2 2 3 3" xfId="5445" xr:uid="{00000000-0005-0000-0000-00001F090000}"/>
    <cellStyle name="Comma 4 3 2 2 2 3 3 2" xfId="14771" xr:uid="{885E2CA1-210D-4E21-B8DD-1918C6566564}"/>
    <cellStyle name="Comma 4 3 2 2 2 3 4" xfId="10554" xr:uid="{2D307C18-9E55-4B57-BCEB-73C14B90EE95}"/>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17329" xr:uid="{DA096736-FBDA-42C5-936E-097B2C1F77B0}"/>
    <cellStyle name="Comma 4 3 2 2 2 4 2 3" xfId="13112" xr:uid="{E31C979A-9791-4265-B865-7E8B9D5158D0}"/>
    <cellStyle name="Comma 4 3 2 2 2 4 3" xfId="5858" xr:uid="{00000000-0005-0000-0000-000023090000}"/>
    <cellStyle name="Comma 4 3 2 2 2 4 3 2" xfId="15184" xr:uid="{AB86F563-7D04-47E7-8BAA-03F5A2313455}"/>
    <cellStyle name="Comma 4 3 2 2 2 4 4" xfId="10967" xr:uid="{91DC5D90-C972-4093-9128-C26A03D6C55A}"/>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17742" xr:uid="{B2E603F8-997F-4C95-B477-540AD1696AE2}"/>
    <cellStyle name="Comma 4 3 2 2 2 5 2 3" xfId="13525" xr:uid="{BB451C91-3E54-467A-9834-70F3D11CFE85}"/>
    <cellStyle name="Comma 4 3 2 2 2 5 3" xfId="6271" xr:uid="{00000000-0005-0000-0000-000027090000}"/>
    <cellStyle name="Comma 4 3 2 2 2 5 3 2" xfId="15597" xr:uid="{D7D79289-DF72-4994-BB48-BEB7807B8EA8}"/>
    <cellStyle name="Comma 4 3 2 2 2 5 4" xfId="11380" xr:uid="{BBA342E3-AF23-4A05-AFC5-EFF86D881B3A}"/>
    <cellStyle name="Comma 4 3 2 2 2 6" xfId="2400" xr:uid="{00000000-0005-0000-0000-000028090000}"/>
    <cellStyle name="Comma 4 3 2 2 2 6 2" xfId="6684" xr:uid="{00000000-0005-0000-0000-000029090000}"/>
    <cellStyle name="Comma 4 3 2 2 2 6 2 2" xfId="16010" xr:uid="{A821EAAA-8096-4399-869C-313A17FD0E2D}"/>
    <cellStyle name="Comma 4 3 2 2 2 6 3" xfId="11793" xr:uid="{6A1F5122-7AEE-4E29-A66F-93100A43EC7F}"/>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16327" xr:uid="{0706E175-D912-4CBE-8511-F9B6852F7DCF}"/>
    <cellStyle name="Comma 4 3 2 2 2 8 3" xfId="12110" xr:uid="{ED40D6F3-A17E-4F79-869F-3E8E91A71B9C}"/>
    <cellStyle name="Comma 4 3 2 2 2 9" xfId="4618" xr:uid="{00000000-0005-0000-0000-00002D090000}"/>
    <cellStyle name="Comma 4 3 2 2 2 9 2" xfId="13944" xr:uid="{31C0B558-8B7E-4EC6-82FC-0D9EFA48B152}"/>
    <cellStyle name="Comma 4 3 2 2 3" xfId="683" xr:uid="{00000000-0005-0000-0000-00002E090000}"/>
    <cellStyle name="Comma 4 3 2 2 3 2" xfId="2954" xr:uid="{00000000-0005-0000-0000-00002F090000}"/>
    <cellStyle name="Comma 4 3 2 2 3 2 2" xfId="7176" xr:uid="{00000000-0005-0000-0000-000030090000}"/>
    <cellStyle name="Comma 4 3 2 2 3 2 2 2" xfId="16502" xr:uid="{3FAEC38E-D729-435C-8CD4-6989433A7425}"/>
    <cellStyle name="Comma 4 3 2 2 3 2 3" xfId="12285" xr:uid="{A3567C77-8B79-4439-A3BB-74E85F314818}"/>
    <cellStyle name="Comma 4 3 2 2 3 3" xfId="5031" xr:uid="{00000000-0005-0000-0000-000031090000}"/>
    <cellStyle name="Comma 4 3 2 2 3 3 2" xfId="14357" xr:uid="{51FD95D7-3AC9-4EF3-A14F-ADF0C607AEE4}"/>
    <cellStyle name="Comma 4 3 2 2 3 4" xfId="9335" xr:uid="{BACD532B-C811-4076-B107-03E74D1B7113}"/>
    <cellStyle name="Comma 4 3 2 2 3 4 2" xfId="18650" xr:uid="{19B8F118-6C59-4321-8F3E-82BF653FDB1F}"/>
    <cellStyle name="Comma 4 3 2 2 3 5" xfId="10140" xr:uid="{5E7AA902-A528-40EA-A02A-04D8E5D31188}"/>
    <cellStyle name="Comma 4 3 2 2 4" xfId="1136" xr:uid="{00000000-0005-0000-0000-000032090000}"/>
    <cellStyle name="Comma 4 3 2 2 4 2" xfId="3367" xr:uid="{00000000-0005-0000-0000-000033090000}"/>
    <cellStyle name="Comma 4 3 2 2 4 2 2" xfId="7589" xr:uid="{00000000-0005-0000-0000-000034090000}"/>
    <cellStyle name="Comma 4 3 2 2 4 2 2 2" xfId="16915" xr:uid="{082EECCE-A195-4BCB-A940-CC59A2987BA5}"/>
    <cellStyle name="Comma 4 3 2 2 4 2 3" xfId="12698" xr:uid="{0CEA8844-6C5E-4F72-839E-68D47CC4E783}"/>
    <cellStyle name="Comma 4 3 2 2 4 3" xfId="5444" xr:uid="{00000000-0005-0000-0000-000035090000}"/>
    <cellStyle name="Comma 4 3 2 2 4 3 2" xfId="14770" xr:uid="{E5790A19-284A-4E8A-B8EA-73D52BBEB138}"/>
    <cellStyle name="Comma 4 3 2 2 4 4" xfId="10553" xr:uid="{9C7762AB-6D00-424C-A9A3-2D652ED2E170}"/>
    <cellStyle name="Comma 4 3 2 2 5" xfId="1550" xr:uid="{00000000-0005-0000-0000-000036090000}"/>
    <cellStyle name="Comma 4 3 2 2 5 2" xfId="3780" xr:uid="{00000000-0005-0000-0000-000037090000}"/>
    <cellStyle name="Comma 4 3 2 2 5 2 2" xfId="8002" xr:uid="{00000000-0005-0000-0000-000038090000}"/>
    <cellStyle name="Comma 4 3 2 2 5 2 2 2" xfId="17328" xr:uid="{6EDF313F-F959-4FDC-9B34-ED58FDD1EB75}"/>
    <cellStyle name="Comma 4 3 2 2 5 2 3" xfId="13111" xr:uid="{55CFEA21-3635-4844-9D18-D1CD57D2B528}"/>
    <cellStyle name="Comma 4 3 2 2 5 3" xfId="5857" xr:uid="{00000000-0005-0000-0000-000039090000}"/>
    <cellStyle name="Comma 4 3 2 2 5 3 2" xfId="15183" xr:uid="{6BE34BB7-3F1C-4D76-817B-8600F8015699}"/>
    <cellStyle name="Comma 4 3 2 2 5 4" xfId="10966" xr:uid="{EC2DD2A9-C446-4DAE-9C37-D675A6D018BA}"/>
    <cellStyle name="Comma 4 3 2 2 6" xfId="1964" xr:uid="{00000000-0005-0000-0000-00003A090000}"/>
    <cellStyle name="Comma 4 3 2 2 6 2" xfId="4193" xr:uid="{00000000-0005-0000-0000-00003B090000}"/>
    <cellStyle name="Comma 4 3 2 2 6 2 2" xfId="8415" xr:uid="{00000000-0005-0000-0000-00003C090000}"/>
    <cellStyle name="Comma 4 3 2 2 6 2 2 2" xfId="17741" xr:uid="{DAF0EDE3-3CD7-4090-9B93-C16DD7F8A255}"/>
    <cellStyle name="Comma 4 3 2 2 6 2 3" xfId="13524" xr:uid="{8E1041AE-9584-449B-BF77-C85207D15E4F}"/>
    <cellStyle name="Comma 4 3 2 2 6 3" xfId="6270" xr:uid="{00000000-0005-0000-0000-00003D090000}"/>
    <cellStyle name="Comma 4 3 2 2 6 3 2" xfId="15596" xr:uid="{25ABC398-83AA-48CA-B17E-6345FA835FA4}"/>
    <cellStyle name="Comma 4 3 2 2 6 4" xfId="11379" xr:uid="{6FC547A3-ADDF-42AC-BD45-3AFADC545626}"/>
    <cellStyle name="Comma 4 3 2 2 7" xfId="2399" xr:uid="{00000000-0005-0000-0000-00003E090000}"/>
    <cellStyle name="Comma 4 3 2 2 7 2" xfId="6683" xr:uid="{00000000-0005-0000-0000-00003F090000}"/>
    <cellStyle name="Comma 4 3 2 2 7 2 2" xfId="16009" xr:uid="{03B7CEFB-5F83-4485-B2D8-06D5A4F40577}"/>
    <cellStyle name="Comma 4 3 2 2 7 3" xfId="11792" xr:uid="{B09C7078-158B-47FF-9DCE-BC98EE7B8B91}"/>
    <cellStyle name="Comma 4 3 2 2 8" xfId="2364" xr:uid="{00000000-0005-0000-0000-000040090000}"/>
    <cellStyle name="Comma 4 3 2 2 9" xfId="2777" xr:uid="{00000000-0005-0000-0000-000041090000}"/>
    <cellStyle name="Comma 4 3 2 2 9 2" xfId="7000" xr:uid="{00000000-0005-0000-0000-000042090000}"/>
    <cellStyle name="Comma 4 3 2 2 9 2 2" xfId="16326" xr:uid="{05F6652E-08A1-402D-93AD-AF1A9F7840FA}"/>
    <cellStyle name="Comma 4 3 2 2 9 3" xfId="12109" xr:uid="{B8372B86-375E-4E7E-8268-7FD55F4A2199}"/>
    <cellStyle name="Comma 4 3 2 3" xfId="148" xr:uid="{00000000-0005-0000-0000-000043090000}"/>
    <cellStyle name="Comma 4 3 2 3 10" xfId="9014" xr:uid="{46568903-2C47-4BC3-8E78-5A47F62B319C}"/>
    <cellStyle name="Comma 4 3 2 3 10 2" xfId="18338" xr:uid="{8CC6B27F-E7E2-4F47-BCD0-4DFCB11E1DA8}"/>
    <cellStyle name="Comma 4 3 2 3 11" xfId="9728" xr:uid="{29DD7779-4338-414C-AE84-11DBD32DB313}"/>
    <cellStyle name="Comma 4 3 2 3 2" xfId="685" xr:uid="{00000000-0005-0000-0000-000044090000}"/>
    <cellStyle name="Comma 4 3 2 3 2 2" xfId="2956" xr:uid="{00000000-0005-0000-0000-000045090000}"/>
    <cellStyle name="Comma 4 3 2 3 2 2 2" xfId="7178" xr:uid="{00000000-0005-0000-0000-000046090000}"/>
    <cellStyle name="Comma 4 3 2 3 2 2 2 2" xfId="16504" xr:uid="{AD97E90B-1660-4A54-BB69-7AB02FAE0F68}"/>
    <cellStyle name="Comma 4 3 2 3 2 2 3" xfId="12287" xr:uid="{930B0D72-A144-4177-A558-11A1F97DC5B9}"/>
    <cellStyle name="Comma 4 3 2 3 2 3" xfId="5033" xr:uid="{00000000-0005-0000-0000-000047090000}"/>
    <cellStyle name="Comma 4 3 2 3 2 3 2" xfId="14359" xr:uid="{193D7F3C-E801-4D47-A7C0-4FAA247FDA7D}"/>
    <cellStyle name="Comma 4 3 2 3 2 4" xfId="9439" xr:uid="{2FD116B5-6902-4630-AFC5-CC8B06C5F457}"/>
    <cellStyle name="Comma 4 3 2 3 2 4 2" xfId="18754" xr:uid="{A36B401E-6BAC-4CAA-8C77-21BC47302410}"/>
    <cellStyle name="Comma 4 3 2 3 2 5" xfId="10142" xr:uid="{99C0C271-188B-4050-95C4-C245110BCF8C}"/>
    <cellStyle name="Comma 4 3 2 3 3" xfId="1138" xr:uid="{00000000-0005-0000-0000-000048090000}"/>
    <cellStyle name="Comma 4 3 2 3 3 2" xfId="3369" xr:uid="{00000000-0005-0000-0000-000049090000}"/>
    <cellStyle name="Comma 4 3 2 3 3 2 2" xfId="7591" xr:uid="{00000000-0005-0000-0000-00004A090000}"/>
    <cellStyle name="Comma 4 3 2 3 3 2 2 2" xfId="16917" xr:uid="{E6E6D61E-E06E-4717-9415-0CF66A8BE20C}"/>
    <cellStyle name="Comma 4 3 2 3 3 2 3" xfId="12700" xr:uid="{E31C349D-FBDB-4370-9F70-5A293010BFAA}"/>
    <cellStyle name="Comma 4 3 2 3 3 3" xfId="5446" xr:uid="{00000000-0005-0000-0000-00004B090000}"/>
    <cellStyle name="Comma 4 3 2 3 3 3 2" xfId="14772" xr:uid="{051F61AD-045C-411F-8F3F-7C8C0DE41231}"/>
    <cellStyle name="Comma 4 3 2 3 3 4" xfId="10555" xr:uid="{D6BE0687-2F97-484E-92E3-B49E6F3A4F83}"/>
    <cellStyle name="Comma 4 3 2 3 4" xfId="1552" xr:uid="{00000000-0005-0000-0000-00004C090000}"/>
    <cellStyle name="Comma 4 3 2 3 4 2" xfId="3782" xr:uid="{00000000-0005-0000-0000-00004D090000}"/>
    <cellStyle name="Comma 4 3 2 3 4 2 2" xfId="8004" xr:uid="{00000000-0005-0000-0000-00004E090000}"/>
    <cellStyle name="Comma 4 3 2 3 4 2 2 2" xfId="17330" xr:uid="{7BCD9268-E096-4767-A917-F4F6CBD55800}"/>
    <cellStyle name="Comma 4 3 2 3 4 2 3" xfId="13113" xr:uid="{F0D5E47B-1EAC-481E-BD99-F958DD166674}"/>
    <cellStyle name="Comma 4 3 2 3 4 3" xfId="5859" xr:uid="{00000000-0005-0000-0000-00004F090000}"/>
    <cellStyle name="Comma 4 3 2 3 4 3 2" xfId="15185" xr:uid="{D0E3B641-60BE-4A55-964A-EE85C3FC5A79}"/>
    <cellStyle name="Comma 4 3 2 3 4 4" xfId="10968" xr:uid="{B8BCA220-F1D8-45D0-A495-B9325C079DAB}"/>
    <cellStyle name="Comma 4 3 2 3 5" xfId="1966" xr:uid="{00000000-0005-0000-0000-000050090000}"/>
    <cellStyle name="Comma 4 3 2 3 5 2" xfId="4195" xr:uid="{00000000-0005-0000-0000-000051090000}"/>
    <cellStyle name="Comma 4 3 2 3 5 2 2" xfId="8417" xr:uid="{00000000-0005-0000-0000-000052090000}"/>
    <cellStyle name="Comma 4 3 2 3 5 2 2 2" xfId="17743" xr:uid="{18503869-7CB2-4EB2-8D2E-9E465E363722}"/>
    <cellStyle name="Comma 4 3 2 3 5 2 3" xfId="13526" xr:uid="{B2332BC7-8408-43F3-B502-A1E98712A13F}"/>
    <cellStyle name="Comma 4 3 2 3 5 3" xfId="6272" xr:uid="{00000000-0005-0000-0000-000053090000}"/>
    <cellStyle name="Comma 4 3 2 3 5 3 2" xfId="15598" xr:uid="{4182CCDE-07F6-47DB-9292-68440205D581}"/>
    <cellStyle name="Comma 4 3 2 3 5 4" xfId="11381" xr:uid="{6DE30CC6-D774-4580-8A8C-EE3D26C4CAC7}"/>
    <cellStyle name="Comma 4 3 2 3 6" xfId="2401" xr:uid="{00000000-0005-0000-0000-000054090000}"/>
    <cellStyle name="Comma 4 3 2 3 6 2" xfId="6685" xr:uid="{00000000-0005-0000-0000-000055090000}"/>
    <cellStyle name="Comma 4 3 2 3 6 2 2" xfId="16011" xr:uid="{4D4FDA5C-6200-463D-B3C3-A3FB51399340}"/>
    <cellStyle name="Comma 4 3 2 3 6 3" xfId="11794" xr:uid="{F7C2E033-C31C-47C7-B1FF-BC6FF24790C1}"/>
    <cellStyle name="Comma 4 3 2 3 7" xfId="2362" xr:uid="{00000000-0005-0000-0000-000056090000}"/>
    <cellStyle name="Comma 4 3 2 3 8" xfId="2779" xr:uid="{00000000-0005-0000-0000-000057090000}"/>
    <cellStyle name="Comma 4 3 2 3 8 2" xfId="7002" xr:uid="{00000000-0005-0000-0000-000058090000}"/>
    <cellStyle name="Comma 4 3 2 3 8 2 2" xfId="16328" xr:uid="{05EAC0D9-C7C8-46A6-A30B-CA3F80D2A9BB}"/>
    <cellStyle name="Comma 4 3 2 3 8 3" xfId="12111" xr:uid="{DCA315AE-A7C6-4B2A-A0CE-045585B57374}"/>
    <cellStyle name="Comma 4 3 2 3 9" xfId="4619" xr:uid="{00000000-0005-0000-0000-000059090000}"/>
    <cellStyle name="Comma 4 3 2 3 9 2" xfId="13945" xr:uid="{3B8B94B5-0EC1-4ED1-AC11-5A6D0902F807}"/>
    <cellStyle name="Comma 4 3 2 4" xfId="682" xr:uid="{00000000-0005-0000-0000-00005A090000}"/>
    <cellStyle name="Comma 4 3 2 4 2" xfId="2953" xr:uid="{00000000-0005-0000-0000-00005B090000}"/>
    <cellStyle name="Comma 4 3 2 4 2 2" xfId="7175" xr:uid="{00000000-0005-0000-0000-00005C090000}"/>
    <cellStyle name="Comma 4 3 2 4 2 2 2" xfId="16501" xr:uid="{F5796500-ACCF-4B26-82DE-157CA8C99764}"/>
    <cellStyle name="Comma 4 3 2 4 2 3" xfId="12284" xr:uid="{DE44A00C-93B9-454A-9CE7-1CE8114D1271}"/>
    <cellStyle name="Comma 4 3 2 4 3" xfId="5030" xr:uid="{00000000-0005-0000-0000-00005D090000}"/>
    <cellStyle name="Comma 4 3 2 4 3 2" xfId="14356" xr:uid="{5B757966-7CCB-4D9D-87CA-3C01C262ED0A}"/>
    <cellStyle name="Comma 4 3 2 4 4" xfId="9232" xr:uid="{8193451B-D8F0-40BD-91ED-34E7041117F6}"/>
    <cellStyle name="Comma 4 3 2 4 4 2" xfId="18547" xr:uid="{CCD95D22-A0B8-4FC9-891A-CB7A159A670E}"/>
    <cellStyle name="Comma 4 3 2 4 5" xfId="10139" xr:uid="{F2BEA55E-2D7E-4942-B49C-65BA0B3DE375}"/>
    <cellStyle name="Comma 4 3 2 5" xfId="1135" xr:uid="{00000000-0005-0000-0000-00005E090000}"/>
    <cellStyle name="Comma 4 3 2 5 2" xfId="3366" xr:uid="{00000000-0005-0000-0000-00005F090000}"/>
    <cellStyle name="Comma 4 3 2 5 2 2" xfId="7588" xr:uid="{00000000-0005-0000-0000-000060090000}"/>
    <cellStyle name="Comma 4 3 2 5 2 2 2" xfId="16914" xr:uid="{BACF7224-B89F-4B3A-94B4-6D177DF8506D}"/>
    <cellStyle name="Comma 4 3 2 5 2 3" xfId="12697" xr:uid="{152A6407-7052-4F9B-B7B9-C2150722A005}"/>
    <cellStyle name="Comma 4 3 2 5 3" xfId="5443" xr:uid="{00000000-0005-0000-0000-000061090000}"/>
    <cellStyle name="Comma 4 3 2 5 3 2" xfId="14769" xr:uid="{B3ABEA83-FD50-4493-96FB-9A057082FE93}"/>
    <cellStyle name="Comma 4 3 2 5 4" xfId="10552" xr:uid="{B6A6B5C0-F876-4F42-9528-5D3C06B1B9C9}"/>
    <cellStyle name="Comma 4 3 2 6" xfId="1549" xr:uid="{00000000-0005-0000-0000-000062090000}"/>
    <cellStyle name="Comma 4 3 2 6 2" xfId="3779" xr:uid="{00000000-0005-0000-0000-000063090000}"/>
    <cellStyle name="Comma 4 3 2 6 2 2" xfId="8001" xr:uid="{00000000-0005-0000-0000-000064090000}"/>
    <cellStyle name="Comma 4 3 2 6 2 2 2" xfId="17327" xr:uid="{527AC054-6D81-4A25-802E-39A69489C28D}"/>
    <cellStyle name="Comma 4 3 2 6 2 3" xfId="13110" xr:uid="{AECD9C7D-2BFD-4A58-9E5E-86207C7CD91B}"/>
    <cellStyle name="Comma 4 3 2 6 3" xfId="5856" xr:uid="{00000000-0005-0000-0000-000065090000}"/>
    <cellStyle name="Comma 4 3 2 6 3 2" xfId="15182" xr:uid="{E68FD011-BED4-4937-A948-48FB42D05ABA}"/>
    <cellStyle name="Comma 4 3 2 6 4" xfId="10965" xr:uid="{FB2B0D01-B6A1-4395-8C61-EA3E95E03FC0}"/>
    <cellStyle name="Comma 4 3 2 7" xfId="1963" xr:uid="{00000000-0005-0000-0000-000066090000}"/>
    <cellStyle name="Comma 4 3 2 7 2" xfId="4192" xr:uid="{00000000-0005-0000-0000-000067090000}"/>
    <cellStyle name="Comma 4 3 2 7 2 2" xfId="8414" xr:uid="{00000000-0005-0000-0000-000068090000}"/>
    <cellStyle name="Comma 4 3 2 7 2 2 2" xfId="17740" xr:uid="{AC1379DF-925D-4760-ABA5-B8AE5C7BA9DD}"/>
    <cellStyle name="Comma 4 3 2 7 2 3" xfId="13523" xr:uid="{DD06235E-FDF4-4C37-BAC6-2EB8549EA872}"/>
    <cellStyle name="Comma 4 3 2 7 3" xfId="6269" xr:uid="{00000000-0005-0000-0000-000069090000}"/>
    <cellStyle name="Comma 4 3 2 7 3 2" xfId="15595" xr:uid="{B89935C3-41C8-4EB5-923B-466D5B772195}"/>
    <cellStyle name="Comma 4 3 2 7 4" xfId="11378" xr:uid="{66061EC7-AE86-4993-88D6-9BA575D9523C}"/>
    <cellStyle name="Comma 4 3 2 8" xfId="2398" xr:uid="{00000000-0005-0000-0000-00006A090000}"/>
    <cellStyle name="Comma 4 3 2 8 2" xfId="6682" xr:uid="{00000000-0005-0000-0000-00006B090000}"/>
    <cellStyle name="Comma 4 3 2 8 2 2" xfId="16008" xr:uid="{AB4CE5EF-5526-4904-AFD3-5C1421921955}"/>
    <cellStyle name="Comma 4 3 2 8 3" xfId="11791" xr:uid="{482F6073-91A2-410D-B38F-97344E57DC87}"/>
    <cellStyle name="Comma 4 3 2 9" xfId="2365" xr:uid="{00000000-0005-0000-0000-00006C090000}"/>
    <cellStyle name="Comma 4 3 3" xfId="149" xr:uid="{00000000-0005-0000-0000-00006D090000}"/>
    <cellStyle name="Comma 4 3 3 10" xfId="4620" xr:uid="{00000000-0005-0000-0000-00006E090000}"/>
    <cellStyle name="Comma 4 3 3 10 2" xfId="13946" xr:uid="{1631DC9E-1021-4735-8428-FD4C6881FED4}"/>
    <cellStyle name="Comma 4 3 3 11" xfId="8881" xr:uid="{ACA3BC7C-CED7-49C2-9DC3-E2A3989962E9}"/>
    <cellStyle name="Comma 4 3 3 11 2" xfId="18205" xr:uid="{4E032FDC-D325-42AE-9797-11A8A3C0BE75}"/>
    <cellStyle name="Comma 4 3 3 12" xfId="9729" xr:uid="{466796F1-F647-4FE6-8707-0F55CD2AFD78}"/>
    <cellStyle name="Comma 4 3 3 2" xfId="150" xr:uid="{00000000-0005-0000-0000-00006F090000}"/>
    <cellStyle name="Comma 4 3 3 2 10" xfId="9088" xr:uid="{D40CFC42-DEA3-4A4C-8532-2B6CFC29229D}"/>
    <cellStyle name="Comma 4 3 3 2 10 2" xfId="18412" xr:uid="{DF220B1D-F7CB-4281-983B-7CFD0610B4CB}"/>
    <cellStyle name="Comma 4 3 3 2 11" xfId="9730" xr:uid="{EAE3FF55-AED7-4D4A-977B-C3BA0F0A765E}"/>
    <cellStyle name="Comma 4 3 3 2 2" xfId="687" xr:uid="{00000000-0005-0000-0000-000070090000}"/>
    <cellStyle name="Comma 4 3 3 2 2 2" xfId="2958" xr:uid="{00000000-0005-0000-0000-000071090000}"/>
    <cellStyle name="Comma 4 3 3 2 2 2 2" xfId="7180" xr:uid="{00000000-0005-0000-0000-000072090000}"/>
    <cellStyle name="Comma 4 3 3 2 2 2 2 2" xfId="16506" xr:uid="{6444AC3D-20F2-40F1-9BE5-936777B4522D}"/>
    <cellStyle name="Comma 4 3 3 2 2 2 3" xfId="12289" xr:uid="{5A6B68E7-DEAE-465E-857A-72E6CC96D289}"/>
    <cellStyle name="Comma 4 3 3 2 2 3" xfId="5035" xr:uid="{00000000-0005-0000-0000-000073090000}"/>
    <cellStyle name="Comma 4 3 3 2 2 3 2" xfId="14361" xr:uid="{4FED7EFE-2227-4A5F-8E33-3E1927FC0E2C}"/>
    <cellStyle name="Comma 4 3 3 2 2 4" xfId="9513" xr:uid="{986E0DAD-8ABC-4DAC-9C56-EF87B6B3B829}"/>
    <cellStyle name="Comma 4 3 3 2 2 4 2" xfId="18828" xr:uid="{83BECC3B-4DA7-4C2A-A843-82F98B2A2002}"/>
    <cellStyle name="Comma 4 3 3 2 2 5" xfId="10144" xr:uid="{5772CE73-8350-448A-BD59-96E558F8B519}"/>
    <cellStyle name="Comma 4 3 3 2 3" xfId="1140" xr:uid="{00000000-0005-0000-0000-000074090000}"/>
    <cellStyle name="Comma 4 3 3 2 3 2" xfId="3371" xr:uid="{00000000-0005-0000-0000-000075090000}"/>
    <cellStyle name="Comma 4 3 3 2 3 2 2" xfId="7593" xr:uid="{00000000-0005-0000-0000-000076090000}"/>
    <cellStyle name="Comma 4 3 3 2 3 2 2 2" xfId="16919" xr:uid="{D423D84D-0367-43AB-BEE4-EE45E42D2BE0}"/>
    <cellStyle name="Comma 4 3 3 2 3 2 3" xfId="12702" xr:uid="{94AF3258-D1EA-4437-BC77-96CD797E11BB}"/>
    <cellStyle name="Comma 4 3 3 2 3 3" xfId="5448" xr:uid="{00000000-0005-0000-0000-000077090000}"/>
    <cellStyle name="Comma 4 3 3 2 3 3 2" xfId="14774" xr:uid="{491F9AD6-62F4-4235-95BB-3C905AF66700}"/>
    <cellStyle name="Comma 4 3 3 2 3 4" xfId="10557" xr:uid="{F52FADF5-F02E-4C09-A8FC-BFEB81B2BE97}"/>
    <cellStyle name="Comma 4 3 3 2 4" xfId="1554" xr:uid="{00000000-0005-0000-0000-000078090000}"/>
    <cellStyle name="Comma 4 3 3 2 4 2" xfId="3784" xr:uid="{00000000-0005-0000-0000-000079090000}"/>
    <cellStyle name="Comma 4 3 3 2 4 2 2" xfId="8006" xr:uid="{00000000-0005-0000-0000-00007A090000}"/>
    <cellStyle name="Comma 4 3 3 2 4 2 2 2" xfId="17332" xr:uid="{DB3B9EB0-C0AC-459D-8B2B-F037ACDBC597}"/>
    <cellStyle name="Comma 4 3 3 2 4 2 3" xfId="13115" xr:uid="{D73015B6-BBC2-4389-BACF-02CA83A431DA}"/>
    <cellStyle name="Comma 4 3 3 2 4 3" xfId="5861" xr:uid="{00000000-0005-0000-0000-00007B090000}"/>
    <cellStyle name="Comma 4 3 3 2 4 3 2" xfId="15187" xr:uid="{B0D59FB0-0D66-45EC-AB8B-5C9E7F2FC3EE}"/>
    <cellStyle name="Comma 4 3 3 2 4 4" xfId="10970" xr:uid="{39F39F04-0130-408E-B48E-2E622C968994}"/>
    <cellStyle name="Comma 4 3 3 2 5" xfId="1968" xr:uid="{00000000-0005-0000-0000-00007C090000}"/>
    <cellStyle name="Comma 4 3 3 2 5 2" xfId="4197" xr:uid="{00000000-0005-0000-0000-00007D090000}"/>
    <cellStyle name="Comma 4 3 3 2 5 2 2" xfId="8419" xr:uid="{00000000-0005-0000-0000-00007E090000}"/>
    <cellStyle name="Comma 4 3 3 2 5 2 2 2" xfId="17745" xr:uid="{47F274D8-C84E-4560-8B31-98D30482D191}"/>
    <cellStyle name="Comma 4 3 3 2 5 2 3" xfId="13528" xr:uid="{565E99D7-EC20-448E-8602-CE7BC837E0CF}"/>
    <cellStyle name="Comma 4 3 3 2 5 3" xfId="6274" xr:uid="{00000000-0005-0000-0000-00007F090000}"/>
    <cellStyle name="Comma 4 3 3 2 5 3 2" xfId="15600" xr:uid="{675FB961-A79A-4681-B03D-8EAE37EA4C2F}"/>
    <cellStyle name="Comma 4 3 3 2 5 4" xfId="11383" xr:uid="{E1F19EEE-85FC-475F-8DA6-AF53D4AF06EA}"/>
    <cellStyle name="Comma 4 3 3 2 6" xfId="2403" xr:uid="{00000000-0005-0000-0000-000080090000}"/>
    <cellStyle name="Comma 4 3 3 2 6 2" xfId="6687" xr:uid="{00000000-0005-0000-0000-000081090000}"/>
    <cellStyle name="Comma 4 3 3 2 6 2 2" xfId="16013" xr:uid="{BDBF3ED5-A8EF-424F-B54E-323FC0ED1DA7}"/>
    <cellStyle name="Comma 4 3 3 2 6 3" xfId="11796" xr:uid="{7CF028D4-7E93-48F6-B5D6-A6484367A062}"/>
    <cellStyle name="Comma 4 3 3 2 7" xfId="2360" xr:uid="{00000000-0005-0000-0000-000082090000}"/>
    <cellStyle name="Comma 4 3 3 2 8" xfId="2781" xr:uid="{00000000-0005-0000-0000-000083090000}"/>
    <cellStyle name="Comma 4 3 3 2 8 2" xfId="7004" xr:uid="{00000000-0005-0000-0000-000084090000}"/>
    <cellStyle name="Comma 4 3 3 2 8 2 2" xfId="16330" xr:uid="{384CFEBE-850D-438F-9E74-F4D2DCA350B9}"/>
    <cellStyle name="Comma 4 3 3 2 8 3" xfId="12113" xr:uid="{52EE3DDD-41F6-4D58-A093-CDCA35EAA856}"/>
    <cellStyle name="Comma 4 3 3 2 9" xfId="4621" xr:uid="{00000000-0005-0000-0000-000085090000}"/>
    <cellStyle name="Comma 4 3 3 2 9 2" xfId="13947" xr:uid="{61376B6E-6A40-44A3-8B49-826E11059EB4}"/>
    <cellStyle name="Comma 4 3 3 3" xfId="686" xr:uid="{00000000-0005-0000-0000-000086090000}"/>
    <cellStyle name="Comma 4 3 3 3 2" xfId="2957" xr:uid="{00000000-0005-0000-0000-000087090000}"/>
    <cellStyle name="Comma 4 3 3 3 2 2" xfId="7179" xr:uid="{00000000-0005-0000-0000-000088090000}"/>
    <cellStyle name="Comma 4 3 3 3 2 2 2" xfId="16505" xr:uid="{A9C7090D-8D78-4B91-968D-87F5304B7638}"/>
    <cellStyle name="Comma 4 3 3 3 2 3" xfId="12288" xr:uid="{40674712-C767-4BE7-885F-7DC1E2F0F4C1}"/>
    <cellStyle name="Comma 4 3 3 3 3" xfId="5034" xr:uid="{00000000-0005-0000-0000-000089090000}"/>
    <cellStyle name="Comma 4 3 3 3 3 2" xfId="14360" xr:uid="{FC585C9B-B9BF-4238-B380-179182618B36}"/>
    <cellStyle name="Comma 4 3 3 3 4" xfId="9306" xr:uid="{6AC2749B-EC1D-4760-AD4B-F36381A669B6}"/>
    <cellStyle name="Comma 4 3 3 3 4 2" xfId="18621" xr:uid="{0055B5BB-371F-4CC5-ABB3-E7BC435F0A70}"/>
    <cellStyle name="Comma 4 3 3 3 5" xfId="10143" xr:uid="{21ABA611-B0F3-4E0A-BBAC-ACA15EA42574}"/>
    <cellStyle name="Comma 4 3 3 4" xfId="1139" xr:uid="{00000000-0005-0000-0000-00008A090000}"/>
    <cellStyle name="Comma 4 3 3 4 2" xfId="3370" xr:uid="{00000000-0005-0000-0000-00008B090000}"/>
    <cellStyle name="Comma 4 3 3 4 2 2" xfId="7592" xr:uid="{00000000-0005-0000-0000-00008C090000}"/>
    <cellStyle name="Comma 4 3 3 4 2 2 2" xfId="16918" xr:uid="{A7A94783-638E-4558-A3A6-8E5995534269}"/>
    <cellStyle name="Comma 4 3 3 4 2 3" xfId="12701" xr:uid="{ADA7A769-5360-4835-B8E4-F466244C04EA}"/>
    <cellStyle name="Comma 4 3 3 4 3" xfId="5447" xr:uid="{00000000-0005-0000-0000-00008D090000}"/>
    <cellStyle name="Comma 4 3 3 4 3 2" xfId="14773" xr:uid="{5AE4DEDC-16FD-4631-8B39-D68980981F2E}"/>
    <cellStyle name="Comma 4 3 3 4 4" xfId="10556" xr:uid="{A73C3CC3-84B4-4144-AA2B-3C37F99689DB}"/>
    <cellStyle name="Comma 4 3 3 5" xfId="1553" xr:uid="{00000000-0005-0000-0000-00008E090000}"/>
    <cellStyle name="Comma 4 3 3 5 2" xfId="3783" xr:uid="{00000000-0005-0000-0000-00008F090000}"/>
    <cellStyle name="Comma 4 3 3 5 2 2" xfId="8005" xr:uid="{00000000-0005-0000-0000-000090090000}"/>
    <cellStyle name="Comma 4 3 3 5 2 2 2" xfId="17331" xr:uid="{E63857D5-0233-429D-8319-285089CBCCEE}"/>
    <cellStyle name="Comma 4 3 3 5 2 3" xfId="13114" xr:uid="{71D0AFCF-3392-4C0D-8736-CBA83892C437}"/>
    <cellStyle name="Comma 4 3 3 5 3" xfId="5860" xr:uid="{00000000-0005-0000-0000-000091090000}"/>
    <cellStyle name="Comma 4 3 3 5 3 2" xfId="15186" xr:uid="{10A92CEF-616F-4E17-A0D6-F4058384A3B1}"/>
    <cellStyle name="Comma 4 3 3 5 4" xfId="10969" xr:uid="{44CDB15B-6244-4147-991E-FB33E18CAEA3}"/>
    <cellStyle name="Comma 4 3 3 6" xfId="1967" xr:uid="{00000000-0005-0000-0000-000092090000}"/>
    <cellStyle name="Comma 4 3 3 6 2" xfId="4196" xr:uid="{00000000-0005-0000-0000-000093090000}"/>
    <cellStyle name="Comma 4 3 3 6 2 2" xfId="8418" xr:uid="{00000000-0005-0000-0000-000094090000}"/>
    <cellStyle name="Comma 4 3 3 6 2 2 2" xfId="17744" xr:uid="{9A05EE64-BDEB-457A-ABDA-D723FFFFEB59}"/>
    <cellStyle name="Comma 4 3 3 6 2 3" xfId="13527" xr:uid="{67840D36-0D9F-42B2-BAFF-81E13C70FB06}"/>
    <cellStyle name="Comma 4 3 3 6 3" xfId="6273" xr:uid="{00000000-0005-0000-0000-000095090000}"/>
    <cellStyle name="Comma 4 3 3 6 3 2" xfId="15599" xr:uid="{BC47CD96-922C-4144-B486-03D877BA9F53}"/>
    <cellStyle name="Comma 4 3 3 6 4" xfId="11382" xr:uid="{E2694BC6-97F1-4035-B0D5-34502A25F996}"/>
    <cellStyle name="Comma 4 3 3 7" xfId="2402" xr:uid="{00000000-0005-0000-0000-000096090000}"/>
    <cellStyle name="Comma 4 3 3 7 2" xfId="6686" xr:uid="{00000000-0005-0000-0000-000097090000}"/>
    <cellStyle name="Comma 4 3 3 7 2 2" xfId="16012" xr:uid="{7945DE90-EED5-459A-AB28-A3D296036ABC}"/>
    <cellStyle name="Comma 4 3 3 7 3" xfId="11795" xr:uid="{C9C2C273-92C5-4EA2-80E5-992E6DFCF2E4}"/>
    <cellStyle name="Comma 4 3 3 8" xfId="2361" xr:uid="{00000000-0005-0000-0000-000098090000}"/>
    <cellStyle name="Comma 4 3 3 9" xfId="2780" xr:uid="{00000000-0005-0000-0000-000099090000}"/>
    <cellStyle name="Comma 4 3 3 9 2" xfId="7003" xr:uid="{00000000-0005-0000-0000-00009A090000}"/>
    <cellStyle name="Comma 4 3 3 9 2 2" xfId="16329" xr:uid="{64166623-5707-4BBE-A3DA-D5CB7AC54965}"/>
    <cellStyle name="Comma 4 3 3 9 3" xfId="12112" xr:uid="{6C4D8DEF-574B-4840-9058-F78F32FE4890}"/>
    <cellStyle name="Comma 4 3 4" xfId="151" xr:uid="{00000000-0005-0000-0000-00009B090000}"/>
    <cellStyle name="Comma 4 3 4 10" xfId="8985" xr:uid="{E965CEC1-A932-4F91-9E18-794CBF7DC7FC}"/>
    <cellStyle name="Comma 4 3 4 10 2" xfId="18309" xr:uid="{8A028146-E89B-4770-BBD1-5A2595F7E102}"/>
    <cellStyle name="Comma 4 3 4 11" xfId="9731" xr:uid="{008B0631-A77D-4DC2-A143-50EC42035F53}"/>
    <cellStyle name="Comma 4 3 4 2" xfId="688" xr:uid="{00000000-0005-0000-0000-00009C090000}"/>
    <cellStyle name="Comma 4 3 4 2 2" xfId="2959" xr:uid="{00000000-0005-0000-0000-00009D090000}"/>
    <cellStyle name="Comma 4 3 4 2 2 2" xfId="7181" xr:uid="{00000000-0005-0000-0000-00009E090000}"/>
    <cellStyle name="Comma 4 3 4 2 2 2 2" xfId="16507" xr:uid="{FE0AEE40-74F5-47EA-9224-A60732DEF13E}"/>
    <cellStyle name="Comma 4 3 4 2 2 3" xfId="12290" xr:uid="{9B761703-83EC-4BD3-BBCE-765E0E83CF39}"/>
    <cellStyle name="Comma 4 3 4 2 3" xfId="5036" xr:uid="{00000000-0005-0000-0000-00009F090000}"/>
    <cellStyle name="Comma 4 3 4 2 3 2" xfId="14362" xr:uid="{E39AE573-BDD0-40F2-90FF-46CDEBEB8E5D}"/>
    <cellStyle name="Comma 4 3 4 2 4" xfId="9410" xr:uid="{54DEC146-6204-4AAF-A15F-BAC0A12B5984}"/>
    <cellStyle name="Comma 4 3 4 2 4 2" xfId="18725" xr:uid="{CAC5504E-7D2A-4F3C-A95A-F87BC9C80E83}"/>
    <cellStyle name="Comma 4 3 4 2 5" xfId="10145" xr:uid="{DDA98ACC-93BB-49C0-9153-07D24FEDDA9F}"/>
    <cellStyle name="Comma 4 3 4 3" xfId="1141" xr:uid="{00000000-0005-0000-0000-0000A0090000}"/>
    <cellStyle name="Comma 4 3 4 3 2" xfId="3372" xr:uid="{00000000-0005-0000-0000-0000A1090000}"/>
    <cellStyle name="Comma 4 3 4 3 2 2" xfId="7594" xr:uid="{00000000-0005-0000-0000-0000A2090000}"/>
    <cellStyle name="Comma 4 3 4 3 2 2 2" xfId="16920" xr:uid="{E201DB6F-1466-42F9-BE3A-74B9B5BBD2FF}"/>
    <cellStyle name="Comma 4 3 4 3 2 3" xfId="12703" xr:uid="{C1E5528F-B4FA-423F-A2BA-AC80196FDDC6}"/>
    <cellStyle name="Comma 4 3 4 3 3" xfId="5449" xr:uid="{00000000-0005-0000-0000-0000A3090000}"/>
    <cellStyle name="Comma 4 3 4 3 3 2" xfId="14775" xr:uid="{CFB98A03-A998-4D72-8DC7-03C143F89C22}"/>
    <cellStyle name="Comma 4 3 4 3 4" xfId="10558" xr:uid="{2CE98178-472E-4BAD-828C-24868C59ED49}"/>
    <cellStyle name="Comma 4 3 4 4" xfId="1555" xr:uid="{00000000-0005-0000-0000-0000A4090000}"/>
    <cellStyle name="Comma 4 3 4 4 2" xfId="3785" xr:uid="{00000000-0005-0000-0000-0000A5090000}"/>
    <cellStyle name="Comma 4 3 4 4 2 2" xfId="8007" xr:uid="{00000000-0005-0000-0000-0000A6090000}"/>
    <cellStyle name="Comma 4 3 4 4 2 2 2" xfId="17333" xr:uid="{3BF2D4F9-8F93-4937-8F5E-1254D00250BC}"/>
    <cellStyle name="Comma 4 3 4 4 2 3" xfId="13116" xr:uid="{E039AFCD-5176-4B7B-80FD-6ADEA8CEA432}"/>
    <cellStyle name="Comma 4 3 4 4 3" xfId="5862" xr:uid="{00000000-0005-0000-0000-0000A7090000}"/>
    <cellStyle name="Comma 4 3 4 4 3 2" xfId="15188" xr:uid="{34902845-5C64-4AB7-B2A8-6331CBA23CEE}"/>
    <cellStyle name="Comma 4 3 4 4 4" xfId="10971" xr:uid="{124485E1-28F1-4279-B11E-ECA212571EB0}"/>
    <cellStyle name="Comma 4 3 4 5" xfId="1969" xr:uid="{00000000-0005-0000-0000-0000A8090000}"/>
    <cellStyle name="Comma 4 3 4 5 2" xfId="4198" xr:uid="{00000000-0005-0000-0000-0000A9090000}"/>
    <cellStyle name="Comma 4 3 4 5 2 2" xfId="8420" xr:uid="{00000000-0005-0000-0000-0000AA090000}"/>
    <cellStyle name="Comma 4 3 4 5 2 2 2" xfId="17746" xr:uid="{8D3FD316-D102-41EA-9D47-835BA835A92B}"/>
    <cellStyle name="Comma 4 3 4 5 2 3" xfId="13529" xr:uid="{7F4DEC24-9D19-4569-83CC-FFDB05A4FC9C}"/>
    <cellStyle name="Comma 4 3 4 5 3" xfId="6275" xr:uid="{00000000-0005-0000-0000-0000AB090000}"/>
    <cellStyle name="Comma 4 3 4 5 3 2" xfId="15601" xr:uid="{A187D467-5829-473D-86D6-9EEB23063B49}"/>
    <cellStyle name="Comma 4 3 4 5 4" xfId="11384" xr:uid="{16A4307B-FE1B-448C-B08A-53383D168EFB}"/>
    <cellStyle name="Comma 4 3 4 6" xfId="2404" xr:uid="{00000000-0005-0000-0000-0000AC090000}"/>
    <cellStyle name="Comma 4 3 4 6 2" xfId="6688" xr:uid="{00000000-0005-0000-0000-0000AD090000}"/>
    <cellStyle name="Comma 4 3 4 6 2 2" xfId="16014" xr:uid="{0F56ED93-790B-4A45-A1E6-D78E86194162}"/>
    <cellStyle name="Comma 4 3 4 6 3" xfId="11797" xr:uid="{20B1E79D-76F0-463B-94F8-E176CE67C526}"/>
    <cellStyle name="Comma 4 3 4 7" xfId="2700" xr:uid="{00000000-0005-0000-0000-0000AE090000}"/>
    <cellStyle name="Comma 4 3 4 8" xfId="2782" xr:uid="{00000000-0005-0000-0000-0000AF090000}"/>
    <cellStyle name="Comma 4 3 4 8 2" xfId="7005" xr:uid="{00000000-0005-0000-0000-0000B0090000}"/>
    <cellStyle name="Comma 4 3 4 8 2 2" xfId="16331" xr:uid="{A3E3CA2E-15E8-436D-B0B9-83E15AADE20D}"/>
    <cellStyle name="Comma 4 3 4 8 3" xfId="12114" xr:uid="{7E04757D-858E-490A-94F6-717DDAFA67FF}"/>
    <cellStyle name="Comma 4 3 4 9" xfId="4622" xr:uid="{00000000-0005-0000-0000-0000B1090000}"/>
    <cellStyle name="Comma 4 3 4 9 2" xfId="13948" xr:uid="{A9F4D9A4-CCE0-4E9B-AA99-388D6E389B35}"/>
    <cellStyle name="Comma 4 3 5" xfId="152" xr:uid="{00000000-0005-0000-0000-0000B2090000}"/>
    <cellStyle name="Comma 4 3 5 10" xfId="9202" xr:uid="{BF5456DA-E11C-47BD-8210-21F45D9E5F79}"/>
    <cellStyle name="Comma 4 3 5 10 2" xfId="18518" xr:uid="{5C516CBE-F6ED-4DED-9DF7-A30ED68D8237}"/>
    <cellStyle name="Comma 4 3 5 11" xfId="9732" xr:uid="{316FCEDA-3E9E-4025-8056-2FC88214514F}"/>
    <cellStyle name="Comma 4 3 5 2" xfId="689" xr:uid="{00000000-0005-0000-0000-0000B3090000}"/>
    <cellStyle name="Comma 4 3 5 2 2" xfId="2960" xr:uid="{00000000-0005-0000-0000-0000B4090000}"/>
    <cellStyle name="Comma 4 3 5 2 2 2" xfId="7182" xr:uid="{00000000-0005-0000-0000-0000B5090000}"/>
    <cellStyle name="Comma 4 3 5 2 2 2 2" xfId="16508" xr:uid="{A76EDEC0-50AD-4775-B470-F008F2A31180}"/>
    <cellStyle name="Comma 4 3 5 2 2 3" xfId="12291" xr:uid="{CC63F9F8-6E70-429D-BD54-A8AAAD16519B}"/>
    <cellStyle name="Comma 4 3 5 2 3" xfId="5037" xr:uid="{00000000-0005-0000-0000-0000B6090000}"/>
    <cellStyle name="Comma 4 3 5 2 3 2" xfId="14363" xr:uid="{352E875F-DC91-4B7D-A0F1-FA5448F08A7E}"/>
    <cellStyle name="Comma 4 3 5 2 4" xfId="9595" xr:uid="{3E6BF710-D2EA-4AFB-83F1-C6BF1C2192FF}"/>
    <cellStyle name="Comma 4 3 5 2 4 2" xfId="18899" xr:uid="{1F81EAEA-42B9-45D0-9D62-74425F31E8D8}"/>
    <cellStyle name="Comma 4 3 5 2 5" xfId="10146" xr:uid="{7AAE1D4F-88A3-440A-A9A2-EF0AE9FCA517}"/>
    <cellStyle name="Comma 4 3 5 3" xfId="1142" xr:uid="{00000000-0005-0000-0000-0000B7090000}"/>
    <cellStyle name="Comma 4 3 5 3 2" xfId="3373" xr:uid="{00000000-0005-0000-0000-0000B8090000}"/>
    <cellStyle name="Comma 4 3 5 3 2 2" xfId="7595" xr:uid="{00000000-0005-0000-0000-0000B9090000}"/>
    <cellStyle name="Comma 4 3 5 3 2 2 2" xfId="16921" xr:uid="{1CD6C03D-0B19-43F1-A815-6558D1FCA739}"/>
    <cellStyle name="Comma 4 3 5 3 2 3" xfId="12704" xr:uid="{1CFF7EEC-EAD3-4FF8-B57C-D1820B89E8E4}"/>
    <cellStyle name="Comma 4 3 5 3 3" xfId="5450" xr:uid="{00000000-0005-0000-0000-0000BA090000}"/>
    <cellStyle name="Comma 4 3 5 3 3 2" xfId="14776" xr:uid="{32B6B5E5-C759-487D-80CA-97284371C7C8}"/>
    <cellStyle name="Comma 4 3 5 3 4" xfId="10559" xr:uid="{491B6214-1C1F-4CA4-BE6A-DAAA9A1B5B95}"/>
    <cellStyle name="Comma 4 3 5 4" xfId="1556" xr:uid="{00000000-0005-0000-0000-0000BB090000}"/>
    <cellStyle name="Comma 4 3 5 4 2" xfId="3786" xr:uid="{00000000-0005-0000-0000-0000BC090000}"/>
    <cellStyle name="Comma 4 3 5 4 2 2" xfId="8008" xr:uid="{00000000-0005-0000-0000-0000BD090000}"/>
    <cellStyle name="Comma 4 3 5 4 2 2 2" xfId="17334" xr:uid="{054649BB-6CF0-4215-91EC-5AC9415B7775}"/>
    <cellStyle name="Comma 4 3 5 4 2 3" xfId="13117" xr:uid="{9797374A-9815-4F36-B13F-CF258A2BC9AD}"/>
    <cellStyle name="Comma 4 3 5 4 3" xfId="5863" xr:uid="{00000000-0005-0000-0000-0000BE090000}"/>
    <cellStyle name="Comma 4 3 5 4 3 2" xfId="15189" xr:uid="{AE087BDE-2FA3-415D-B4A1-9C1DFAA0D4B9}"/>
    <cellStyle name="Comma 4 3 5 4 4" xfId="10972" xr:uid="{5AB748C5-949F-4914-AFF5-E29083295FF8}"/>
    <cellStyle name="Comma 4 3 5 5" xfId="1970" xr:uid="{00000000-0005-0000-0000-0000BF090000}"/>
    <cellStyle name="Comma 4 3 5 5 2" xfId="4199" xr:uid="{00000000-0005-0000-0000-0000C0090000}"/>
    <cellStyle name="Comma 4 3 5 5 2 2" xfId="8421" xr:uid="{00000000-0005-0000-0000-0000C1090000}"/>
    <cellStyle name="Comma 4 3 5 5 2 2 2" xfId="17747" xr:uid="{59F3C5C2-B24B-41C7-8BB5-1573C90AA11A}"/>
    <cellStyle name="Comma 4 3 5 5 2 3" xfId="13530" xr:uid="{FB16A417-47A9-4CCA-B1A4-F0429A41496F}"/>
    <cellStyle name="Comma 4 3 5 5 3" xfId="6276" xr:uid="{00000000-0005-0000-0000-0000C2090000}"/>
    <cellStyle name="Comma 4 3 5 5 3 2" xfId="15602" xr:uid="{A84C4699-FA20-40D0-AF3F-570370B47D24}"/>
    <cellStyle name="Comma 4 3 5 5 4" xfId="11385" xr:uid="{2427E75A-3F63-4586-BE6C-17EEE7F85382}"/>
    <cellStyle name="Comma 4 3 5 6" xfId="2405" xr:uid="{00000000-0005-0000-0000-0000C3090000}"/>
    <cellStyle name="Comma 4 3 5 6 2" xfId="6689" xr:uid="{00000000-0005-0000-0000-0000C4090000}"/>
    <cellStyle name="Comma 4 3 5 6 2 2" xfId="16015" xr:uid="{46CA3E3E-9146-45AD-8844-FF5DA8416C8B}"/>
    <cellStyle name="Comma 4 3 5 6 3" xfId="11798" xr:uid="{91153DBB-F22E-48B3-8B91-A2446A3FC88F}"/>
    <cellStyle name="Comma 4 3 5 7" xfId="2701" xr:uid="{00000000-0005-0000-0000-0000C5090000}"/>
    <cellStyle name="Comma 4 3 5 8" xfId="2783" xr:uid="{00000000-0005-0000-0000-0000C6090000}"/>
    <cellStyle name="Comma 4 3 5 8 2" xfId="7006" xr:uid="{00000000-0005-0000-0000-0000C7090000}"/>
    <cellStyle name="Comma 4 3 5 8 2 2" xfId="16332" xr:uid="{587BB5F3-6460-45C3-9597-639D179E3E63}"/>
    <cellStyle name="Comma 4 3 5 8 3" xfId="12115" xr:uid="{736E62CA-D47B-4D16-80C0-A52CEBA92482}"/>
    <cellStyle name="Comma 4 3 5 9" xfId="4623" xr:uid="{00000000-0005-0000-0000-0000C8090000}"/>
    <cellStyle name="Comma 4 3 5 9 2" xfId="13949" xr:uid="{C9EA6FE8-02CE-4231-90E0-80B806721A36}"/>
    <cellStyle name="Comma 4 3 6" xfId="9582" xr:uid="{F1B74700-6F25-44D3-B4B6-1EFC63A6078B}"/>
    <cellStyle name="Comma 4 3 7" xfId="8778" xr:uid="{01CB0168-3495-42C5-9A13-F25D4D0EF35E}"/>
    <cellStyle name="Comma 4 3 7 2" xfId="18102" xr:uid="{A473FB1C-59F5-4BC7-8FEB-EBB22FB54C42}"/>
    <cellStyle name="Comma 4 4" xfId="153" xr:uid="{00000000-0005-0000-0000-0000C9090000}"/>
    <cellStyle name="Comma 4 4 10" xfId="2784" xr:uid="{00000000-0005-0000-0000-0000CA090000}"/>
    <cellStyle name="Comma 4 4 10 2" xfId="7007" xr:uid="{00000000-0005-0000-0000-0000CB090000}"/>
    <cellStyle name="Comma 4 4 10 2 2" xfId="16333" xr:uid="{7FAC7A7F-9C56-4951-BB4B-286C7D657AEF}"/>
    <cellStyle name="Comma 4 4 10 3" xfId="12116" xr:uid="{08DED89C-54ED-4DD5-B8E2-1979C7CB3D5A}"/>
    <cellStyle name="Comma 4 4 11" xfId="4624" xr:uid="{00000000-0005-0000-0000-0000CC090000}"/>
    <cellStyle name="Comma 4 4 11 2" xfId="13950" xr:uid="{B2138710-899E-4715-B144-8F0CBF93E749}"/>
    <cellStyle name="Comma 4 4 12" xfId="8804" xr:uid="{A2BB6322-7771-45CD-845C-77E2FE03AC7A}"/>
    <cellStyle name="Comma 4 4 12 2" xfId="18128" xr:uid="{50E0C80A-F64B-4110-8D6C-0618C201C780}"/>
    <cellStyle name="Comma 4 4 13" xfId="9733" xr:uid="{23D01971-7900-4917-A286-081668B5745F}"/>
    <cellStyle name="Comma 4 4 2" xfId="154" xr:uid="{00000000-0005-0000-0000-0000CD090000}"/>
    <cellStyle name="Comma 4 4 2 10" xfId="4625" xr:uid="{00000000-0005-0000-0000-0000CE090000}"/>
    <cellStyle name="Comma 4 4 2 10 2" xfId="13951" xr:uid="{DBC921B0-87B4-4004-ADD3-E358822F5176}"/>
    <cellStyle name="Comma 4 4 2 11" xfId="8907" xr:uid="{F9F87618-3BA1-4211-A686-62CF5BBA5770}"/>
    <cellStyle name="Comma 4 4 2 11 2" xfId="18231" xr:uid="{69D9DEEC-6E6E-4D6F-8913-9825F992E303}"/>
    <cellStyle name="Comma 4 4 2 12" xfId="9734" xr:uid="{D0A61BD4-8E62-4C5E-B257-6E7C0356E3BA}"/>
    <cellStyle name="Comma 4 4 2 2" xfId="155" xr:uid="{00000000-0005-0000-0000-0000CF090000}"/>
    <cellStyle name="Comma 4 4 2 2 10" xfId="9114" xr:uid="{871FAC03-A44E-4C24-806C-3CC0605FD124}"/>
    <cellStyle name="Comma 4 4 2 2 10 2" xfId="18438" xr:uid="{9B70D167-0847-4FFC-97DB-F45E9925C1CB}"/>
    <cellStyle name="Comma 4 4 2 2 11" xfId="9735" xr:uid="{A12F0711-CC5A-4E97-A520-A316ACEE4702}"/>
    <cellStyle name="Comma 4 4 2 2 2" xfId="692" xr:uid="{00000000-0005-0000-0000-0000D0090000}"/>
    <cellStyle name="Comma 4 4 2 2 2 2" xfId="2963" xr:uid="{00000000-0005-0000-0000-0000D1090000}"/>
    <cellStyle name="Comma 4 4 2 2 2 2 2" xfId="7185" xr:uid="{00000000-0005-0000-0000-0000D2090000}"/>
    <cellStyle name="Comma 4 4 2 2 2 2 2 2" xfId="16511" xr:uid="{1BE63B46-6EA1-42C8-BB69-DBA8F2E13AEF}"/>
    <cellStyle name="Comma 4 4 2 2 2 2 3" xfId="12294" xr:uid="{E9346312-4F6F-4B12-BD60-DD75D43A7B7F}"/>
    <cellStyle name="Comma 4 4 2 2 2 3" xfId="5040" xr:uid="{00000000-0005-0000-0000-0000D3090000}"/>
    <cellStyle name="Comma 4 4 2 2 2 3 2" xfId="14366" xr:uid="{5203FB4B-668B-4F54-8439-420462A9511D}"/>
    <cellStyle name="Comma 4 4 2 2 2 4" xfId="9539" xr:uid="{6209A471-8158-46C6-9ADA-C828BB6621B2}"/>
    <cellStyle name="Comma 4 4 2 2 2 4 2" xfId="18854" xr:uid="{5836D7E4-2FA8-4BC7-94FD-0E9B342126BC}"/>
    <cellStyle name="Comma 4 4 2 2 2 5" xfId="10149" xr:uid="{E2DD0086-EEF4-4D1D-9326-9B5B7B9632C7}"/>
    <cellStyle name="Comma 4 4 2 2 3" xfId="1145" xr:uid="{00000000-0005-0000-0000-0000D4090000}"/>
    <cellStyle name="Comma 4 4 2 2 3 2" xfId="3376" xr:uid="{00000000-0005-0000-0000-0000D5090000}"/>
    <cellStyle name="Comma 4 4 2 2 3 2 2" xfId="7598" xr:uid="{00000000-0005-0000-0000-0000D6090000}"/>
    <cellStyle name="Comma 4 4 2 2 3 2 2 2" xfId="16924" xr:uid="{9CD2CE35-3484-411D-83DE-E1E12B103B10}"/>
    <cellStyle name="Comma 4 4 2 2 3 2 3" xfId="12707" xr:uid="{2FD1369F-9F92-4AE2-A875-98AC4E0B054C}"/>
    <cellStyle name="Comma 4 4 2 2 3 3" xfId="5453" xr:uid="{00000000-0005-0000-0000-0000D7090000}"/>
    <cellStyle name="Comma 4 4 2 2 3 3 2" xfId="14779" xr:uid="{D14FB2F4-D5A1-4568-9D70-707FB6C921CA}"/>
    <cellStyle name="Comma 4 4 2 2 3 4" xfId="10562" xr:uid="{9B649F79-CD47-42F4-B985-1589068A2233}"/>
    <cellStyle name="Comma 4 4 2 2 4" xfId="1559" xr:uid="{00000000-0005-0000-0000-0000D8090000}"/>
    <cellStyle name="Comma 4 4 2 2 4 2" xfId="3789" xr:uid="{00000000-0005-0000-0000-0000D9090000}"/>
    <cellStyle name="Comma 4 4 2 2 4 2 2" xfId="8011" xr:uid="{00000000-0005-0000-0000-0000DA090000}"/>
    <cellStyle name="Comma 4 4 2 2 4 2 2 2" xfId="17337" xr:uid="{E7AB32BE-47DD-4969-86D2-365A4059D92F}"/>
    <cellStyle name="Comma 4 4 2 2 4 2 3" xfId="13120" xr:uid="{C51CC9A4-E3B9-4C0A-9D5B-DD2B72E9C41E}"/>
    <cellStyle name="Comma 4 4 2 2 4 3" xfId="5866" xr:uid="{00000000-0005-0000-0000-0000DB090000}"/>
    <cellStyle name="Comma 4 4 2 2 4 3 2" xfId="15192" xr:uid="{8CA0D3CE-B30A-4912-8B3D-67C183E17F41}"/>
    <cellStyle name="Comma 4 4 2 2 4 4" xfId="10975" xr:uid="{FEE9781A-2E52-43F7-A7D3-3C1AD44BBFD7}"/>
    <cellStyle name="Comma 4 4 2 2 5" xfId="1973" xr:uid="{00000000-0005-0000-0000-0000DC090000}"/>
    <cellStyle name="Comma 4 4 2 2 5 2" xfId="4202" xr:uid="{00000000-0005-0000-0000-0000DD090000}"/>
    <cellStyle name="Comma 4 4 2 2 5 2 2" xfId="8424" xr:uid="{00000000-0005-0000-0000-0000DE090000}"/>
    <cellStyle name="Comma 4 4 2 2 5 2 2 2" xfId="17750" xr:uid="{1B486ED9-1939-45C3-B9C2-CD3B16EE6018}"/>
    <cellStyle name="Comma 4 4 2 2 5 2 3" xfId="13533" xr:uid="{29A17D92-F4A1-46CC-9685-373AFC753EDA}"/>
    <cellStyle name="Comma 4 4 2 2 5 3" xfId="6279" xr:uid="{00000000-0005-0000-0000-0000DF090000}"/>
    <cellStyle name="Comma 4 4 2 2 5 3 2" xfId="15605" xr:uid="{054E4370-2AA6-46A4-AA56-FFCD127DF4BF}"/>
    <cellStyle name="Comma 4 4 2 2 5 4" xfId="11388" xr:uid="{65086D0C-4B54-4AB8-BBC8-7541F74EDD3E}"/>
    <cellStyle name="Comma 4 4 2 2 6" xfId="2408" xr:uid="{00000000-0005-0000-0000-0000E0090000}"/>
    <cellStyle name="Comma 4 4 2 2 6 2" xfId="6692" xr:uid="{00000000-0005-0000-0000-0000E1090000}"/>
    <cellStyle name="Comma 4 4 2 2 6 2 2" xfId="16018" xr:uid="{A299F3DE-4FA1-4A99-8365-7A225B4A789A}"/>
    <cellStyle name="Comma 4 4 2 2 6 3" xfId="11801" xr:uid="{0A519205-17A1-4561-8368-664534E7542A}"/>
    <cellStyle name="Comma 4 4 2 2 7" xfId="2704" xr:uid="{00000000-0005-0000-0000-0000E2090000}"/>
    <cellStyle name="Comma 4 4 2 2 8" xfId="2786" xr:uid="{00000000-0005-0000-0000-0000E3090000}"/>
    <cellStyle name="Comma 4 4 2 2 8 2" xfId="7009" xr:uid="{00000000-0005-0000-0000-0000E4090000}"/>
    <cellStyle name="Comma 4 4 2 2 8 2 2" xfId="16335" xr:uid="{507BB7A4-5CAA-4193-B1CB-1ACD8D4C32DE}"/>
    <cellStyle name="Comma 4 4 2 2 8 3" xfId="12118" xr:uid="{514C46C0-278D-4D29-9E83-B442D7D6E6D0}"/>
    <cellStyle name="Comma 4 4 2 2 9" xfId="4626" xr:uid="{00000000-0005-0000-0000-0000E5090000}"/>
    <cellStyle name="Comma 4 4 2 2 9 2" xfId="13952" xr:uid="{2EE4B52E-D3E5-4967-A9C1-F49B6A50872D}"/>
    <cellStyle name="Comma 4 4 2 3" xfId="691" xr:uid="{00000000-0005-0000-0000-0000E6090000}"/>
    <cellStyle name="Comma 4 4 2 3 2" xfId="2962" xr:uid="{00000000-0005-0000-0000-0000E7090000}"/>
    <cellStyle name="Comma 4 4 2 3 2 2" xfId="7184" xr:uid="{00000000-0005-0000-0000-0000E8090000}"/>
    <cellStyle name="Comma 4 4 2 3 2 2 2" xfId="16510" xr:uid="{55A98AD5-05FA-4F0E-AF02-027F3B86FCDB}"/>
    <cellStyle name="Comma 4 4 2 3 2 3" xfId="12293" xr:uid="{070ECB1A-C686-4231-86DA-13495369E457}"/>
    <cellStyle name="Comma 4 4 2 3 3" xfId="5039" xr:uid="{00000000-0005-0000-0000-0000E9090000}"/>
    <cellStyle name="Comma 4 4 2 3 3 2" xfId="14365" xr:uid="{46198F95-4502-4989-8A24-CFC76DAB5EB1}"/>
    <cellStyle name="Comma 4 4 2 3 4" xfId="9332" xr:uid="{00F59ECD-64D7-476B-90FD-CD86F054AE4D}"/>
    <cellStyle name="Comma 4 4 2 3 4 2" xfId="18647" xr:uid="{2B9D86F5-0FA9-4030-9AE5-CD2FFF56C388}"/>
    <cellStyle name="Comma 4 4 2 3 5" xfId="10148" xr:uid="{0EDFE58E-8264-4C70-9882-C7CCFC614AAD}"/>
    <cellStyle name="Comma 4 4 2 4" xfId="1144" xr:uid="{00000000-0005-0000-0000-0000EA090000}"/>
    <cellStyle name="Comma 4 4 2 4 2" xfId="3375" xr:uid="{00000000-0005-0000-0000-0000EB090000}"/>
    <cellStyle name="Comma 4 4 2 4 2 2" xfId="7597" xr:uid="{00000000-0005-0000-0000-0000EC090000}"/>
    <cellStyle name="Comma 4 4 2 4 2 2 2" xfId="16923" xr:uid="{CD342F72-0807-48DD-9D35-7EADD8EB702C}"/>
    <cellStyle name="Comma 4 4 2 4 2 3" xfId="12706" xr:uid="{C3F0A2F0-34E8-48BD-8A8D-ABFC89CB95A6}"/>
    <cellStyle name="Comma 4 4 2 4 3" xfId="5452" xr:uid="{00000000-0005-0000-0000-0000ED090000}"/>
    <cellStyle name="Comma 4 4 2 4 3 2" xfId="14778" xr:uid="{2FABA4DA-A8BF-4A21-B7EE-399CC60A188A}"/>
    <cellStyle name="Comma 4 4 2 4 4" xfId="10561" xr:uid="{1B79CB79-772D-45E0-A04C-AB070761AD70}"/>
    <cellStyle name="Comma 4 4 2 5" xfId="1558" xr:uid="{00000000-0005-0000-0000-0000EE090000}"/>
    <cellStyle name="Comma 4 4 2 5 2" xfId="3788" xr:uid="{00000000-0005-0000-0000-0000EF090000}"/>
    <cellStyle name="Comma 4 4 2 5 2 2" xfId="8010" xr:uid="{00000000-0005-0000-0000-0000F0090000}"/>
    <cellStyle name="Comma 4 4 2 5 2 2 2" xfId="17336" xr:uid="{2D939D9E-9A9B-484B-B696-EB6EA9B21EFC}"/>
    <cellStyle name="Comma 4 4 2 5 2 3" xfId="13119" xr:uid="{C3739D42-A971-49A9-86DF-9F1268FF5512}"/>
    <cellStyle name="Comma 4 4 2 5 3" xfId="5865" xr:uid="{00000000-0005-0000-0000-0000F1090000}"/>
    <cellStyle name="Comma 4 4 2 5 3 2" xfId="15191" xr:uid="{631422DC-4AC8-442C-A60A-55F1288D084D}"/>
    <cellStyle name="Comma 4 4 2 5 4" xfId="10974" xr:uid="{9A80E75E-D7A1-40E4-A7C5-D02725B7EDFD}"/>
    <cellStyle name="Comma 4 4 2 6" xfId="1972" xr:uid="{00000000-0005-0000-0000-0000F2090000}"/>
    <cellStyle name="Comma 4 4 2 6 2" xfId="4201" xr:uid="{00000000-0005-0000-0000-0000F3090000}"/>
    <cellStyle name="Comma 4 4 2 6 2 2" xfId="8423" xr:uid="{00000000-0005-0000-0000-0000F4090000}"/>
    <cellStyle name="Comma 4 4 2 6 2 2 2" xfId="17749" xr:uid="{941F6908-AD5B-41AF-9B11-3223DE5D5505}"/>
    <cellStyle name="Comma 4 4 2 6 2 3" xfId="13532" xr:uid="{6BB21CF2-7F6F-4B88-8EDC-1A58EA7EABCF}"/>
    <cellStyle name="Comma 4 4 2 6 3" xfId="6278" xr:uid="{00000000-0005-0000-0000-0000F5090000}"/>
    <cellStyle name="Comma 4 4 2 6 3 2" xfId="15604" xr:uid="{DF23D089-3AA1-4ECB-B49E-B1BBA560F228}"/>
    <cellStyle name="Comma 4 4 2 6 4" xfId="11387" xr:uid="{CE900676-F49D-43F2-9440-0CB3DD7692D8}"/>
    <cellStyle name="Comma 4 4 2 7" xfId="2407" xr:uid="{00000000-0005-0000-0000-0000F6090000}"/>
    <cellStyle name="Comma 4 4 2 7 2" xfId="6691" xr:uid="{00000000-0005-0000-0000-0000F7090000}"/>
    <cellStyle name="Comma 4 4 2 7 2 2" xfId="16017" xr:uid="{D336DEA4-CD8C-4293-9670-30039B8178AF}"/>
    <cellStyle name="Comma 4 4 2 7 3" xfId="11800" xr:uid="{F2D34CF0-D458-4CF3-8F8B-6A58F98AD01E}"/>
    <cellStyle name="Comma 4 4 2 8" xfId="2703" xr:uid="{00000000-0005-0000-0000-0000F8090000}"/>
    <cellStyle name="Comma 4 4 2 9" xfId="2785" xr:uid="{00000000-0005-0000-0000-0000F9090000}"/>
    <cellStyle name="Comma 4 4 2 9 2" xfId="7008" xr:uid="{00000000-0005-0000-0000-0000FA090000}"/>
    <cellStyle name="Comma 4 4 2 9 2 2" xfId="16334" xr:uid="{836AFA03-1BAC-41EE-BD5F-1DD69F26BB21}"/>
    <cellStyle name="Comma 4 4 2 9 3" xfId="12117" xr:uid="{C2E928F8-C6D0-40C2-B870-3FFC81112FAF}"/>
    <cellStyle name="Comma 4 4 3" xfId="156" xr:uid="{00000000-0005-0000-0000-0000FB090000}"/>
    <cellStyle name="Comma 4 4 3 10" xfId="9011" xr:uid="{31ED03AD-AB12-49AF-9AD4-B783F0BF7322}"/>
    <cellStyle name="Comma 4 4 3 10 2" xfId="18335" xr:uid="{CCC8F3E9-8059-4645-BFF9-7B9954536A7C}"/>
    <cellStyle name="Comma 4 4 3 11" xfId="9736" xr:uid="{86DD14AF-2222-4EA0-94E8-8B4F6C51A328}"/>
    <cellStyle name="Comma 4 4 3 2" xfId="693" xr:uid="{00000000-0005-0000-0000-0000FC090000}"/>
    <cellStyle name="Comma 4 4 3 2 2" xfId="2964" xr:uid="{00000000-0005-0000-0000-0000FD090000}"/>
    <cellStyle name="Comma 4 4 3 2 2 2" xfId="7186" xr:uid="{00000000-0005-0000-0000-0000FE090000}"/>
    <cellStyle name="Comma 4 4 3 2 2 2 2" xfId="16512" xr:uid="{A7726FF3-4697-4E9D-A704-A9E10FE7F7F5}"/>
    <cellStyle name="Comma 4 4 3 2 2 3" xfId="12295" xr:uid="{A71C84C1-0CFD-4B75-BDC2-99FB70AE1FEB}"/>
    <cellStyle name="Comma 4 4 3 2 3" xfId="5041" xr:uid="{00000000-0005-0000-0000-0000FF090000}"/>
    <cellStyle name="Comma 4 4 3 2 3 2" xfId="14367" xr:uid="{A8299200-8545-4BB8-AE4D-FEACC43D734C}"/>
    <cellStyle name="Comma 4 4 3 2 4" xfId="9436" xr:uid="{5B7DDC25-9095-4E8E-BD31-668F46BBD33F}"/>
    <cellStyle name="Comma 4 4 3 2 4 2" xfId="18751" xr:uid="{19F3EFFA-A5DF-4EF8-A52B-98D6E69B756B}"/>
    <cellStyle name="Comma 4 4 3 2 5" xfId="10150" xr:uid="{F2CAA4D8-BE1B-4EDB-B962-BC0C1BDACFBB}"/>
    <cellStyle name="Comma 4 4 3 3" xfId="1146" xr:uid="{00000000-0005-0000-0000-0000000A0000}"/>
    <cellStyle name="Comma 4 4 3 3 2" xfId="3377" xr:uid="{00000000-0005-0000-0000-0000010A0000}"/>
    <cellStyle name="Comma 4 4 3 3 2 2" xfId="7599" xr:uid="{00000000-0005-0000-0000-0000020A0000}"/>
    <cellStyle name="Comma 4 4 3 3 2 2 2" xfId="16925" xr:uid="{2CD25439-18DB-484C-B5BC-84772CD3C194}"/>
    <cellStyle name="Comma 4 4 3 3 2 3" xfId="12708" xr:uid="{62157846-6308-464B-9BBC-7CB045A23E92}"/>
    <cellStyle name="Comma 4 4 3 3 3" xfId="5454" xr:uid="{00000000-0005-0000-0000-0000030A0000}"/>
    <cellStyle name="Comma 4 4 3 3 3 2" xfId="14780" xr:uid="{F9F00813-A4CB-47FF-9FCA-313E10D139CF}"/>
    <cellStyle name="Comma 4 4 3 3 4" xfId="10563" xr:uid="{9AE08EB4-2E59-47E3-923C-540FFF98ABC3}"/>
    <cellStyle name="Comma 4 4 3 4" xfId="1560" xr:uid="{00000000-0005-0000-0000-0000040A0000}"/>
    <cellStyle name="Comma 4 4 3 4 2" xfId="3790" xr:uid="{00000000-0005-0000-0000-0000050A0000}"/>
    <cellStyle name="Comma 4 4 3 4 2 2" xfId="8012" xr:uid="{00000000-0005-0000-0000-0000060A0000}"/>
    <cellStyle name="Comma 4 4 3 4 2 2 2" xfId="17338" xr:uid="{E9A94091-5EB8-4901-ADAD-8B8FF70BC795}"/>
    <cellStyle name="Comma 4 4 3 4 2 3" xfId="13121" xr:uid="{78256F7E-920E-48D0-B4E1-C3D2490BBAC3}"/>
    <cellStyle name="Comma 4 4 3 4 3" xfId="5867" xr:uid="{00000000-0005-0000-0000-0000070A0000}"/>
    <cellStyle name="Comma 4 4 3 4 3 2" xfId="15193" xr:uid="{893C3BB2-9573-44DA-8EAC-23D0A4FDC36A}"/>
    <cellStyle name="Comma 4 4 3 4 4" xfId="10976" xr:uid="{5260453E-D940-4D17-9F5B-27E6B111F786}"/>
    <cellStyle name="Comma 4 4 3 5" xfId="1974" xr:uid="{00000000-0005-0000-0000-0000080A0000}"/>
    <cellStyle name="Comma 4 4 3 5 2" xfId="4203" xr:uid="{00000000-0005-0000-0000-0000090A0000}"/>
    <cellStyle name="Comma 4 4 3 5 2 2" xfId="8425" xr:uid="{00000000-0005-0000-0000-00000A0A0000}"/>
    <cellStyle name="Comma 4 4 3 5 2 2 2" xfId="17751" xr:uid="{2BD53B46-97CD-4184-8F1D-15CF4093CEAA}"/>
    <cellStyle name="Comma 4 4 3 5 2 3" xfId="13534" xr:uid="{864A2AEB-D208-4627-B6E6-181E9160EA70}"/>
    <cellStyle name="Comma 4 4 3 5 3" xfId="6280" xr:uid="{00000000-0005-0000-0000-00000B0A0000}"/>
    <cellStyle name="Comma 4 4 3 5 3 2" xfId="15606" xr:uid="{00764BB8-E795-430B-BE8B-405A233FF532}"/>
    <cellStyle name="Comma 4 4 3 5 4" xfId="11389" xr:uid="{D038E025-0116-4E30-930E-AE10FEB09999}"/>
    <cellStyle name="Comma 4 4 3 6" xfId="2409" xr:uid="{00000000-0005-0000-0000-00000C0A0000}"/>
    <cellStyle name="Comma 4 4 3 6 2" xfId="6693" xr:uid="{00000000-0005-0000-0000-00000D0A0000}"/>
    <cellStyle name="Comma 4 4 3 6 2 2" xfId="16019" xr:uid="{D7A1DFF8-3219-4AEC-8A5A-F9350079BCF6}"/>
    <cellStyle name="Comma 4 4 3 6 3" xfId="11802" xr:uid="{919DD3EE-CC4D-476D-89B2-F018EF4C8F62}"/>
    <cellStyle name="Comma 4 4 3 7" xfId="2705" xr:uid="{00000000-0005-0000-0000-00000E0A0000}"/>
    <cellStyle name="Comma 4 4 3 8" xfId="2787" xr:uid="{00000000-0005-0000-0000-00000F0A0000}"/>
    <cellStyle name="Comma 4 4 3 8 2" xfId="7010" xr:uid="{00000000-0005-0000-0000-0000100A0000}"/>
    <cellStyle name="Comma 4 4 3 8 2 2" xfId="16336" xr:uid="{32AECD05-3A36-4242-A0E7-4B7542322E93}"/>
    <cellStyle name="Comma 4 4 3 8 3" xfId="12119" xr:uid="{C73AA867-6977-4FA9-BE5D-244DC404C577}"/>
    <cellStyle name="Comma 4 4 3 9" xfId="4627" xr:uid="{00000000-0005-0000-0000-0000110A0000}"/>
    <cellStyle name="Comma 4 4 3 9 2" xfId="13953" xr:uid="{641E0D25-E8AA-4A33-8431-8CA37361D1C6}"/>
    <cellStyle name="Comma 4 4 4" xfId="690" xr:uid="{00000000-0005-0000-0000-0000120A0000}"/>
    <cellStyle name="Comma 4 4 4 2" xfId="2961" xr:uid="{00000000-0005-0000-0000-0000130A0000}"/>
    <cellStyle name="Comma 4 4 4 2 2" xfId="7183" xr:uid="{00000000-0005-0000-0000-0000140A0000}"/>
    <cellStyle name="Comma 4 4 4 2 2 2" xfId="16509" xr:uid="{16C2B722-66A8-4B41-98EC-66D19D4E4381}"/>
    <cellStyle name="Comma 4 4 4 2 3" xfId="12292" xr:uid="{DE21DF33-137C-4C4B-96F9-EDAC4539CA8D}"/>
    <cellStyle name="Comma 4 4 4 3" xfId="5038" xr:uid="{00000000-0005-0000-0000-0000150A0000}"/>
    <cellStyle name="Comma 4 4 4 3 2" xfId="14364" xr:uid="{EE8B9F0E-E9EB-47CE-A9AB-D69D1C131653}"/>
    <cellStyle name="Comma 4 4 4 4" xfId="9229" xr:uid="{5D655A80-2199-4116-9BF2-7327D5827395}"/>
    <cellStyle name="Comma 4 4 4 4 2" xfId="18544" xr:uid="{FFDC5996-EB98-400D-A94B-8A31E4ADE89F}"/>
    <cellStyle name="Comma 4 4 4 5" xfId="10147" xr:uid="{AFB197C5-7AE2-4F48-B448-43905C32E87C}"/>
    <cellStyle name="Comma 4 4 5" xfId="1143" xr:uid="{00000000-0005-0000-0000-0000160A0000}"/>
    <cellStyle name="Comma 4 4 5 2" xfId="3374" xr:uid="{00000000-0005-0000-0000-0000170A0000}"/>
    <cellStyle name="Comma 4 4 5 2 2" xfId="7596" xr:uid="{00000000-0005-0000-0000-0000180A0000}"/>
    <cellStyle name="Comma 4 4 5 2 2 2" xfId="16922" xr:uid="{210F205C-CE61-48D0-B9AA-A7B26FFA9EFC}"/>
    <cellStyle name="Comma 4 4 5 2 3" xfId="12705" xr:uid="{0E9E50B3-6916-47BC-A6C8-0AD6699A4771}"/>
    <cellStyle name="Comma 4 4 5 3" xfId="5451" xr:uid="{00000000-0005-0000-0000-0000190A0000}"/>
    <cellStyle name="Comma 4 4 5 3 2" xfId="14777" xr:uid="{945D06C0-B31C-412E-A25B-29168A8944AC}"/>
    <cellStyle name="Comma 4 4 5 4" xfId="10560" xr:uid="{DF906A31-D3F3-4BB4-88EC-ECCECC342AE8}"/>
    <cellStyle name="Comma 4 4 6" xfId="1557" xr:uid="{00000000-0005-0000-0000-00001A0A0000}"/>
    <cellStyle name="Comma 4 4 6 2" xfId="3787" xr:uid="{00000000-0005-0000-0000-00001B0A0000}"/>
    <cellStyle name="Comma 4 4 6 2 2" xfId="8009" xr:uid="{00000000-0005-0000-0000-00001C0A0000}"/>
    <cellStyle name="Comma 4 4 6 2 2 2" xfId="17335" xr:uid="{6EAC2062-B857-48A4-B131-BBED376ADE23}"/>
    <cellStyle name="Comma 4 4 6 2 3" xfId="13118" xr:uid="{99DA2491-B1C4-40B3-AFCE-65F9FB259F8A}"/>
    <cellStyle name="Comma 4 4 6 3" xfId="5864" xr:uid="{00000000-0005-0000-0000-00001D0A0000}"/>
    <cellStyle name="Comma 4 4 6 3 2" xfId="15190" xr:uid="{EC28FDA2-2B4D-44A2-9389-AC85219C2708}"/>
    <cellStyle name="Comma 4 4 6 4" xfId="10973" xr:uid="{CC4EF9FF-5A8A-46CD-A6A6-B92F8448CE38}"/>
    <cellStyle name="Comma 4 4 7" xfId="1971" xr:uid="{00000000-0005-0000-0000-00001E0A0000}"/>
    <cellStyle name="Comma 4 4 7 2" xfId="4200" xr:uid="{00000000-0005-0000-0000-00001F0A0000}"/>
    <cellStyle name="Comma 4 4 7 2 2" xfId="8422" xr:uid="{00000000-0005-0000-0000-0000200A0000}"/>
    <cellStyle name="Comma 4 4 7 2 2 2" xfId="17748" xr:uid="{308BFCE5-7386-4005-9D81-F1B72C7E0F38}"/>
    <cellStyle name="Comma 4 4 7 2 3" xfId="13531" xr:uid="{714E5C22-2305-4D92-8C47-02CAA0192BFD}"/>
    <cellStyle name="Comma 4 4 7 3" xfId="6277" xr:uid="{00000000-0005-0000-0000-0000210A0000}"/>
    <cellStyle name="Comma 4 4 7 3 2" xfId="15603" xr:uid="{6C6F64D8-1117-4133-AF21-9DE42E906507}"/>
    <cellStyle name="Comma 4 4 7 4" xfId="11386" xr:uid="{551A0214-37BC-4525-9E4C-8BF3D7F4983F}"/>
    <cellStyle name="Comma 4 4 8" xfId="2406" xr:uid="{00000000-0005-0000-0000-0000220A0000}"/>
    <cellStyle name="Comma 4 4 8 2" xfId="6690" xr:uid="{00000000-0005-0000-0000-0000230A0000}"/>
    <cellStyle name="Comma 4 4 8 2 2" xfId="16016" xr:uid="{470204B9-D18D-426C-9105-A76EDDA58CFF}"/>
    <cellStyle name="Comma 4 4 8 3" xfId="11799" xr:uid="{F29477B2-600E-46AA-893D-281829C25FB8}"/>
    <cellStyle name="Comma 4 4 9" xfId="2702" xr:uid="{00000000-0005-0000-0000-0000240A0000}"/>
    <cellStyle name="Comma 4 5" xfId="157" xr:uid="{00000000-0005-0000-0000-0000250A0000}"/>
    <cellStyle name="Comma 4 5 10" xfId="4628" xr:uid="{00000000-0005-0000-0000-0000260A0000}"/>
    <cellStyle name="Comma 4 5 10 2" xfId="13954" xr:uid="{3FE657C4-FD4B-4F45-B0AE-780DFA8D361F}"/>
    <cellStyle name="Comma 4 5 11" xfId="8849" xr:uid="{344CCE08-63E3-41E8-B38A-00347480820F}"/>
    <cellStyle name="Comma 4 5 11 2" xfId="18173" xr:uid="{3E9D06D8-8D63-4776-894B-3F6D4ED21F3B}"/>
    <cellStyle name="Comma 4 5 12" xfId="9737" xr:uid="{F7ED59C7-8DF1-4B1C-814D-95EE002BEB0B}"/>
    <cellStyle name="Comma 4 5 2" xfId="158" xr:uid="{00000000-0005-0000-0000-0000270A0000}"/>
    <cellStyle name="Comma 4 5 2 10" xfId="9056" xr:uid="{C7C2153B-7EAA-4A13-9C28-1151ACD100A8}"/>
    <cellStyle name="Comma 4 5 2 10 2" xfId="18380" xr:uid="{F4F0DDCE-28C7-4B23-B317-C46C7F0F9F0D}"/>
    <cellStyle name="Comma 4 5 2 11" xfId="9738" xr:uid="{60678CAD-D891-4E42-BE43-676F877B95E7}"/>
    <cellStyle name="Comma 4 5 2 2" xfId="695" xr:uid="{00000000-0005-0000-0000-0000280A0000}"/>
    <cellStyle name="Comma 4 5 2 2 2" xfId="2966" xr:uid="{00000000-0005-0000-0000-0000290A0000}"/>
    <cellStyle name="Comma 4 5 2 2 2 2" xfId="7188" xr:uid="{00000000-0005-0000-0000-00002A0A0000}"/>
    <cellStyle name="Comma 4 5 2 2 2 2 2" xfId="16514" xr:uid="{740D5513-12C3-4C3F-A2F1-C1E368565224}"/>
    <cellStyle name="Comma 4 5 2 2 2 3" xfId="12297" xr:uid="{09650804-B8E0-426D-9E0A-83D2644CC593}"/>
    <cellStyle name="Comma 4 5 2 2 3" xfId="5043" xr:uid="{00000000-0005-0000-0000-00002B0A0000}"/>
    <cellStyle name="Comma 4 5 2 2 3 2" xfId="14369" xr:uid="{9C0DB59E-4C86-43DF-AE8F-617B07B25FA8}"/>
    <cellStyle name="Comma 4 5 2 2 4" xfId="9481" xr:uid="{47C88F6D-21B1-4457-908C-FFAB8FF83BD1}"/>
    <cellStyle name="Comma 4 5 2 2 4 2" xfId="18796" xr:uid="{26329AC4-D468-4570-A25B-12BAD3268550}"/>
    <cellStyle name="Comma 4 5 2 2 5" xfId="10152" xr:uid="{288B71CC-CE85-40D1-9E57-8CC622C85715}"/>
    <cellStyle name="Comma 4 5 2 3" xfId="1148" xr:uid="{00000000-0005-0000-0000-00002C0A0000}"/>
    <cellStyle name="Comma 4 5 2 3 2" xfId="3379" xr:uid="{00000000-0005-0000-0000-00002D0A0000}"/>
    <cellStyle name="Comma 4 5 2 3 2 2" xfId="7601" xr:uid="{00000000-0005-0000-0000-00002E0A0000}"/>
    <cellStyle name="Comma 4 5 2 3 2 2 2" xfId="16927" xr:uid="{05E5799C-8B44-4072-BACE-5E818EE3BA10}"/>
    <cellStyle name="Comma 4 5 2 3 2 3" xfId="12710" xr:uid="{56E1BFD3-08FD-4DC2-AF4C-85BE9E467AF6}"/>
    <cellStyle name="Comma 4 5 2 3 3" xfId="5456" xr:uid="{00000000-0005-0000-0000-00002F0A0000}"/>
    <cellStyle name="Comma 4 5 2 3 3 2" xfId="14782" xr:uid="{C0FAABBD-E673-497D-A526-C3128821A064}"/>
    <cellStyle name="Comma 4 5 2 3 4" xfId="10565" xr:uid="{C5624FD5-4F8F-42CF-9F6C-54CACFB29B55}"/>
    <cellStyle name="Comma 4 5 2 4" xfId="1562" xr:uid="{00000000-0005-0000-0000-0000300A0000}"/>
    <cellStyle name="Comma 4 5 2 4 2" xfId="3792" xr:uid="{00000000-0005-0000-0000-0000310A0000}"/>
    <cellStyle name="Comma 4 5 2 4 2 2" xfId="8014" xr:uid="{00000000-0005-0000-0000-0000320A0000}"/>
    <cellStyle name="Comma 4 5 2 4 2 2 2" xfId="17340" xr:uid="{16C51703-99BD-454D-8122-7DC9903F4FCE}"/>
    <cellStyle name="Comma 4 5 2 4 2 3" xfId="13123" xr:uid="{E8E7E809-ABFE-4489-865A-E9174B014B73}"/>
    <cellStyle name="Comma 4 5 2 4 3" xfId="5869" xr:uid="{00000000-0005-0000-0000-0000330A0000}"/>
    <cellStyle name="Comma 4 5 2 4 3 2" xfId="15195" xr:uid="{ED390B64-3A3B-498B-8709-DDDE96CF6322}"/>
    <cellStyle name="Comma 4 5 2 4 4" xfId="10978" xr:uid="{BBEB39CD-6C7F-4EF5-9754-E2DA8EB4A6E4}"/>
    <cellStyle name="Comma 4 5 2 5" xfId="1976" xr:uid="{00000000-0005-0000-0000-0000340A0000}"/>
    <cellStyle name="Comma 4 5 2 5 2" xfId="4205" xr:uid="{00000000-0005-0000-0000-0000350A0000}"/>
    <cellStyle name="Comma 4 5 2 5 2 2" xfId="8427" xr:uid="{00000000-0005-0000-0000-0000360A0000}"/>
    <cellStyle name="Comma 4 5 2 5 2 2 2" xfId="17753" xr:uid="{14C0F3F0-DE30-4E85-93F6-7688E1C591F5}"/>
    <cellStyle name="Comma 4 5 2 5 2 3" xfId="13536" xr:uid="{745DD94F-2B03-42C0-BA70-2AA9F735BC10}"/>
    <cellStyle name="Comma 4 5 2 5 3" xfId="6282" xr:uid="{00000000-0005-0000-0000-0000370A0000}"/>
    <cellStyle name="Comma 4 5 2 5 3 2" xfId="15608" xr:uid="{2BFB11B0-D874-4F35-8836-113346BDD253}"/>
    <cellStyle name="Comma 4 5 2 5 4" xfId="11391" xr:uid="{3AB07423-F174-4CAA-81B9-1908A5B3ABD0}"/>
    <cellStyle name="Comma 4 5 2 6" xfId="2411" xr:uid="{00000000-0005-0000-0000-0000380A0000}"/>
    <cellStyle name="Comma 4 5 2 6 2" xfId="6695" xr:uid="{00000000-0005-0000-0000-0000390A0000}"/>
    <cellStyle name="Comma 4 5 2 6 2 2" xfId="16021" xr:uid="{7CC70DFE-F766-49B0-AB36-BBE16CADA540}"/>
    <cellStyle name="Comma 4 5 2 6 3" xfId="11804" xr:uid="{4711C4E7-0E51-4C66-9E1A-DCA81AEC1783}"/>
    <cellStyle name="Comma 4 5 2 7" xfId="2707" xr:uid="{00000000-0005-0000-0000-00003A0A0000}"/>
    <cellStyle name="Comma 4 5 2 8" xfId="2789" xr:uid="{00000000-0005-0000-0000-00003B0A0000}"/>
    <cellStyle name="Comma 4 5 2 8 2" xfId="7012" xr:uid="{00000000-0005-0000-0000-00003C0A0000}"/>
    <cellStyle name="Comma 4 5 2 8 2 2" xfId="16338" xr:uid="{7D180CE7-9832-4585-A182-1A9231207579}"/>
    <cellStyle name="Comma 4 5 2 8 3" xfId="12121" xr:uid="{132888DE-9E55-4C28-B378-C3CA2BACD742}"/>
    <cellStyle name="Comma 4 5 2 9" xfId="4629" xr:uid="{00000000-0005-0000-0000-00003D0A0000}"/>
    <cellStyle name="Comma 4 5 2 9 2" xfId="13955" xr:uid="{6CD8EADD-EB7F-44E1-9F9C-29238FE99E0D}"/>
    <cellStyle name="Comma 4 5 3" xfId="694" xr:uid="{00000000-0005-0000-0000-00003E0A0000}"/>
    <cellStyle name="Comma 4 5 3 2" xfId="2965" xr:uid="{00000000-0005-0000-0000-00003F0A0000}"/>
    <cellStyle name="Comma 4 5 3 2 2" xfId="7187" xr:uid="{00000000-0005-0000-0000-0000400A0000}"/>
    <cellStyle name="Comma 4 5 3 2 2 2" xfId="16513" xr:uid="{D64F4686-F84F-4609-B808-1659DA6AC335}"/>
    <cellStyle name="Comma 4 5 3 2 3" xfId="12296" xr:uid="{B6A4E08B-75AE-4917-8AF9-C642DED727AC}"/>
    <cellStyle name="Comma 4 5 3 3" xfId="5042" xr:uid="{00000000-0005-0000-0000-0000410A0000}"/>
    <cellStyle name="Comma 4 5 3 3 2" xfId="14368" xr:uid="{09120EA1-B2A6-4FD0-97E4-763C3E5E07B8}"/>
    <cellStyle name="Comma 4 5 3 4" xfId="9274" xr:uid="{04AC3EF2-4A78-4DC5-BAB4-87936023C7E5}"/>
    <cellStyle name="Comma 4 5 3 4 2" xfId="18589" xr:uid="{2051C895-B57B-44DB-B9A5-C059C775AF84}"/>
    <cellStyle name="Comma 4 5 3 5" xfId="10151" xr:uid="{5C314707-77F0-4A49-8FC9-5E452929B889}"/>
    <cellStyle name="Comma 4 5 4" xfId="1147" xr:uid="{00000000-0005-0000-0000-0000420A0000}"/>
    <cellStyle name="Comma 4 5 4 2" xfId="3378" xr:uid="{00000000-0005-0000-0000-0000430A0000}"/>
    <cellStyle name="Comma 4 5 4 2 2" xfId="7600" xr:uid="{00000000-0005-0000-0000-0000440A0000}"/>
    <cellStyle name="Comma 4 5 4 2 2 2" xfId="16926" xr:uid="{C7ECF1A9-8411-4AD8-90E5-E5031C676724}"/>
    <cellStyle name="Comma 4 5 4 2 3" xfId="12709" xr:uid="{CC8AB42D-1FC0-48B8-9C8F-16842F8BB188}"/>
    <cellStyle name="Comma 4 5 4 3" xfId="5455" xr:uid="{00000000-0005-0000-0000-0000450A0000}"/>
    <cellStyle name="Comma 4 5 4 3 2" xfId="14781" xr:uid="{EC2D13CE-2FCD-48F8-9DE4-19B8E1CD51D2}"/>
    <cellStyle name="Comma 4 5 4 4" xfId="10564" xr:uid="{017E34FA-B0B8-4A13-8920-6E1BD0841D02}"/>
    <cellStyle name="Comma 4 5 5" xfId="1561" xr:uid="{00000000-0005-0000-0000-0000460A0000}"/>
    <cellStyle name="Comma 4 5 5 2" xfId="3791" xr:uid="{00000000-0005-0000-0000-0000470A0000}"/>
    <cellStyle name="Comma 4 5 5 2 2" xfId="8013" xr:uid="{00000000-0005-0000-0000-0000480A0000}"/>
    <cellStyle name="Comma 4 5 5 2 2 2" xfId="17339" xr:uid="{A724C137-BFA0-4CC3-BD50-5D4D48F420F4}"/>
    <cellStyle name="Comma 4 5 5 2 3" xfId="13122" xr:uid="{BCF3B8F0-A1AE-45DA-B5C2-F4A026D76706}"/>
    <cellStyle name="Comma 4 5 5 3" xfId="5868" xr:uid="{00000000-0005-0000-0000-0000490A0000}"/>
    <cellStyle name="Comma 4 5 5 3 2" xfId="15194" xr:uid="{5A36F81B-0969-48D2-8F35-93577A375D33}"/>
    <cellStyle name="Comma 4 5 5 4" xfId="10977" xr:uid="{881196B8-9BAA-41DC-BC23-EBFC0BF619F1}"/>
    <cellStyle name="Comma 4 5 6" xfId="1975" xr:uid="{00000000-0005-0000-0000-00004A0A0000}"/>
    <cellStyle name="Comma 4 5 6 2" xfId="4204" xr:uid="{00000000-0005-0000-0000-00004B0A0000}"/>
    <cellStyle name="Comma 4 5 6 2 2" xfId="8426" xr:uid="{00000000-0005-0000-0000-00004C0A0000}"/>
    <cellStyle name="Comma 4 5 6 2 2 2" xfId="17752" xr:uid="{BA0D6748-DEEA-49A6-8533-6BBB77677D34}"/>
    <cellStyle name="Comma 4 5 6 2 3" xfId="13535" xr:uid="{5270DCA9-FB67-465D-8B8B-288889E9A184}"/>
    <cellStyle name="Comma 4 5 6 3" xfId="6281" xr:uid="{00000000-0005-0000-0000-00004D0A0000}"/>
    <cellStyle name="Comma 4 5 6 3 2" xfId="15607" xr:uid="{4F8030D5-410D-4AEF-8E82-7355EF95F5CF}"/>
    <cellStyle name="Comma 4 5 6 4" xfId="11390" xr:uid="{0ECD94FA-CC93-4F7F-B1D5-66AC6C08BFE9}"/>
    <cellStyle name="Comma 4 5 7" xfId="2410" xr:uid="{00000000-0005-0000-0000-00004E0A0000}"/>
    <cellStyle name="Comma 4 5 7 2" xfId="6694" xr:uid="{00000000-0005-0000-0000-00004F0A0000}"/>
    <cellStyle name="Comma 4 5 7 2 2" xfId="16020" xr:uid="{F0636368-81E9-405A-8C2E-6BEFEBEA51CC}"/>
    <cellStyle name="Comma 4 5 7 3" xfId="11803" xr:uid="{7AB4F8F7-F6A7-4BF3-84BC-7A21DCD5599F}"/>
    <cellStyle name="Comma 4 5 8" xfId="2706" xr:uid="{00000000-0005-0000-0000-0000500A0000}"/>
    <cellStyle name="Comma 4 5 9" xfId="2788" xr:uid="{00000000-0005-0000-0000-0000510A0000}"/>
    <cellStyle name="Comma 4 5 9 2" xfId="7011" xr:uid="{00000000-0005-0000-0000-0000520A0000}"/>
    <cellStyle name="Comma 4 5 9 2 2" xfId="16337" xr:uid="{9EE3AA3C-2ACB-4E9C-8A1F-8C4CBD0DA23A}"/>
    <cellStyle name="Comma 4 5 9 3" xfId="12120" xr:uid="{B171573F-904D-4C7F-83B0-68D28D0BF876}"/>
    <cellStyle name="Comma 4 6" xfId="159" xr:uid="{00000000-0005-0000-0000-0000530A0000}"/>
    <cellStyle name="Comma 4 6 10" xfId="8965" xr:uid="{FDA33E7D-96B8-46F2-87D8-5CB6C30A4CC6}"/>
    <cellStyle name="Comma 4 6 10 2" xfId="18289" xr:uid="{DFA069B9-0811-42F6-8D95-8EA592BEA2B1}"/>
    <cellStyle name="Comma 4 6 11" xfId="9739" xr:uid="{3ACAEA0F-B08F-4F6A-A79B-55424D827866}"/>
    <cellStyle name="Comma 4 6 2" xfId="696" xr:uid="{00000000-0005-0000-0000-0000540A0000}"/>
    <cellStyle name="Comma 4 6 2 2" xfId="2967" xr:uid="{00000000-0005-0000-0000-0000550A0000}"/>
    <cellStyle name="Comma 4 6 2 2 2" xfId="7189" xr:uid="{00000000-0005-0000-0000-0000560A0000}"/>
    <cellStyle name="Comma 4 6 2 2 2 2" xfId="16515" xr:uid="{634BB562-AC1B-43AF-B7A3-3B9B74D678AB}"/>
    <cellStyle name="Comma 4 6 2 2 3" xfId="12298" xr:uid="{64626620-298E-4948-8604-2ED04CED67AE}"/>
    <cellStyle name="Comma 4 6 2 3" xfId="5044" xr:uid="{00000000-0005-0000-0000-0000570A0000}"/>
    <cellStyle name="Comma 4 6 2 3 2" xfId="14370" xr:uid="{B08EFD2B-9FCF-453D-8567-8A4D6B28F324}"/>
    <cellStyle name="Comma 4 6 2 4" xfId="9390" xr:uid="{F8012948-A58F-476A-B4CF-A63C8F36D5B6}"/>
    <cellStyle name="Comma 4 6 2 4 2" xfId="18705" xr:uid="{43DDB9ED-6717-416F-BD05-86737BB1602B}"/>
    <cellStyle name="Comma 4 6 2 5" xfId="10153" xr:uid="{06B913C5-0DA2-4DC6-BC3C-4087BF76F881}"/>
    <cellStyle name="Comma 4 6 3" xfId="1149" xr:uid="{00000000-0005-0000-0000-0000580A0000}"/>
    <cellStyle name="Comma 4 6 3 2" xfId="3380" xr:uid="{00000000-0005-0000-0000-0000590A0000}"/>
    <cellStyle name="Comma 4 6 3 2 2" xfId="7602" xr:uid="{00000000-0005-0000-0000-00005A0A0000}"/>
    <cellStyle name="Comma 4 6 3 2 2 2" xfId="16928" xr:uid="{15CEDE1A-6E5E-4FC3-AAC0-ACD038DC6BDE}"/>
    <cellStyle name="Comma 4 6 3 2 3" xfId="12711" xr:uid="{20286C03-280B-4119-AA4D-8ACE47F94A53}"/>
    <cellStyle name="Comma 4 6 3 3" xfId="5457" xr:uid="{00000000-0005-0000-0000-00005B0A0000}"/>
    <cellStyle name="Comma 4 6 3 3 2" xfId="14783" xr:uid="{0DABF762-9C9D-468D-92C2-FA5E3C489327}"/>
    <cellStyle name="Comma 4 6 3 4" xfId="10566" xr:uid="{D6AD719F-8910-4528-84F0-FBAA21C594F6}"/>
    <cellStyle name="Comma 4 6 4" xfId="1563" xr:uid="{00000000-0005-0000-0000-00005C0A0000}"/>
    <cellStyle name="Comma 4 6 4 2" xfId="3793" xr:uid="{00000000-0005-0000-0000-00005D0A0000}"/>
    <cellStyle name="Comma 4 6 4 2 2" xfId="8015" xr:uid="{00000000-0005-0000-0000-00005E0A0000}"/>
    <cellStyle name="Comma 4 6 4 2 2 2" xfId="17341" xr:uid="{5797FFDA-0621-4957-AA76-1BF795C347CC}"/>
    <cellStyle name="Comma 4 6 4 2 3" xfId="13124" xr:uid="{2AEE549B-8546-45DD-A20F-93935FAA9BCA}"/>
    <cellStyle name="Comma 4 6 4 3" xfId="5870" xr:uid="{00000000-0005-0000-0000-00005F0A0000}"/>
    <cellStyle name="Comma 4 6 4 3 2" xfId="15196" xr:uid="{4093B26C-93BC-4685-B3EE-0B0F6D7AE974}"/>
    <cellStyle name="Comma 4 6 4 4" xfId="10979" xr:uid="{A2FB78CE-F907-4298-9DC2-C8E839D1B80D}"/>
    <cellStyle name="Comma 4 6 5" xfId="1977" xr:uid="{00000000-0005-0000-0000-0000600A0000}"/>
    <cellStyle name="Comma 4 6 5 2" xfId="4206" xr:uid="{00000000-0005-0000-0000-0000610A0000}"/>
    <cellStyle name="Comma 4 6 5 2 2" xfId="8428" xr:uid="{00000000-0005-0000-0000-0000620A0000}"/>
    <cellStyle name="Comma 4 6 5 2 2 2" xfId="17754" xr:uid="{37EDC9F6-2774-4EFA-B057-92C53388D334}"/>
    <cellStyle name="Comma 4 6 5 2 3" xfId="13537" xr:uid="{24A3DB36-9BC3-4D8B-B4E7-172B0E9C043B}"/>
    <cellStyle name="Comma 4 6 5 3" xfId="6283" xr:uid="{00000000-0005-0000-0000-0000630A0000}"/>
    <cellStyle name="Comma 4 6 5 3 2" xfId="15609" xr:uid="{593206A6-90B1-4B14-B96A-71998F2F9A4A}"/>
    <cellStyle name="Comma 4 6 5 4" xfId="11392" xr:uid="{32C0D63A-59A0-472E-A897-79F4778F895B}"/>
    <cellStyle name="Comma 4 6 6" xfId="2412" xr:uid="{00000000-0005-0000-0000-0000640A0000}"/>
    <cellStyle name="Comma 4 6 6 2" xfId="6696" xr:uid="{00000000-0005-0000-0000-0000650A0000}"/>
    <cellStyle name="Comma 4 6 6 2 2" xfId="16022" xr:uid="{8D33BAC0-FA1F-4C89-9296-1114EAFA35BC}"/>
    <cellStyle name="Comma 4 6 6 3" xfId="11805" xr:uid="{883575F7-62C0-4C62-B28D-D883A66A9F71}"/>
    <cellStyle name="Comma 4 6 7" xfId="2708" xr:uid="{00000000-0005-0000-0000-0000660A0000}"/>
    <cellStyle name="Comma 4 6 8" xfId="2790" xr:uid="{00000000-0005-0000-0000-0000670A0000}"/>
    <cellStyle name="Comma 4 6 8 2" xfId="7013" xr:uid="{00000000-0005-0000-0000-0000680A0000}"/>
    <cellStyle name="Comma 4 6 8 2 2" xfId="16339" xr:uid="{E9A0145E-F000-4693-A0FC-E0A5BBF77D5C}"/>
    <cellStyle name="Comma 4 6 8 3" xfId="12122" xr:uid="{92462446-9895-451F-88B1-D9A02F5938B7}"/>
    <cellStyle name="Comma 4 6 9" xfId="4630" xr:uid="{00000000-0005-0000-0000-0000690A0000}"/>
    <cellStyle name="Comma 4 6 9 2" xfId="13956" xr:uid="{FED0F523-74D6-4654-97B9-D18127940BA0}"/>
    <cellStyle name="Comma 4 7" xfId="160" xr:uid="{00000000-0005-0000-0000-00006A0A0000}"/>
    <cellStyle name="Comma 4 7 10" xfId="9168" xr:uid="{C5EF0C72-87BD-43A9-8A23-92F9D9423F50}"/>
    <cellStyle name="Comma 4 7 10 2" xfId="18486" xr:uid="{7D69163D-4031-40B0-9892-65155DBC8C5E}"/>
    <cellStyle name="Comma 4 7 11" xfId="9740" xr:uid="{4F3CB19B-AFD8-465F-8998-91BC4EFD86C1}"/>
    <cellStyle name="Comma 4 7 2" xfId="697" xr:uid="{00000000-0005-0000-0000-00006B0A0000}"/>
    <cellStyle name="Comma 4 7 2 2" xfId="2968" xr:uid="{00000000-0005-0000-0000-00006C0A0000}"/>
    <cellStyle name="Comma 4 7 2 2 2" xfId="7190" xr:uid="{00000000-0005-0000-0000-00006D0A0000}"/>
    <cellStyle name="Comma 4 7 2 2 2 2" xfId="16516" xr:uid="{DE7334EC-7A86-49CC-9401-DC685791FFD7}"/>
    <cellStyle name="Comma 4 7 2 2 3" xfId="12299" xr:uid="{54FB0D6A-0F41-4B55-800B-FADA0F63A536}"/>
    <cellStyle name="Comma 4 7 2 3" xfId="5045" xr:uid="{00000000-0005-0000-0000-00006E0A0000}"/>
    <cellStyle name="Comma 4 7 2 3 2" xfId="14371" xr:uid="{CEB404F7-1952-4718-9F8D-FC25D088ED2F}"/>
    <cellStyle name="Comma 4 7 2 4" xfId="9596" xr:uid="{F4A1C070-02C1-4F2A-89F2-15465D9BEBB2}"/>
    <cellStyle name="Comma 4 7 2 4 2" xfId="18900" xr:uid="{944121F7-C832-4C9F-AE17-4C23FE56C7A2}"/>
    <cellStyle name="Comma 4 7 2 5" xfId="10154" xr:uid="{30C13B93-1701-4E65-80DD-5D2BBA70D6FE}"/>
    <cellStyle name="Comma 4 7 3" xfId="1150" xr:uid="{00000000-0005-0000-0000-00006F0A0000}"/>
    <cellStyle name="Comma 4 7 3 2" xfId="3381" xr:uid="{00000000-0005-0000-0000-0000700A0000}"/>
    <cellStyle name="Comma 4 7 3 2 2" xfId="7603" xr:uid="{00000000-0005-0000-0000-0000710A0000}"/>
    <cellStyle name="Comma 4 7 3 2 2 2" xfId="16929" xr:uid="{A06CF2CD-3664-477B-8B69-37015D84BBD9}"/>
    <cellStyle name="Comma 4 7 3 2 3" xfId="12712" xr:uid="{A35C4353-6A09-4EEF-B557-C65A9AF6772D}"/>
    <cellStyle name="Comma 4 7 3 3" xfId="5458" xr:uid="{00000000-0005-0000-0000-0000720A0000}"/>
    <cellStyle name="Comma 4 7 3 3 2" xfId="14784" xr:uid="{168CB585-FCB4-4AD2-81F6-5C600425918B}"/>
    <cellStyle name="Comma 4 7 3 4" xfId="10567" xr:uid="{465F0BC3-81B5-401E-BDBC-0DC0763C1466}"/>
    <cellStyle name="Comma 4 7 4" xfId="1564" xr:uid="{00000000-0005-0000-0000-0000730A0000}"/>
    <cellStyle name="Comma 4 7 4 2" xfId="3794" xr:uid="{00000000-0005-0000-0000-0000740A0000}"/>
    <cellStyle name="Comma 4 7 4 2 2" xfId="8016" xr:uid="{00000000-0005-0000-0000-0000750A0000}"/>
    <cellStyle name="Comma 4 7 4 2 2 2" xfId="17342" xr:uid="{A7B4EF65-12A1-4369-8024-B22E7735784F}"/>
    <cellStyle name="Comma 4 7 4 2 3" xfId="13125" xr:uid="{26CA0A8A-053A-4223-96AD-844BEE5D3BCB}"/>
    <cellStyle name="Comma 4 7 4 3" xfId="5871" xr:uid="{00000000-0005-0000-0000-0000760A0000}"/>
    <cellStyle name="Comma 4 7 4 3 2" xfId="15197" xr:uid="{98E77400-5C9B-4725-936C-932709C5D11B}"/>
    <cellStyle name="Comma 4 7 4 4" xfId="10980" xr:uid="{B8155AFF-7AB9-4D0D-B67C-7FA6A639F027}"/>
    <cellStyle name="Comma 4 7 5" xfId="1978" xr:uid="{00000000-0005-0000-0000-0000770A0000}"/>
    <cellStyle name="Comma 4 7 5 2" xfId="4207" xr:uid="{00000000-0005-0000-0000-0000780A0000}"/>
    <cellStyle name="Comma 4 7 5 2 2" xfId="8429" xr:uid="{00000000-0005-0000-0000-0000790A0000}"/>
    <cellStyle name="Comma 4 7 5 2 2 2" xfId="17755" xr:uid="{8B7D4E0C-C00F-4E41-AAB8-4E695BB93B79}"/>
    <cellStyle name="Comma 4 7 5 2 3" xfId="13538" xr:uid="{7B4DAF5C-63CD-4EE6-A68E-8E3900BF4E61}"/>
    <cellStyle name="Comma 4 7 5 3" xfId="6284" xr:uid="{00000000-0005-0000-0000-00007A0A0000}"/>
    <cellStyle name="Comma 4 7 5 3 2" xfId="15610" xr:uid="{3FAB29C3-5D35-4C1F-A68E-5B70D3993F26}"/>
    <cellStyle name="Comma 4 7 5 4" xfId="11393" xr:uid="{0A33A50C-A988-4440-A75C-8C4B61762FD6}"/>
    <cellStyle name="Comma 4 7 6" xfId="2413" xr:uid="{00000000-0005-0000-0000-00007B0A0000}"/>
    <cellStyle name="Comma 4 7 6 2" xfId="6697" xr:uid="{00000000-0005-0000-0000-00007C0A0000}"/>
    <cellStyle name="Comma 4 7 6 2 2" xfId="16023" xr:uid="{353D825E-4DC8-4551-ACB9-D0E767723C88}"/>
    <cellStyle name="Comma 4 7 6 3" xfId="11806" xr:uid="{1D6A3704-E450-4BCE-907C-1C4000866E18}"/>
    <cellStyle name="Comma 4 7 7" xfId="2709" xr:uid="{00000000-0005-0000-0000-00007D0A0000}"/>
    <cellStyle name="Comma 4 7 8" xfId="2791" xr:uid="{00000000-0005-0000-0000-00007E0A0000}"/>
    <cellStyle name="Comma 4 7 8 2" xfId="7014" xr:uid="{00000000-0005-0000-0000-00007F0A0000}"/>
    <cellStyle name="Comma 4 7 8 2 2" xfId="16340" xr:uid="{50A46A38-8399-47CE-91A0-04C22F529FC8}"/>
    <cellStyle name="Comma 4 7 8 3" xfId="12123" xr:uid="{E0B9D22F-DFBD-4243-A7DD-578A75059F9B}"/>
    <cellStyle name="Comma 4 7 9" xfId="4631" xr:uid="{00000000-0005-0000-0000-0000800A0000}"/>
    <cellStyle name="Comma 4 7 9 2" xfId="13957" xr:uid="{8224C3EA-711F-46A8-A804-DD6A913BC645}"/>
    <cellStyle name="Comma 4 8" xfId="9193" xr:uid="{D2F7B7D5-1187-4B94-96D8-1D61B28E4E34}"/>
    <cellStyle name="Comma 4 9" xfId="8746" xr:uid="{EB6F8E1D-15EE-4A1C-A7FF-36C2A43F5A26}"/>
    <cellStyle name="Comma 4 9 2" xfId="18070" xr:uid="{3BBE1BC3-C2DB-447E-934A-702C098F2C5F}"/>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2 2" xfId="18895" xr:uid="{1D2533BD-6520-4DD8-A616-DD7FCB905816}"/>
    <cellStyle name="Comma 7 3" xfId="9589" xr:uid="{E5FB568C-33F4-49EE-BE6E-4022B43BCBB9}"/>
    <cellStyle name="Comma 7 4" xfId="13825" xr:uid="{7F3E9BF5-BD28-405C-B7B0-3C487745AE08}"/>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18042" xr:uid="{502B987C-4E1E-4B3A-898C-789BF54E6104}"/>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14 3 2 2 2 2 2 2" xfId="18061" xr:uid="{DBAA3812-EB68-4CF7-A026-70028D3F97E5}"/>
    <cellStyle name="Currency 14 3 2 2 2 2 3" xfId="18058" xr:uid="{BC67139D-565C-4ECF-8105-BEA9531EB86D}"/>
    <cellStyle name="Currency 14 3 2 2 2 3" xfId="18055" xr:uid="{A0088065-D02D-4F94-B801-CA93B0C438B9}"/>
    <cellStyle name="Currency 14 3 2 2 3" xfId="18051" xr:uid="{D71960A3-BDCD-45B4-ADA0-38E42C376927}"/>
    <cellStyle name="Currency 14 3 2 3" xfId="18048" xr:uid="{069A34DE-2619-4A11-A29B-4113748D2D39}"/>
    <cellStyle name="Currency 14 3 3" xfId="18045" xr:uid="{60A15392-BDAD-4A3E-AB10-CF6A1A8018BD}"/>
    <cellStyle name="Currency 14 4" xfId="13828" xr:uid="{0193F48B-85C3-429F-A709-A6BB6BB25857}"/>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16341" xr:uid="{040B5558-6DC7-4976-87FF-653E902AC3E6}"/>
    <cellStyle name="Currency 3 2 2 10 3" xfId="12124" xr:uid="{EEE66BB6-B11E-4F98-BB74-115866329F96}"/>
    <cellStyle name="Currency 3 2 2 11" xfId="4632" xr:uid="{00000000-0005-0000-0000-0000A50A0000}"/>
    <cellStyle name="Currency 3 2 2 11 2" xfId="13958" xr:uid="{EBA84E6F-F635-4DC7-A82D-501367DFAE40}"/>
    <cellStyle name="Currency 3 2 2 12" xfId="8808" xr:uid="{5CD24693-181E-456A-9199-DC057509AC96}"/>
    <cellStyle name="Currency 3 2 2 12 2" xfId="18132" xr:uid="{830FF88F-814E-4E81-A340-7F727F1918B3}"/>
    <cellStyle name="Currency 3 2 2 13" xfId="9741" xr:uid="{68E79586-CDCE-45BB-A61E-E74EA45B7FBF}"/>
    <cellStyle name="Currency 3 2 2 2" xfId="179" xr:uid="{00000000-0005-0000-0000-0000A60A0000}"/>
    <cellStyle name="Currency 3 2 2 2 10" xfId="4633" xr:uid="{00000000-0005-0000-0000-0000A70A0000}"/>
    <cellStyle name="Currency 3 2 2 2 10 2" xfId="13959" xr:uid="{09D8FD1F-D82A-4AB5-A0F3-E0F175A3D597}"/>
    <cellStyle name="Currency 3 2 2 2 11" xfId="8911" xr:uid="{177A45F7-B130-49DA-829A-AA3BF41B848C}"/>
    <cellStyle name="Currency 3 2 2 2 11 2" xfId="18235" xr:uid="{00AD361D-BE4F-436D-9404-24F0A702509B}"/>
    <cellStyle name="Currency 3 2 2 2 12" xfId="9742" xr:uid="{CCFF6E78-5061-4BB9-8353-1646AF04BD6B}"/>
    <cellStyle name="Currency 3 2 2 2 2" xfId="180" xr:uid="{00000000-0005-0000-0000-0000A80A0000}"/>
    <cellStyle name="Currency 3 2 2 2 2 10" xfId="9118" xr:uid="{4DDBDF88-B997-49F5-AF34-322CC93508E5}"/>
    <cellStyle name="Currency 3 2 2 2 2 10 2" xfId="18442" xr:uid="{5B909F47-CD0B-440E-9488-2B40E2D11EEB}"/>
    <cellStyle name="Currency 3 2 2 2 2 11" xfId="9743" xr:uid="{5387A28E-5335-41C2-B1B5-5B059ABDC3C3}"/>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16519" xr:uid="{25971487-14A1-4F8D-9FF9-45C998D1E8F6}"/>
    <cellStyle name="Currency 3 2 2 2 2 2 2 3" xfId="12302" xr:uid="{7FFFDCC1-BCEE-4925-8C1D-09422B6A658A}"/>
    <cellStyle name="Currency 3 2 2 2 2 2 3" xfId="5048" xr:uid="{00000000-0005-0000-0000-0000AC0A0000}"/>
    <cellStyle name="Currency 3 2 2 2 2 2 3 2" xfId="14374" xr:uid="{A0C038D8-7EE5-43C7-9DE7-B7F58788C4D3}"/>
    <cellStyle name="Currency 3 2 2 2 2 2 4" xfId="9543" xr:uid="{08990697-BAC1-4B06-A86B-C554A35267E6}"/>
    <cellStyle name="Currency 3 2 2 2 2 2 4 2" xfId="18858" xr:uid="{59D84802-BC8D-4F72-AB42-A6C1AD8B3EC8}"/>
    <cellStyle name="Currency 3 2 2 2 2 2 5" xfId="10157" xr:uid="{DF12D5A5-01E0-4DD1-BCC3-C16846206F1F}"/>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16932" xr:uid="{43212FB1-EB3B-4505-BD4D-BE68A2E7D9A8}"/>
    <cellStyle name="Currency 3 2 2 2 2 3 2 3" xfId="12715" xr:uid="{44BD0192-F797-4EEA-BF49-5C9FFCAA4EA3}"/>
    <cellStyle name="Currency 3 2 2 2 2 3 3" xfId="5461" xr:uid="{00000000-0005-0000-0000-0000B00A0000}"/>
    <cellStyle name="Currency 3 2 2 2 2 3 3 2" xfId="14787" xr:uid="{A636DACA-4D8C-4247-B4F1-9A1535F91903}"/>
    <cellStyle name="Currency 3 2 2 2 2 3 4" xfId="10570" xr:uid="{94894CE2-C1A7-4D24-91FE-2408092AE54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17345" xr:uid="{240FAA1E-C1B5-4462-93BB-58EA0D5ED306}"/>
    <cellStyle name="Currency 3 2 2 2 2 4 2 3" xfId="13128" xr:uid="{760AD3F6-9F3E-4656-A1FA-8E33EA4926BF}"/>
    <cellStyle name="Currency 3 2 2 2 2 4 3" xfId="5874" xr:uid="{00000000-0005-0000-0000-0000B40A0000}"/>
    <cellStyle name="Currency 3 2 2 2 2 4 3 2" xfId="15200" xr:uid="{E195E430-FCC8-47EC-B6CD-733010CECC52}"/>
    <cellStyle name="Currency 3 2 2 2 2 4 4" xfId="10983" xr:uid="{835F31FC-8FDF-4BFA-8AE0-AA9EE11EB9ED}"/>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17758" xr:uid="{D4F73EF6-0F53-47F4-8861-393EEB04D87F}"/>
    <cellStyle name="Currency 3 2 2 2 2 5 2 3" xfId="13541" xr:uid="{436CB71F-ACD2-4DAD-A4E6-1DC039231F0B}"/>
    <cellStyle name="Currency 3 2 2 2 2 5 3" xfId="6287" xr:uid="{00000000-0005-0000-0000-0000B80A0000}"/>
    <cellStyle name="Currency 3 2 2 2 2 5 3 2" xfId="15613" xr:uid="{BF94A83A-294E-49DE-843B-9086F9994F0B}"/>
    <cellStyle name="Currency 3 2 2 2 2 5 4" xfId="11396" xr:uid="{77820128-A486-4C4B-956F-914F69B24EB7}"/>
    <cellStyle name="Currency 3 2 2 2 2 6" xfId="2416" xr:uid="{00000000-0005-0000-0000-0000B90A0000}"/>
    <cellStyle name="Currency 3 2 2 2 2 6 2" xfId="6700" xr:uid="{00000000-0005-0000-0000-0000BA0A0000}"/>
    <cellStyle name="Currency 3 2 2 2 2 6 2 2" xfId="16026" xr:uid="{C2F5F28F-3854-43DC-AFF8-73171071ABBA}"/>
    <cellStyle name="Currency 3 2 2 2 2 6 3" xfId="11809" xr:uid="{4658BC36-732D-481E-B119-EC303498E38B}"/>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16343" xr:uid="{11981D3A-809F-4C9A-9232-C21EBD7F27B9}"/>
    <cellStyle name="Currency 3 2 2 2 2 8 3" xfId="12126" xr:uid="{A627F32A-62D2-46A6-96B8-D39C1CD348CB}"/>
    <cellStyle name="Currency 3 2 2 2 2 9" xfId="4634" xr:uid="{00000000-0005-0000-0000-0000BE0A0000}"/>
    <cellStyle name="Currency 3 2 2 2 2 9 2" xfId="13960" xr:uid="{83B94357-83F5-42A6-9509-4D3D0B95401E}"/>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16518" xr:uid="{468A44CE-485E-4F92-B957-D1BEA426A7CE}"/>
    <cellStyle name="Currency 3 2 2 2 3 2 3" xfId="12301" xr:uid="{05394B1F-2D55-46AD-ADCB-15A833CB04F6}"/>
    <cellStyle name="Currency 3 2 2 2 3 3" xfId="5047" xr:uid="{00000000-0005-0000-0000-0000C20A0000}"/>
    <cellStyle name="Currency 3 2 2 2 3 3 2" xfId="14373" xr:uid="{1B0334A3-5DA5-4880-A2BD-72AF8C89D97E}"/>
    <cellStyle name="Currency 3 2 2 2 3 4" xfId="9336" xr:uid="{F86D5454-A503-484B-B8F3-81FF219E49D0}"/>
    <cellStyle name="Currency 3 2 2 2 3 4 2" xfId="18651" xr:uid="{E2A8EABB-AD22-4507-9A7C-38C651F03CD4}"/>
    <cellStyle name="Currency 3 2 2 2 3 5" xfId="10156" xr:uid="{94FDA232-4F98-41D5-B603-18CA40D42A5B}"/>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16931" xr:uid="{8D1FB538-8AED-4B02-89DD-564784E7B76D}"/>
    <cellStyle name="Currency 3 2 2 2 4 2 3" xfId="12714" xr:uid="{A01EB5AB-D968-4DD1-94A0-11B9B6A8D1DF}"/>
    <cellStyle name="Currency 3 2 2 2 4 3" xfId="5460" xr:uid="{00000000-0005-0000-0000-0000C60A0000}"/>
    <cellStyle name="Currency 3 2 2 2 4 3 2" xfId="14786" xr:uid="{E3E8B805-E9D8-4F3D-9492-CDDE9E0016FF}"/>
    <cellStyle name="Currency 3 2 2 2 4 4" xfId="10569" xr:uid="{7F44507E-EEF6-40E5-8073-E0FCF74DD6B6}"/>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17344" xr:uid="{FE6047AC-FEF0-4D6D-80FE-A944278B98DC}"/>
    <cellStyle name="Currency 3 2 2 2 5 2 3" xfId="13127" xr:uid="{FEC0E292-07D7-42F7-8E4D-6454444BC595}"/>
    <cellStyle name="Currency 3 2 2 2 5 3" xfId="5873" xr:uid="{00000000-0005-0000-0000-0000CA0A0000}"/>
    <cellStyle name="Currency 3 2 2 2 5 3 2" xfId="15199" xr:uid="{D5D35F61-92D0-4EFE-BFF2-87D08A35F13A}"/>
    <cellStyle name="Currency 3 2 2 2 5 4" xfId="10982" xr:uid="{090A297F-DC34-4BB2-8F8F-A2EB62C3D71B}"/>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17757" xr:uid="{EA2B35B4-88A5-474F-80D7-F0F06140029C}"/>
    <cellStyle name="Currency 3 2 2 2 6 2 3" xfId="13540" xr:uid="{742D9F68-8D84-44C4-9017-CB495CA9E70D}"/>
    <cellStyle name="Currency 3 2 2 2 6 3" xfId="6286" xr:uid="{00000000-0005-0000-0000-0000CE0A0000}"/>
    <cellStyle name="Currency 3 2 2 2 6 3 2" xfId="15612" xr:uid="{C32E77C4-05C4-417E-B525-17C1FFCA84C7}"/>
    <cellStyle name="Currency 3 2 2 2 6 4" xfId="11395" xr:uid="{CD121570-EDA7-4B23-A4FC-AC137A55FE95}"/>
    <cellStyle name="Currency 3 2 2 2 7" xfId="2415" xr:uid="{00000000-0005-0000-0000-0000CF0A0000}"/>
    <cellStyle name="Currency 3 2 2 2 7 2" xfId="6699" xr:uid="{00000000-0005-0000-0000-0000D00A0000}"/>
    <cellStyle name="Currency 3 2 2 2 7 2 2" xfId="16025" xr:uid="{3A179DD0-AC7F-4FC1-8019-B8B285288464}"/>
    <cellStyle name="Currency 3 2 2 2 7 3" xfId="11808" xr:uid="{15361521-13F8-432E-AA9C-E7525955CEB5}"/>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16342" xr:uid="{0D3D92E4-50E2-4A60-A07A-72624D11A33E}"/>
    <cellStyle name="Currency 3 2 2 2 9 3" xfId="12125" xr:uid="{0883F585-9621-4F3B-8972-F201F4A6E439}"/>
    <cellStyle name="Currency 3 2 2 3" xfId="181" xr:uid="{00000000-0005-0000-0000-0000D40A0000}"/>
    <cellStyle name="Currency 3 2 2 3 10" xfId="9015" xr:uid="{A1C3FAFC-6FB9-45C5-A279-C90E61794A63}"/>
    <cellStyle name="Currency 3 2 2 3 10 2" xfId="18339" xr:uid="{7501ECA0-E446-47C5-9A6F-3F1C3537A19D}"/>
    <cellStyle name="Currency 3 2 2 3 11" xfId="9744" xr:uid="{078F5445-6221-443F-9365-19C71FB2D7F8}"/>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16520" xr:uid="{0D9A4040-BFA2-444E-901D-9AB36BDBB3AF}"/>
    <cellStyle name="Currency 3 2 2 3 2 2 3" xfId="12303" xr:uid="{62A1D992-E3AF-45C7-AFAB-CFB937DB96B7}"/>
    <cellStyle name="Currency 3 2 2 3 2 3" xfId="5049" xr:uid="{00000000-0005-0000-0000-0000D80A0000}"/>
    <cellStyle name="Currency 3 2 2 3 2 3 2" xfId="14375" xr:uid="{D8444F40-5D68-4941-8129-C11D065A2BBA}"/>
    <cellStyle name="Currency 3 2 2 3 2 4" xfId="9440" xr:uid="{774D5512-BCA5-4224-A909-3336A63369C8}"/>
    <cellStyle name="Currency 3 2 2 3 2 4 2" xfId="18755" xr:uid="{25B310C8-5895-4206-A120-F7A3CAF6889B}"/>
    <cellStyle name="Currency 3 2 2 3 2 5" xfId="10158" xr:uid="{B65E43EA-DDA0-4302-A1BB-A3D75412EF17}"/>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16933" xr:uid="{599FF0A4-C20E-4EE7-B559-6A916CAB25E7}"/>
    <cellStyle name="Currency 3 2 2 3 3 2 3" xfId="12716" xr:uid="{7D935F26-05F2-415C-A01B-4DAE76BF9657}"/>
    <cellStyle name="Currency 3 2 2 3 3 3" xfId="5462" xr:uid="{00000000-0005-0000-0000-0000DC0A0000}"/>
    <cellStyle name="Currency 3 2 2 3 3 3 2" xfId="14788" xr:uid="{1DA1ADE4-18C4-4A03-AE47-890D3F60C8E5}"/>
    <cellStyle name="Currency 3 2 2 3 3 4" xfId="10571" xr:uid="{F082DD53-DC7B-4AAE-B97F-A72F60265292}"/>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17346" xr:uid="{3DBEECF6-6FA5-4E37-B76A-BB005BC2300E}"/>
    <cellStyle name="Currency 3 2 2 3 4 2 3" xfId="13129" xr:uid="{1AC45CAD-E8FF-454D-B309-EBD88CFF8D67}"/>
    <cellStyle name="Currency 3 2 2 3 4 3" xfId="5875" xr:uid="{00000000-0005-0000-0000-0000E00A0000}"/>
    <cellStyle name="Currency 3 2 2 3 4 3 2" xfId="15201" xr:uid="{8FC46C2F-BEE5-4CB6-890F-D8C929EB8910}"/>
    <cellStyle name="Currency 3 2 2 3 4 4" xfId="10984" xr:uid="{FD2D4900-C5E7-4FE8-8F54-80C3563CDFF4}"/>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17759" xr:uid="{359593AF-AEBC-4D79-9055-F61CB388B0F4}"/>
    <cellStyle name="Currency 3 2 2 3 5 2 3" xfId="13542" xr:uid="{8F3A5F0E-0A95-43D1-AF9B-EE1182209A37}"/>
    <cellStyle name="Currency 3 2 2 3 5 3" xfId="6288" xr:uid="{00000000-0005-0000-0000-0000E40A0000}"/>
    <cellStyle name="Currency 3 2 2 3 5 3 2" xfId="15614" xr:uid="{33B74A03-404D-4686-8AC3-24F3211586A3}"/>
    <cellStyle name="Currency 3 2 2 3 5 4" xfId="11397" xr:uid="{EA4EC44A-AA4A-4B38-9148-DE5026294D16}"/>
    <cellStyle name="Currency 3 2 2 3 6" xfId="2417" xr:uid="{00000000-0005-0000-0000-0000E50A0000}"/>
    <cellStyle name="Currency 3 2 2 3 6 2" xfId="6701" xr:uid="{00000000-0005-0000-0000-0000E60A0000}"/>
    <cellStyle name="Currency 3 2 2 3 6 2 2" xfId="16027" xr:uid="{BA07CB16-B1CD-4243-A60B-F71AF79CBBF9}"/>
    <cellStyle name="Currency 3 2 2 3 6 3" xfId="11810" xr:uid="{764E3D15-9A88-454C-AD17-3F52816BF64F}"/>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16344" xr:uid="{C3BCAA45-9AA9-4D5E-B759-4CBEAB3F3859}"/>
    <cellStyle name="Currency 3 2 2 3 8 3" xfId="12127" xr:uid="{64A112DC-3664-4035-AC79-2FB802F03D62}"/>
    <cellStyle name="Currency 3 2 2 3 9" xfId="4635" xr:uid="{00000000-0005-0000-0000-0000EA0A0000}"/>
    <cellStyle name="Currency 3 2 2 3 9 2" xfId="13961" xr:uid="{73F8450E-E53A-4578-9C17-9AEE585B8676}"/>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16517" xr:uid="{CE073A19-AE3A-4DC5-94B3-A6902F5EEF87}"/>
    <cellStyle name="Currency 3 2 2 4 2 3" xfId="12300" xr:uid="{DE06857E-0BD6-4412-BA89-2CA999E2C9BE}"/>
    <cellStyle name="Currency 3 2 2 4 3" xfId="5046" xr:uid="{00000000-0005-0000-0000-0000EE0A0000}"/>
    <cellStyle name="Currency 3 2 2 4 3 2" xfId="14372" xr:uid="{8D4C3C87-823C-4381-A11F-E59E1A890BC6}"/>
    <cellStyle name="Currency 3 2 2 4 4" xfId="9233" xr:uid="{A90843BF-65B1-48E5-9C93-A2651D7B4B13}"/>
    <cellStyle name="Currency 3 2 2 4 4 2" xfId="18548" xr:uid="{A7B063D7-1FDB-4058-AC5B-7F059E438434}"/>
    <cellStyle name="Currency 3 2 2 4 5" xfId="10155" xr:uid="{D5D7543C-2C67-4462-888E-0CD689D65C38}"/>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16930" xr:uid="{31D92D5B-672B-485A-9572-D0FB1E232C6E}"/>
    <cellStyle name="Currency 3 2 2 5 2 3" xfId="12713" xr:uid="{FDAAE576-C5B0-409F-A155-9A17B43F0A1A}"/>
    <cellStyle name="Currency 3 2 2 5 3" xfId="5459" xr:uid="{00000000-0005-0000-0000-0000F20A0000}"/>
    <cellStyle name="Currency 3 2 2 5 3 2" xfId="14785" xr:uid="{11A122BC-0BB5-46EC-8B59-027E40571184}"/>
    <cellStyle name="Currency 3 2 2 5 4" xfId="10568" xr:uid="{C70DAAD9-F45D-40A8-A291-515BDA5C786C}"/>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17343" xr:uid="{FC31048D-6231-4158-8451-1620B7F6F635}"/>
    <cellStyle name="Currency 3 2 2 6 2 3" xfId="13126" xr:uid="{EE45874D-52F1-4C91-B33D-35813A6E8CEF}"/>
    <cellStyle name="Currency 3 2 2 6 3" xfId="5872" xr:uid="{00000000-0005-0000-0000-0000F60A0000}"/>
    <cellStyle name="Currency 3 2 2 6 3 2" xfId="15198" xr:uid="{A8B1BAD0-A5BF-44C1-9EE8-3FAECFDE660B}"/>
    <cellStyle name="Currency 3 2 2 6 4" xfId="10981" xr:uid="{DAB5FB59-C8E6-4FF4-B09C-115E9B89F34C}"/>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17756" xr:uid="{DF7CFC3B-E64C-4112-BC82-654087CCDCDD}"/>
    <cellStyle name="Currency 3 2 2 7 2 3" xfId="13539" xr:uid="{7D816FE2-666A-435C-BB60-384DD673548C}"/>
    <cellStyle name="Currency 3 2 2 7 3" xfId="6285" xr:uid="{00000000-0005-0000-0000-0000FA0A0000}"/>
    <cellStyle name="Currency 3 2 2 7 3 2" xfId="15611" xr:uid="{7DCB93AE-EC19-4A81-8EF3-0CE03604B10C}"/>
    <cellStyle name="Currency 3 2 2 7 4" xfId="11394" xr:uid="{8709752D-9810-40CB-A5CE-A422E6A84E7F}"/>
    <cellStyle name="Currency 3 2 2 8" xfId="2414" xr:uid="{00000000-0005-0000-0000-0000FB0A0000}"/>
    <cellStyle name="Currency 3 2 2 8 2" xfId="6698" xr:uid="{00000000-0005-0000-0000-0000FC0A0000}"/>
    <cellStyle name="Currency 3 2 2 8 2 2" xfId="16024" xr:uid="{587A6C3F-2415-4CD9-A881-EFC06E5E36DC}"/>
    <cellStyle name="Currency 3 2 2 8 3" xfId="11807" xr:uid="{6928EBA7-DCF4-4768-8030-4167DD9454FD}"/>
    <cellStyle name="Currency 3 2 2 9" xfId="2711" xr:uid="{00000000-0005-0000-0000-0000FD0A0000}"/>
    <cellStyle name="Currency 3 2 3" xfId="182" xr:uid="{00000000-0005-0000-0000-0000FE0A0000}"/>
    <cellStyle name="Currency 3 2 3 10" xfId="4636" xr:uid="{00000000-0005-0000-0000-0000FF0A0000}"/>
    <cellStyle name="Currency 3 2 3 10 2" xfId="13962" xr:uid="{F237B300-5AE6-4C2F-8272-A93983F4CA6F}"/>
    <cellStyle name="Currency 3 2 3 11" xfId="8893" xr:uid="{8CE28714-D587-402C-9A17-1A08799662D4}"/>
    <cellStyle name="Currency 3 2 3 11 2" xfId="18217" xr:uid="{49A9D3D3-8E8E-4B03-8C0E-95D1F482FF18}"/>
    <cellStyle name="Currency 3 2 3 12" xfId="9745" xr:uid="{4BD8DE9E-E520-4295-868B-7404A8E59C7E}"/>
    <cellStyle name="Currency 3 2 3 2" xfId="183" xr:uid="{00000000-0005-0000-0000-0000000B0000}"/>
    <cellStyle name="Currency 3 2 3 2 10" xfId="9100" xr:uid="{CEBE1F40-0923-46C6-AB84-DD4DAB20CD81}"/>
    <cellStyle name="Currency 3 2 3 2 10 2" xfId="18424" xr:uid="{67B78C4D-560B-4A61-9C03-850186B8B859}"/>
    <cellStyle name="Currency 3 2 3 2 11" xfId="9746" xr:uid="{E44D5ED3-38C2-441A-B3C6-60FC4E4B081E}"/>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16522" xr:uid="{CD0F358D-2797-44DC-A331-DBE077964641}"/>
    <cellStyle name="Currency 3 2 3 2 2 2 3" xfId="12305" xr:uid="{B0519E86-7B04-4D64-9862-40B4178B0C42}"/>
    <cellStyle name="Currency 3 2 3 2 2 3" xfId="5051" xr:uid="{00000000-0005-0000-0000-0000040B0000}"/>
    <cellStyle name="Currency 3 2 3 2 2 3 2" xfId="14377" xr:uid="{C512E680-BC4A-4789-8264-87C82EEE5A5D}"/>
    <cellStyle name="Currency 3 2 3 2 2 4" xfId="9525" xr:uid="{759374BA-DDD8-4F33-9655-B300986F8700}"/>
    <cellStyle name="Currency 3 2 3 2 2 4 2" xfId="18840" xr:uid="{03A60158-CB48-4D8D-92D1-ADD9FF8F1A0A}"/>
    <cellStyle name="Currency 3 2 3 2 2 5" xfId="10160" xr:uid="{AB47BF34-78A8-44F3-BD26-B39861462B0C}"/>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16935" xr:uid="{EB9C7438-CFE1-4AF7-88A3-22A3CE826E09}"/>
    <cellStyle name="Currency 3 2 3 2 3 2 3" xfId="12718" xr:uid="{EFC87E9D-CA9D-40F4-9AD3-A42CF37E59D2}"/>
    <cellStyle name="Currency 3 2 3 2 3 3" xfId="5464" xr:uid="{00000000-0005-0000-0000-0000080B0000}"/>
    <cellStyle name="Currency 3 2 3 2 3 3 2" xfId="14790" xr:uid="{4FEDD705-4862-45A5-9B07-87C1278FE54D}"/>
    <cellStyle name="Currency 3 2 3 2 3 4" xfId="10573" xr:uid="{031CC2E3-6C00-4C2F-B297-052B05A3F4E4}"/>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17348" xr:uid="{8E31FCD8-1F89-40B8-9E68-746D43113DF0}"/>
    <cellStyle name="Currency 3 2 3 2 4 2 3" xfId="13131" xr:uid="{B1C45B20-11BA-4426-9450-21AE8AE18D18}"/>
    <cellStyle name="Currency 3 2 3 2 4 3" xfId="5877" xr:uid="{00000000-0005-0000-0000-00000C0B0000}"/>
    <cellStyle name="Currency 3 2 3 2 4 3 2" xfId="15203" xr:uid="{7BAF8DFA-4349-425A-A9AF-AF4721242A4F}"/>
    <cellStyle name="Currency 3 2 3 2 4 4" xfId="10986" xr:uid="{F25C0B3C-3CB6-4917-8041-04D8B80C205A}"/>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17761" xr:uid="{C8309B15-DDB6-41C6-8E04-5AD35188E03B}"/>
    <cellStyle name="Currency 3 2 3 2 5 2 3" xfId="13544" xr:uid="{F38A43D8-5AE8-47FD-AA18-4B1A0097CE0A}"/>
    <cellStyle name="Currency 3 2 3 2 5 3" xfId="6290" xr:uid="{00000000-0005-0000-0000-0000100B0000}"/>
    <cellStyle name="Currency 3 2 3 2 5 3 2" xfId="15616" xr:uid="{3A80CFB8-F73A-41C1-9D97-CA5B1D3BE638}"/>
    <cellStyle name="Currency 3 2 3 2 5 4" xfId="11399" xr:uid="{0773BFE3-7493-4584-8156-FB9ED211AF88}"/>
    <cellStyle name="Currency 3 2 3 2 6" xfId="2419" xr:uid="{00000000-0005-0000-0000-0000110B0000}"/>
    <cellStyle name="Currency 3 2 3 2 6 2" xfId="6703" xr:uid="{00000000-0005-0000-0000-0000120B0000}"/>
    <cellStyle name="Currency 3 2 3 2 6 2 2" xfId="16029" xr:uid="{231FD796-570C-41F7-8F5C-D05F046FA783}"/>
    <cellStyle name="Currency 3 2 3 2 6 3" xfId="11812" xr:uid="{6E31DDF3-F0A5-4A71-8E11-5426391AF87D}"/>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16346" xr:uid="{2D7474CF-147D-40C7-B160-F5DC96BD184E}"/>
    <cellStyle name="Currency 3 2 3 2 8 3" xfId="12129" xr:uid="{588B3A01-B4B6-44F1-BF37-A7E8153A4510}"/>
    <cellStyle name="Currency 3 2 3 2 9" xfId="4637" xr:uid="{00000000-0005-0000-0000-0000160B0000}"/>
    <cellStyle name="Currency 3 2 3 2 9 2" xfId="13963" xr:uid="{EFF5611B-C826-4F7D-BAF3-1255D04ADDB0}"/>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16521" xr:uid="{489A70C8-1ADC-47D3-A141-0EF7673F53EE}"/>
    <cellStyle name="Currency 3 2 3 3 2 3" xfId="12304" xr:uid="{A3FBCF86-0C6B-45ED-9791-D79BF6D537E0}"/>
    <cellStyle name="Currency 3 2 3 3 3" xfId="5050" xr:uid="{00000000-0005-0000-0000-00001A0B0000}"/>
    <cellStyle name="Currency 3 2 3 3 3 2" xfId="14376" xr:uid="{37CE62F1-0C19-4097-A5BC-5851532B2DA7}"/>
    <cellStyle name="Currency 3 2 3 3 4" xfId="9318" xr:uid="{AA73873E-8E72-4FDE-A22E-F5D80E2A87B1}"/>
    <cellStyle name="Currency 3 2 3 3 4 2" xfId="18633" xr:uid="{917D0FE6-94AB-4546-B724-8CD5E2760431}"/>
    <cellStyle name="Currency 3 2 3 3 5" xfId="10159" xr:uid="{CAA566E8-CBCE-4056-B079-30AE3DA80F74}"/>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16934" xr:uid="{AFF55D25-62D0-4CF1-9E5A-A2F10808D967}"/>
    <cellStyle name="Currency 3 2 3 4 2 3" xfId="12717" xr:uid="{B2CE6A91-EAC2-4630-9CA1-0144EE4EC41A}"/>
    <cellStyle name="Currency 3 2 3 4 3" xfId="5463" xr:uid="{00000000-0005-0000-0000-00001E0B0000}"/>
    <cellStyle name="Currency 3 2 3 4 3 2" xfId="14789" xr:uid="{A97422A2-6511-4F64-92F9-9C862910020B}"/>
    <cellStyle name="Currency 3 2 3 4 4" xfId="10572" xr:uid="{0AFAFCA1-42A2-4869-80C9-8F470EB2FF5A}"/>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17347" xr:uid="{FDE050F5-7823-4EB2-ACA4-AC1AF79E98CC}"/>
    <cellStyle name="Currency 3 2 3 5 2 3" xfId="13130" xr:uid="{B2A255C4-7BB5-4BF6-B4B7-B19A3CC90456}"/>
    <cellStyle name="Currency 3 2 3 5 3" xfId="5876" xr:uid="{00000000-0005-0000-0000-0000220B0000}"/>
    <cellStyle name="Currency 3 2 3 5 3 2" xfId="15202" xr:uid="{EE768A5E-77EE-4A55-AD8C-12C29BD28803}"/>
    <cellStyle name="Currency 3 2 3 5 4" xfId="10985" xr:uid="{0F3C5D43-F816-4CB2-8C08-D19BB59CC716}"/>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17760" xr:uid="{2EB750F5-186F-423C-9CAC-172C7939D4DE}"/>
    <cellStyle name="Currency 3 2 3 6 2 3" xfId="13543" xr:uid="{D59A4A7D-6C4C-4CF2-9477-BD6E2164BFDE}"/>
    <cellStyle name="Currency 3 2 3 6 3" xfId="6289" xr:uid="{00000000-0005-0000-0000-0000260B0000}"/>
    <cellStyle name="Currency 3 2 3 6 3 2" xfId="15615" xr:uid="{29A7B207-3747-4758-B47E-1819213E6668}"/>
    <cellStyle name="Currency 3 2 3 6 4" xfId="11398" xr:uid="{C1786523-D126-48BA-A3D2-6DFBB5F61CA8}"/>
    <cellStyle name="Currency 3 2 3 7" xfId="2418" xr:uid="{00000000-0005-0000-0000-0000270B0000}"/>
    <cellStyle name="Currency 3 2 3 7 2" xfId="6702" xr:uid="{00000000-0005-0000-0000-0000280B0000}"/>
    <cellStyle name="Currency 3 2 3 7 2 2" xfId="16028" xr:uid="{5AED25C4-BA27-4786-9F25-04ADD2148B8E}"/>
    <cellStyle name="Currency 3 2 3 7 3" xfId="11811" xr:uid="{7DA3E864-DB9A-432D-9AFF-235F80FB3A91}"/>
    <cellStyle name="Currency 3 2 3 8" xfId="2715" xr:uid="{00000000-0005-0000-0000-0000290B0000}"/>
    <cellStyle name="Currency 3 2 3 9" xfId="2796" xr:uid="{00000000-0005-0000-0000-00002A0B0000}"/>
    <cellStyle name="Currency 3 2 3 9 2" xfId="7019" xr:uid="{00000000-0005-0000-0000-00002B0B0000}"/>
    <cellStyle name="Currency 3 2 3 9 2 2" xfId="16345" xr:uid="{C6DFC52A-84C9-4059-9F6F-5DF57A1C164F}"/>
    <cellStyle name="Currency 3 2 3 9 3" xfId="12128" xr:uid="{4B1FE775-70D9-402F-85CC-8F49F54E8D2F}"/>
    <cellStyle name="Currency 3 2 4" xfId="184" xr:uid="{00000000-0005-0000-0000-00002C0B0000}"/>
    <cellStyle name="Currency 3 2 4 10" xfId="8997" xr:uid="{DF9FC022-A382-4135-990F-F43A472E13BA}"/>
    <cellStyle name="Currency 3 2 4 10 2" xfId="18321" xr:uid="{DCAEEB75-758F-47B5-B605-CF9814DC5001}"/>
    <cellStyle name="Currency 3 2 4 11" xfId="9747" xr:uid="{3B953D60-C336-490C-B892-6023761954DD}"/>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16523" xr:uid="{F3426B11-4EAA-47D3-B41A-C546BD54A179}"/>
    <cellStyle name="Currency 3 2 4 2 2 3" xfId="12306" xr:uid="{31D5111A-DCFB-496D-A550-242871911DCC}"/>
    <cellStyle name="Currency 3 2 4 2 3" xfId="5052" xr:uid="{00000000-0005-0000-0000-0000300B0000}"/>
    <cellStyle name="Currency 3 2 4 2 3 2" xfId="14378" xr:uid="{5F192471-A4BA-4F99-99DC-B996336F98BD}"/>
    <cellStyle name="Currency 3 2 4 2 4" xfId="9422" xr:uid="{3049B7CE-611E-437A-AD0B-2E3AA5E2E50D}"/>
    <cellStyle name="Currency 3 2 4 2 4 2" xfId="18737" xr:uid="{91D94A6D-6798-4D96-ADFA-34DA390C7541}"/>
    <cellStyle name="Currency 3 2 4 2 5" xfId="10161" xr:uid="{6C6F0DF8-1B1C-461E-8991-0D4F39F7D1DD}"/>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16936" xr:uid="{E240CB64-CF98-4DCB-94A4-4AE4DB55D5FC}"/>
    <cellStyle name="Currency 3 2 4 3 2 3" xfId="12719" xr:uid="{3A724659-4893-4AFB-BC14-5631F4DCD4CD}"/>
    <cellStyle name="Currency 3 2 4 3 3" xfId="5465" xr:uid="{00000000-0005-0000-0000-0000340B0000}"/>
    <cellStyle name="Currency 3 2 4 3 3 2" xfId="14791" xr:uid="{1C19544A-AB25-4322-9133-A80ED4C4A360}"/>
    <cellStyle name="Currency 3 2 4 3 4" xfId="10574" xr:uid="{2F4B839C-D02D-4D46-812E-1E7193AB2D58}"/>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17349" xr:uid="{3F0F808D-F70F-4E55-811A-AAFAE4D7A129}"/>
    <cellStyle name="Currency 3 2 4 4 2 3" xfId="13132" xr:uid="{872C13C2-A0AF-4459-9F9C-9F8410BFE26C}"/>
    <cellStyle name="Currency 3 2 4 4 3" xfId="5878" xr:uid="{00000000-0005-0000-0000-0000380B0000}"/>
    <cellStyle name="Currency 3 2 4 4 3 2" xfId="15204" xr:uid="{C5FB178D-F433-4EFD-87C5-320033C2A309}"/>
    <cellStyle name="Currency 3 2 4 4 4" xfId="10987" xr:uid="{562CC878-FB00-4C52-8CEE-A147732650F1}"/>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17762" xr:uid="{12852F58-B6B7-40C3-A062-6EFE0BE1A825}"/>
    <cellStyle name="Currency 3 2 4 5 2 3" xfId="13545" xr:uid="{54FAB53D-2ED4-4A9F-8CB7-9181AF09634C}"/>
    <cellStyle name="Currency 3 2 4 5 3" xfId="6291" xr:uid="{00000000-0005-0000-0000-00003C0B0000}"/>
    <cellStyle name="Currency 3 2 4 5 3 2" xfId="15617" xr:uid="{BD3AAB52-D215-4E4D-9360-212EE4000D25}"/>
    <cellStyle name="Currency 3 2 4 5 4" xfId="11400" xr:uid="{8DCB3BF5-FCB5-460F-A38A-453F832F3787}"/>
    <cellStyle name="Currency 3 2 4 6" xfId="2420" xr:uid="{00000000-0005-0000-0000-00003D0B0000}"/>
    <cellStyle name="Currency 3 2 4 6 2" xfId="6704" xr:uid="{00000000-0005-0000-0000-00003E0B0000}"/>
    <cellStyle name="Currency 3 2 4 6 2 2" xfId="16030" xr:uid="{0517410D-B33C-4E5D-B112-9F9774621324}"/>
    <cellStyle name="Currency 3 2 4 6 3" xfId="11813" xr:uid="{2DD6942A-9159-4D52-84F2-F31A0D53F142}"/>
    <cellStyle name="Currency 3 2 4 7" xfId="2717" xr:uid="{00000000-0005-0000-0000-00003F0B0000}"/>
    <cellStyle name="Currency 3 2 4 8" xfId="2798" xr:uid="{00000000-0005-0000-0000-0000400B0000}"/>
    <cellStyle name="Currency 3 2 4 8 2" xfId="7021" xr:uid="{00000000-0005-0000-0000-0000410B0000}"/>
    <cellStyle name="Currency 3 2 4 8 2 2" xfId="16347" xr:uid="{65005AE4-DB69-41C1-877A-2A1F16DB4F48}"/>
    <cellStyle name="Currency 3 2 4 8 3" xfId="12130" xr:uid="{983B4B5C-8B28-4774-B65F-AB9240ACA017}"/>
    <cellStyle name="Currency 3 2 4 9" xfId="4638" xr:uid="{00000000-0005-0000-0000-0000420B0000}"/>
    <cellStyle name="Currency 3 2 4 9 2" xfId="13964" xr:uid="{AEF95F63-4CA8-4412-AE54-11A7FB519E11}"/>
    <cellStyle name="Currency 3 2 5" xfId="185" xr:uid="{00000000-0005-0000-0000-0000430B0000}"/>
    <cellStyle name="Currency 3 2 5 10" xfId="9214" xr:uid="{3D0A867F-0B9D-4759-A509-3EC1084E197B}"/>
    <cellStyle name="Currency 3 2 5 10 2" xfId="18530" xr:uid="{7301F1CE-22B5-4DD8-AF5C-8D9606105B67}"/>
    <cellStyle name="Currency 3 2 5 11" xfId="9748" xr:uid="{29B231EE-D71B-4BBA-AAAF-BBC9A37DB23F}"/>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16524" xr:uid="{A6C53603-1E8D-4EBD-BD55-FE6ABC75FC3A}"/>
    <cellStyle name="Currency 3 2 5 2 2 3" xfId="12307" xr:uid="{768BCD5F-1CEC-42F3-BE18-625C1067DA4B}"/>
    <cellStyle name="Currency 3 2 5 2 3" xfId="5053" xr:uid="{00000000-0005-0000-0000-0000470B0000}"/>
    <cellStyle name="Currency 3 2 5 2 3 2" xfId="14379" xr:uid="{68DC7E5A-B9F9-41A7-99D7-C96740EFEE7F}"/>
    <cellStyle name="Currency 3 2 5 2 4" xfId="9597" xr:uid="{6E2F978E-96E4-4AD8-B4BD-1BE9D7E96A2F}"/>
    <cellStyle name="Currency 3 2 5 2 4 2" xfId="18901" xr:uid="{B1622775-6B0B-47C2-B9B0-1377FF6AFBAD}"/>
    <cellStyle name="Currency 3 2 5 2 5" xfId="10162" xr:uid="{0FBE48A4-BAE7-4888-81A5-1479BAE8789D}"/>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16937" xr:uid="{72F6AD6F-6479-4C8B-BF32-66F93FD31EE9}"/>
    <cellStyle name="Currency 3 2 5 3 2 3" xfId="12720" xr:uid="{4C94DD1E-C3FC-4072-9431-372A16457663}"/>
    <cellStyle name="Currency 3 2 5 3 3" xfId="5466" xr:uid="{00000000-0005-0000-0000-00004B0B0000}"/>
    <cellStyle name="Currency 3 2 5 3 3 2" xfId="14792" xr:uid="{6643A53E-34F6-4E46-9974-8B77AFE3268C}"/>
    <cellStyle name="Currency 3 2 5 3 4" xfId="10575" xr:uid="{D43CA26B-CD09-4E66-B335-79722645C47E}"/>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17350" xr:uid="{3A6253BE-FB01-4A20-8156-19A17DF10F12}"/>
    <cellStyle name="Currency 3 2 5 4 2 3" xfId="13133" xr:uid="{AE067AFB-175B-4E53-977E-A46888B8C461}"/>
    <cellStyle name="Currency 3 2 5 4 3" xfId="5879" xr:uid="{00000000-0005-0000-0000-00004F0B0000}"/>
    <cellStyle name="Currency 3 2 5 4 3 2" xfId="15205" xr:uid="{C0810CF1-8D4C-412D-A7F1-7B531CBC6894}"/>
    <cellStyle name="Currency 3 2 5 4 4" xfId="10988" xr:uid="{F8FA649A-AF54-4AD0-8BB2-7FFCE596CEFE}"/>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17763" xr:uid="{F307AFF7-4376-4DB1-925B-084B9866D367}"/>
    <cellStyle name="Currency 3 2 5 5 2 3" xfId="13546" xr:uid="{B671D18A-55F5-4360-B405-C49E2C34A51C}"/>
    <cellStyle name="Currency 3 2 5 5 3" xfId="6292" xr:uid="{00000000-0005-0000-0000-0000530B0000}"/>
    <cellStyle name="Currency 3 2 5 5 3 2" xfId="15618" xr:uid="{631F2B14-B866-42E0-9916-B82D32053520}"/>
    <cellStyle name="Currency 3 2 5 5 4" xfId="11401" xr:uid="{F9064034-E1A1-4765-81B3-B751BB3294E2}"/>
    <cellStyle name="Currency 3 2 5 6" xfId="2421" xr:uid="{00000000-0005-0000-0000-0000540B0000}"/>
    <cellStyle name="Currency 3 2 5 6 2" xfId="6705" xr:uid="{00000000-0005-0000-0000-0000550B0000}"/>
    <cellStyle name="Currency 3 2 5 6 2 2" xfId="16031" xr:uid="{84D2BE90-03BF-4C8A-9DDE-CFF6EC0D09AC}"/>
    <cellStyle name="Currency 3 2 5 6 3" xfId="11814" xr:uid="{412999FA-7E1E-4728-A46E-B53467A044C2}"/>
    <cellStyle name="Currency 3 2 5 7" xfId="2718" xr:uid="{00000000-0005-0000-0000-0000560B0000}"/>
    <cellStyle name="Currency 3 2 5 8" xfId="2799" xr:uid="{00000000-0005-0000-0000-0000570B0000}"/>
    <cellStyle name="Currency 3 2 5 8 2" xfId="7022" xr:uid="{00000000-0005-0000-0000-0000580B0000}"/>
    <cellStyle name="Currency 3 2 5 8 2 2" xfId="16348" xr:uid="{9E2DFFF6-0212-422B-856A-A285990693E1}"/>
    <cellStyle name="Currency 3 2 5 8 3" xfId="12131" xr:uid="{36406F33-0FC2-4868-928B-6964D2FA7FB9}"/>
    <cellStyle name="Currency 3 2 5 9" xfId="4639" xr:uid="{00000000-0005-0000-0000-0000590B0000}"/>
    <cellStyle name="Currency 3 2 5 9 2" xfId="13965" xr:uid="{A6BC0F79-340F-4EAE-98E1-2AE113BDCFD9}"/>
    <cellStyle name="Currency 3 2 6" xfId="9583" xr:uid="{653EC571-6DFB-4D44-8156-8097E74D2DD4}"/>
    <cellStyle name="Currency 3 2 7" xfId="8790" xr:uid="{4F16186C-C154-4E9A-B12A-0E13D64C3701}"/>
    <cellStyle name="Currency 3 2 7 2" xfId="18114" xr:uid="{35A4223B-31C9-4AD4-8AE3-15F2E360391B}"/>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16349" xr:uid="{54EE8CE7-838E-4349-8F72-70C2F3CEC2F1}"/>
    <cellStyle name="Currency 5 2 2 2 10 3" xfId="12132" xr:uid="{4BBB277C-FE3D-435E-8759-A4A5C5229F33}"/>
    <cellStyle name="Currency 5 2 2 2 11" xfId="4640" xr:uid="{00000000-0005-0000-0000-00006C0B0000}"/>
    <cellStyle name="Currency 5 2 2 2 11 2" xfId="13966" xr:uid="{EAE41FC6-7141-45D8-B911-B2AC2C2F3384}"/>
    <cellStyle name="Currency 5 2 2 2 12" xfId="8809" xr:uid="{6E2B58BA-BC61-49BF-A0FE-5BC79A050654}"/>
    <cellStyle name="Currency 5 2 2 2 12 2" xfId="18133" xr:uid="{22BF1D73-0128-4848-B13E-F0172C10C3EA}"/>
    <cellStyle name="Currency 5 2 2 2 13" xfId="9749" xr:uid="{D2CCDC1A-E1D5-4A21-AC92-4B2A7514E667}"/>
    <cellStyle name="Currency 5 2 2 2 2" xfId="197" xr:uid="{00000000-0005-0000-0000-00006D0B0000}"/>
    <cellStyle name="Currency 5 2 2 2 2 10" xfId="4641" xr:uid="{00000000-0005-0000-0000-00006E0B0000}"/>
    <cellStyle name="Currency 5 2 2 2 2 10 2" xfId="13967" xr:uid="{60255297-54D1-4C38-ABAB-610899B79426}"/>
    <cellStyle name="Currency 5 2 2 2 2 11" xfId="8912" xr:uid="{4079D27E-F98B-4445-AE20-FFD848158756}"/>
    <cellStyle name="Currency 5 2 2 2 2 11 2" xfId="18236" xr:uid="{7FD0B818-2E32-47AF-8CBB-795223AE4E00}"/>
    <cellStyle name="Currency 5 2 2 2 2 12" xfId="9750" xr:uid="{89593A8A-2824-420F-B0E4-BC7A4907A970}"/>
    <cellStyle name="Currency 5 2 2 2 2 2" xfId="198" xr:uid="{00000000-0005-0000-0000-00006F0B0000}"/>
    <cellStyle name="Currency 5 2 2 2 2 2 10" xfId="9119" xr:uid="{2B97CFE9-E9FD-476D-A341-C695293642F3}"/>
    <cellStyle name="Currency 5 2 2 2 2 2 10 2" xfId="18443" xr:uid="{E82EC9DD-1659-4230-874C-68839620962D}"/>
    <cellStyle name="Currency 5 2 2 2 2 2 11" xfId="9751" xr:uid="{A92A3DD3-4B43-447E-B3C2-46A794C0CDA7}"/>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16527" xr:uid="{F7FEDF04-330A-4A27-9822-8D6FEBFA2B49}"/>
    <cellStyle name="Currency 5 2 2 2 2 2 2 2 3" xfId="12310" xr:uid="{5F4D5065-6A77-4ABC-B505-DE2AF4F78E4E}"/>
    <cellStyle name="Currency 5 2 2 2 2 2 2 3" xfId="5056" xr:uid="{00000000-0005-0000-0000-0000730B0000}"/>
    <cellStyle name="Currency 5 2 2 2 2 2 2 3 2" xfId="14382" xr:uid="{FB760FC7-DAA2-4E57-BAC8-EB981EF12779}"/>
    <cellStyle name="Currency 5 2 2 2 2 2 2 4" xfId="9544" xr:uid="{77881B28-843C-4677-B92C-D2A5804BDB97}"/>
    <cellStyle name="Currency 5 2 2 2 2 2 2 4 2" xfId="18859" xr:uid="{6C8A7878-3332-4034-A21C-7D2281B5992D}"/>
    <cellStyle name="Currency 5 2 2 2 2 2 2 5" xfId="10165" xr:uid="{7A44CFBB-17E3-4E14-9BEF-61BD9F560F19}"/>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16940" xr:uid="{575A7E52-A1E9-4E49-8F32-824B9CE81C4B}"/>
    <cellStyle name="Currency 5 2 2 2 2 2 3 2 3" xfId="12723" xr:uid="{53FD7314-F5A1-4000-82F4-327A4841CAFC}"/>
    <cellStyle name="Currency 5 2 2 2 2 2 3 3" xfId="5469" xr:uid="{00000000-0005-0000-0000-0000770B0000}"/>
    <cellStyle name="Currency 5 2 2 2 2 2 3 3 2" xfId="14795" xr:uid="{1AE4AF70-3255-4B4A-B601-AF85665AABB1}"/>
    <cellStyle name="Currency 5 2 2 2 2 2 3 4" xfId="10578" xr:uid="{48BC7C53-CBAF-4834-A486-96044A9AA227}"/>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17353" xr:uid="{91459C1D-F36C-46B6-ABA4-01CF856C502C}"/>
    <cellStyle name="Currency 5 2 2 2 2 2 4 2 3" xfId="13136" xr:uid="{EEC6E3FE-BE6B-4C52-975D-CBEF1A271091}"/>
    <cellStyle name="Currency 5 2 2 2 2 2 4 3" xfId="5882" xr:uid="{00000000-0005-0000-0000-00007B0B0000}"/>
    <cellStyle name="Currency 5 2 2 2 2 2 4 3 2" xfId="15208" xr:uid="{034D311A-C26A-403E-9289-63F0EA225461}"/>
    <cellStyle name="Currency 5 2 2 2 2 2 4 4" xfId="10991" xr:uid="{045506FB-EF56-44C8-A6D2-3BAEC36EF944}"/>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17766" xr:uid="{17E6443C-C373-4981-BE02-7B6AA6732475}"/>
    <cellStyle name="Currency 5 2 2 2 2 2 5 2 3" xfId="13549" xr:uid="{B1D6152C-8C47-49CD-A7F5-0543DAA8D9C5}"/>
    <cellStyle name="Currency 5 2 2 2 2 2 5 3" xfId="6295" xr:uid="{00000000-0005-0000-0000-00007F0B0000}"/>
    <cellStyle name="Currency 5 2 2 2 2 2 5 3 2" xfId="15621" xr:uid="{0AAF251F-17FB-4A79-81C9-4E62D5C1ACB4}"/>
    <cellStyle name="Currency 5 2 2 2 2 2 5 4" xfId="11404" xr:uid="{9E0D71BD-0035-4700-BB00-78B0103B0A21}"/>
    <cellStyle name="Currency 5 2 2 2 2 2 6" xfId="2424" xr:uid="{00000000-0005-0000-0000-0000800B0000}"/>
    <cellStyle name="Currency 5 2 2 2 2 2 6 2" xfId="6708" xr:uid="{00000000-0005-0000-0000-0000810B0000}"/>
    <cellStyle name="Currency 5 2 2 2 2 2 6 2 2" xfId="16034" xr:uid="{50316DFE-9532-4A3C-AFFE-CA83F060ED2D}"/>
    <cellStyle name="Currency 5 2 2 2 2 2 6 3" xfId="11817" xr:uid="{4483D727-A3AB-4B10-AB36-99B8DEC21CA4}"/>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16351" xr:uid="{4859E588-72E7-4DF4-BE08-8407C8FB32DC}"/>
    <cellStyle name="Currency 5 2 2 2 2 2 8 3" xfId="12134" xr:uid="{85B1254B-ABBD-4C81-94E2-64161308CE98}"/>
    <cellStyle name="Currency 5 2 2 2 2 2 9" xfId="4642" xr:uid="{00000000-0005-0000-0000-0000850B0000}"/>
    <cellStyle name="Currency 5 2 2 2 2 2 9 2" xfId="13968" xr:uid="{169087F8-8ED0-4081-BFED-59F10C93965D}"/>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16526" xr:uid="{94907758-2D51-4C1F-A15B-78E59BC82AF7}"/>
    <cellStyle name="Currency 5 2 2 2 2 3 2 3" xfId="12309" xr:uid="{134F7909-F2F2-4C3D-8310-F19A8AA38DE6}"/>
    <cellStyle name="Currency 5 2 2 2 2 3 3" xfId="5055" xr:uid="{00000000-0005-0000-0000-0000890B0000}"/>
    <cellStyle name="Currency 5 2 2 2 2 3 3 2" xfId="14381" xr:uid="{064E1B39-D9BC-4CEE-96E1-D82DB64A62BA}"/>
    <cellStyle name="Currency 5 2 2 2 2 3 4" xfId="9337" xr:uid="{A1FF44B9-A8E0-4A4E-9BE9-DA7FD7E326AE}"/>
    <cellStyle name="Currency 5 2 2 2 2 3 4 2" xfId="18652" xr:uid="{95AB6E56-83F2-4161-8736-F3F39219EA2E}"/>
    <cellStyle name="Currency 5 2 2 2 2 3 5" xfId="10164" xr:uid="{7B9474AB-A5AC-4005-BCDD-1AFD2C64065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16939" xr:uid="{79010E99-82E7-40D8-B58A-4EE0833D67F1}"/>
    <cellStyle name="Currency 5 2 2 2 2 4 2 3" xfId="12722" xr:uid="{68701233-8D81-4A27-AF02-394A0845E028}"/>
    <cellStyle name="Currency 5 2 2 2 2 4 3" xfId="5468" xr:uid="{00000000-0005-0000-0000-00008D0B0000}"/>
    <cellStyle name="Currency 5 2 2 2 2 4 3 2" xfId="14794" xr:uid="{88DC6DDD-3C17-409F-A519-F67CF4C88355}"/>
    <cellStyle name="Currency 5 2 2 2 2 4 4" xfId="10577" xr:uid="{A0AEE43D-BA5E-4845-98DE-CCF630B5DB0F}"/>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17352" xr:uid="{31F6E194-B354-419E-A45A-D9FF22DB82D7}"/>
    <cellStyle name="Currency 5 2 2 2 2 5 2 3" xfId="13135" xr:uid="{8DB24116-B677-4A51-BD9B-724FA55548E8}"/>
    <cellStyle name="Currency 5 2 2 2 2 5 3" xfId="5881" xr:uid="{00000000-0005-0000-0000-0000910B0000}"/>
    <cellStyle name="Currency 5 2 2 2 2 5 3 2" xfId="15207" xr:uid="{2712C068-1CF8-40A6-9088-47D177036CB6}"/>
    <cellStyle name="Currency 5 2 2 2 2 5 4" xfId="10990" xr:uid="{EDEAFE97-171F-407C-830A-13332FD557B9}"/>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17765" xr:uid="{CDC75CB3-26F3-4A78-971C-1C2695F2BCD4}"/>
    <cellStyle name="Currency 5 2 2 2 2 6 2 3" xfId="13548" xr:uid="{DBDDE041-E8AB-4ED9-9CA5-BDA189623006}"/>
    <cellStyle name="Currency 5 2 2 2 2 6 3" xfId="6294" xr:uid="{00000000-0005-0000-0000-0000950B0000}"/>
    <cellStyle name="Currency 5 2 2 2 2 6 3 2" xfId="15620" xr:uid="{CC4EA26C-FB1A-416A-AF84-231E9556EA01}"/>
    <cellStyle name="Currency 5 2 2 2 2 6 4" xfId="11403" xr:uid="{F5828239-ACFE-4C2A-8BDA-D053D4611133}"/>
    <cellStyle name="Currency 5 2 2 2 2 7" xfId="2423" xr:uid="{00000000-0005-0000-0000-0000960B0000}"/>
    <cellStyle name="Currency 5 2 2 2 2 7 2" xfId="6707" xr:uid="{00000000-0005-0000-0000-0000970B0000}"/>
    <cellStyle name="Currency 5 2 2 2 2 7 2 2" xfId="16033" xr:uid="{FD1B406E-543B-4CB9-9131-D400A410D5ED}"/>
    <cellStyle name="Currency 5 2 2 2 2 7 3" xfId="11816" xr:uid="{1CFA989E-2853-4B80-9C2D-D1B409659F2C}"/>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16350" xr:uid="{2DCABAF9-DAAE-4A82-8548-214509767C2F}"/>
    <cellStyle name="Currency 5 2 2 2 2 9 3" xfId="12133" xr:uid="{2F21BB10-94BA-47BF-AFED-50D9B7243E1E}"/>
    <cellStyle name="Currency 5 2 2 2 3" xfId="199" xr:uid="{00000000-0005-0000-0000-00009B0B0000}"/>
    <cellStyle name="Currency 5 2 2 2 3 10" xfId="9016" xr:uid="{706F9706-E49D-4995-B402-A842C879DBC8}"/>
    <cellStyle name="Currency 5 2 2 2 3 10 2" xfId="18340" xr:uid="{8C1552B9-68B6-4C68-9885-3AA4DC2A74D6}"/>
    <cellStyle name="Currency 5 2 2 2 3 11" xfId="9752" xr:uid="{3667D805-6B99-4D0C-9092-68CBF6058451}"/>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16528" xr:uid="{9417FFD7-462A-495B-8CCB-92E391DED39D}"/>
    <cellStyle name="Currency 5 2 2 2 3 2 2 3" xfId="12311" xr:uid="{C4BCE954-7867-4FAB-A820-EAD145BFF9DC}"/>
    <cellStyle name="Currency 5 2 2 2 3 2 3" xfId="5057" xr:uid="{00000000-0005-0000-0000-00009F0B0000}"/>
    <cellStyle name="Currency 5 2 2 2 3 2 3 2" xfId="14383" xr:uid="{25E5DB33-3F3C-4D2A-B056-F5BA1D3DAE48}"/>
    <cellStyle name="Currency 5 2 2 2 3 2 4" xfId="9441" xr:uid="{B7048274-E02F-4E6A-9C9A-FAD4299F19B1}"/>
    <cellStyle name="Currency 5 2 2 2 3 2 4 2" xfId="18756" xr:uid="{1C1CC7DF-2BE6-4403-97E4-C5599FBE9794}"/>
    <cellStyle name="Currency 5 2 2 2 3 2 5" xfId="10166" xr:uid="{89D5CA9E-6BE5-4513-9BDE-52E8601AF1B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16941" xr:uid="{874D0BDB-8D20-47BD-A4EA-37A45E761043}"/>
    <cellStyle name="Currency 5 2 2 2 3 3 2 3" xfId="12724" xr:uid="{C6980819-39B2-4377-926F-62D2763A537C}"/>
    <cellStyle name="Currency 5 2 2 2 3 3 3" xfId="5470" xr:uid="{00000000-0005-0000-0000-0000A30B0000}"/>
    <cellStyle name="Currency 5 2 2 2 3 3 3 2" xfId="14796" xr:uid="{C8E43875-15AD-4165-B6D7-0C164D25236C}"/>
    <cellStyle name="Currency 5 2 2 2 3 3 4" xfId="10579" xr:uid="{80F73534-E821-4B26-B502-D061C87107BA}"/>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17354" xr:uid="{58DA7A21-D681-4D5F-88A0-41C1BEE37505}"/>
    <cellStyle name="Currency 5 2 2 2 3 4 2 3" xfId="13137" xr:uid="{BCDCD366-9A13-4005-B445-83CCF8EC797A}"/>
    <cellStyle name="Currency 5 2 2 2 3 4 3" xfId="5883" xr:uid="{00000000-0005-0000-0000-0000A70B0000}"/>
    <cellStyle name="Currency 5 2 2 2 3 4 3 2" xfId="15209" xr:uid="{279A407E-574E-49BD-842C-0B08F9BAD1A3}"/>
    <cellStyle name="Currency 5 2 2 2 3 4 4" xfId="10992" xr:uid="{7E921A39-E230-4C8D-BB23-5C475A17F337}"/>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17767" xr:uid="{4F6692F9-1F7C-4CDA-8023-9917BE58DE42}"/>
    <cellStyle name="Currency 5 2 2 2 3 5 2 3" xfId="13550" xr:uid="{EBF5E03D-7E14-48FB-AA2B-B3432C9D701B}"/>
    <cellStyle name="Currency 5 2 2 2 3 5 3" xfId="6296" xr:uid="{00000000-0005-0000-0000-0000AB0B0000}"/>
    <cellStyle name="Currency 5 2 2 2 3 5 3 2" xfId="15622" xr:uid="{51346C6E-E5BD-40E2-B153-77DF6985BBA4}"/>
    <cellStyle name="Currency 5 2 2 2 3 5 4" xfId="11405" xr:uid="{41445B98-DA8F-443C-9435-3AFEDF437DEA}"/>
    <cellStyle name="Currency 5 2 2 2 3 6" xfId="2425" xr:uid="{00000000-0005-0000-0000-0000AC0B0000}"/>
    <cellStyle name="Currency 5 2 2 2 3 6 2" xfId="6709" xr:uid="{00000000-0005-0000-0000-0000AD0B0000}"/>
    <cellStyle name="Currency 5 2 2 2 3 6 2 2" xfId="16035" xr:uid="{875666F0-348C-48B0-B942-7CDDEF93483C}"/>
    <cellStyle name="Currency 5 2 2 2 3 6 3" xfId="11818" xr:uid="{948293E4-D5E2-4F02-8F15-E1AAF318C034}"/>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16352" xr:uid="{A283BA4B-E47B-4C59-B4AF-B6D63417D66D}"/>
    <cellStyle name="Currency 5 2 2 2 3 8 3" xfId="12135" xr:uid="{6CE9D89F-E491-4397-AAA0-DCFF7A1652AA}"/>
    <cellStyle name="Currency 5 2 2 2 3 9" xfId="4643" xr:uid="{00000000-0005-0000-0000-0000B10B0000}"/>
    <cellStyle name="Currency 5 2 2 2 3 9 2" xfId="13969" xr:uid="{40997767-53FB-4673-AFC8-9947647227D5}"/>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16525" xr:uid="{0067DB39-2050-4B63-A672-2D17CB0BCB24}"/>
    <cellStyle name="Currency 5 2 2 2 4 2 3" xfId="12308" xr:uid="{491C899D-03B4-4C59-9C30-CDE070D2D9AC}"/>
    <cellStyle name="Currency 5 2 2 2 4 3" xfId="5054" xr:uid="{00000000-0005-0000-0000-0000B50B0000}"/>
    <cellStyle name="Currency 5 2 2 2 4 3 2" xfId="14380" xr:uid="{35950C04-375E-495F-B77F-A856DAE9C897}"/>
    <cellStyle name="Currency 5 2 2 2 4 4" xfId="9234" xr:uid="{AAF147FE-13D8-48BD-A722-062B96166D61}"/>
    <cellStyle name="Currency 5 2 2 2 4 4 2" xfId="18549" xr:uid="{1B00F352-E536-4A62-BA0E-8A9FE5BF6EE3}"/>
    <cellStyle name="Currency 5 2 2 2 4 5" xfId="10163" xr:uid="{2B0DD339-082F-42C0-AFAB-BDF844CF888C}"/>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16938" xr:uid="{79366342-01B9-4290-BE8D-2862C7A61038}"/>
    <cellStyle name="Currency 5 2 2 2 5 2 3" xfId="12721" xr:uid="{F3F825D4-FF5F-4C11-B572-913EBAD32382}"/>
    <cellStyle name="Currency 5 2 2 2 5 3" xfId="5467" xr:uid="{00000000-0005-0000-0000-0000B90B0000}"/>
    <cellStyle name="Currency 5 2 2 2 5 3 2" xfId="14793" xr:uid="{F728E5D8-3369-4989-97C5-85267C8C87ED}"/>
    <cellStyle name="Currency 5 2 2 2 5 4" xfId="10576" xr:uid="{F144A6CB-E14D-424C-86DE-39257166BACD}"/>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17351" xr:uid="{F6C0E6C4-DD2B-420B-8C23-AB4ADC573636}"/>
    <cellStyle name="Currency 5 2 2 2 6 2 3" xfId="13134" xr:uid="{9799A7CB-C64E-402F-B842-1EA71DB5181C}"/>
    <cellStyle name="Currency 5 2 2 2 6 3" xfId="5880" xr:uid="{00000000-0005-0000-0000-0000BD0B0000}"/>
    <cellStyle name="Currency 5 2 2 2 6 3 2" xfId="15206" xr:uid="{6183462B-A846-4B1D-87BB-BF0EF7CCA9A3}"/>
    <cellStyle name="Currency 5 2 2 2 6 4" xfId="10989" xr:uid="{D582D325-4A21-4068-AD76-76F2CF8EAE6A}"/>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17764" xr:uid="{AD2ECED5-797B-4FC0-9150-5F3056C3F9DB}"/>
    <cellStyle name="Currency 5 2 2 2 7 2 3" xfId="13547" xr:uid="{88FDC08F-E5A9-41D7-9B6E-29C8FD61B820}"/>
    <cellStyle name="Currency 5 2 2 2 7 3" xfId="6293" xr:uid="{00000000-0005-0000-0000-0000C10B0000}"/>
    <cellStyle name="Currency 5 2 2 2 7 3 2" xfId="15619" xr:uid="{351FE092-0F64-4507-9D08-572F87D2CE73}"/>
    <cellStyle name="Currency 5 2 2 2 7 4" xfId="11402" xr:uid="{06FED803-7008-4C88-AE4D-1F61044FFF63}"/>
    <cellStyle name="Currency 5 2 2 2 8" xfId="2422" xr:uid="{00000000-0005-0000-0000-0000C20B0000}"/>
    <cellStyle name="Currency 5 2 2 2 8 2" xfId="6706" xr:uid="{00000000-0005-0000-0000-0000C30B0000}"/>
    <cellStyle name="Currency 5 2 2 2 8 2 2" xfId="16032" xr:uid="{85D2BA5C-5747-4FFA-B208-45AB0654AB09}"/>
    <cellStyle name="Currency 5 2 2 2 8 3" xfId="11815" xr:uid="{A0A2189D-F8F0-4527-B193-EB260920DE6D}"/>
    <cellStyle name="Currency 5 2 2 2 9" xfId="2719" xr:uid="{00000000-0005-0000-0000-0000C40B0000}"/>
    <cellStyle name="Currency 5 2 2 3" xfId="200" xr:uid="{00000000-0005-0000-0000-0000C50B0000}"/>
    <cellStyle name="Currency 5 2 2 3 10" xfId="4644" xr:uid="{00000000-0005-0000-0000-0000C60B0000}"/>
    <cellStyle name="Currency 5 2 2 3 10 2" xfId="13970" xr:uid="{AE4832C8-3716-41B8-A882-14895267BA7C}"/>
    <cellStyle name="Currency 5 2 2 3 11" xfId="8890" xr:uid="{F313D4EC-7666-4BAA-9452-39176957C213}"/>
    <cellStyle name="Currency 5 2 2 3 11 2" xfId="18214" xr:uid="{89847A5D-08D6-4D2F-ADAC-722A468D3502}"/>
    <cellStyle name="Currency 5 2 2 3 12" xfId="9753" xr:uid="{6133DB9E-520D-4C30-947E-447CB2445850}"/>
    <cellStyle name="Currency 5 2 2 3 2" xfId="201" xr:uid="{00000000-0005-0000-0000-0000C70B0000}"/>
    <cellStyle name="Currency 5 2 2 3 2 10" xfId="9097" xr:uid="{74199D2F-F17A-42DD-AC8B-D958FBFFCA8B}"/>
    <cellStyle name="Currency 5 2 2 3 2 10 2" xfId="18421" xr:uid="{E9C5A7EA-8113-4F4A-9B05-9DFAB45FF9D8}"/>
    <cellStyle name="Currency 5 2 2 3 2 11" xfId="9754" xr:uid="{581E799C-5395-4E22-8F13-D7E33ACA333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16530" xr:uid="{2B24E0AB-1FE0-4392-A533-BA46587F6FFA}"/>
    <cellStyle name="Currency 5 2 2 3 2 2 2 3" xfId="12313" xr:uid="{CF49EFF1-EF5E-4445-B8EB-0CA9CE7CB9FB}"/>
    <cellStyle name="Currency 5 2 2 3 2 2 3" xfId="5059" xr:uid="{00000000-0005-0000-0000-0000CB0B0000}"/>
    <cellStyle name="Currency 5 2 2 3 2 2 3 2" xfId="14385" xr:uid="{B7BC3B67-3B78-4357-B4AC-B68171A021CA}"/>
    <cellStyle name="Currency 5 2 2 3 2 2 4" xfId="9522" xr:uid="{58EAFCD4-DA5B-47CB-A637-29DA003AA3FD}"/>
    <cellStyle name="Currency 5 2 2 3 2 2 4 2" xfId="18837" xr:uid="{D7530F7E-6E3F-4B18-9932-6422D899B75C}"/>
    <cellStyle name="Currency 5 2 2 3 2 2 5" xfId="10168" xr:uid="{124E83CE-2E1D-44D9-9B50-D78F776DC12C}"/>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16943" xr:uid="{3C54932B-D388-45BD-863D-415A64AA22C1}"/>
    <cellStyle name="Currency 5 2 2 3 2 3 2 3" xfId="12726" xr:uid="{3D2DFCDF-332A-4CDF-892D-E4AE47D6D356}"/>
    <cellStyle name="Currency 5 2 2 3 2 3 3" xfId="5472" xr:uid="{00000000-0005-0000-0000-0000CF0B0000}"/>
    <cellStyle name="Currency 5 2 2 3 2 3 3 2" xfId="14798" xr:uid="{476B2532-045A-45DF-8DD9-7ECC21BF7A27}"/>
    <cellStyle name="Currency 5 2 2 3 2 3 4" xfId="10581" xr:uid="{7D36EE9C-5D3E-4A8A-94CE-C4830BE5C9F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17356" xr:uid="{7A13EEA0-61F1-4CC7-A99A-888690249F6C}"/>
    <cellStyle name="Currency 5 2 2 3 2 4 2 3" xfId="13139" xr:uid="{974E2B80-0904-49BA-B6F8-9A1D9D3DC039}"/>
    <cellStyle name="Currency 5 2 2 3 2 4 3" xfId="5885" xr:uid="{00000000-0005-0000-0000-0000D30B0000}"/>
    <cellStyle name="Currency 5 2 2 3 2 4 3 2" xfId="15211" xr:uid="{DF1F3C1B-FD91-4681-AF49-30F80F2070C9}"/>
    <cellStyle name="Currency 5 2 2 3 2 4 4" xfId="10994" xr:uid="{541681E6-F96F-4EBD-9D52-DA3EAB3B00D6}"/>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17769" xr:uid="{26F95582-0463-45E2-9330-D04D8964B77B}"/>
    <cellStyle name="Currency 5 2 2 3 2 5 2 3" xfId="13552" xr:uid="{8CBB74A4-873A-41B0-B488-36B9456A28A7}"/>
    <cellStyle name="Currency 5 2 2 3 2 5 3" xfId="6298" xr:uid="{00000000-0005-0000-0000-0000D70B0000}"/>
    <cellStyle name="Currency 5 2 2 3 2 5 3 2" xfId="15624" xr:uid="{5D769E75-D407-43A1-9833-92322C35F84F}"/>
    <cellStyle name="Currency 5 2 2 3 2 5 4" xfId="11407" xr:uid="{2BB34933-8E36-4EF9-9807-DD05EB60CF30}"/>
    <cellStyle name="Currency 5 2 2 3 2 6" xfId="2427" xr:uid="{00000000-0005-0000-0000-0000D80B0000}"/>
    <cellStyle name="Currency 5 2 2 3 2 6 2" xfId="6711" xr:uid="{00000000-0005-0000-0000-0000D90B0000}"/>
    <cellStyle name="Currency 5 2 2 3 2 6 2 2" xfId="16037" xr:uid="{80C80AC0-7D25-4A38-8C71-F0758BB92C65}"/>
    <cellStyle name="Currency 5 2 2 3 2 6 3" xfId="11820" xr:uid="{D6E29C89-BE0F-4E5B-9EE6-D3F5A80825D7}"/>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16354" xr:uid="{2F4D57DD-14C8-4ED7-9CAF-F30BE1713101}"/>
    <cellStyle name="Currency 5 2 2 3 2 8 3" xfId="12137" xr:uid="{0B37F840-0CD9-426E-9655-DF159004984E}"/>
    <cellStyle name="Currency 5 2 2 3 2 9" xfId="4645" xr:uid="{00000000-0005-0000-0000-0000DD0B0000}"/>
    <cellStyle name="Currency 5 2 2 3 2 9 2" xfId="13971" xr:uid="{F956E23A-21ED-4AE4-810C-A89833DD6996}"/>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16529" xr:uid="{B52EA42C-0DBB-4465-8732-54CB64E2435D}"/>
    <cellStyle name="Currency 5 2 2 3 3 2 3" xfId="12312" xr:uid="{BC8F074B-1857-481C-B095-2E50CE72AC50}"/>
    <cellStyle name="Currency 5 2 2 3 3 3" xfId="5058" xr:uid="{00000000-0005-0000-0000-0000E10B0000}"/>
    <cellStyle name="Currency 5 2 2 3 3 3 2" xfId="14384" xr:uid="{539E66B0-FED5-483C-A0FE-8731A89260B5}"/>
    <cellStyle name="Currency 5 2 2 3 3 4" xfId="9315" xr:uid="{A76EC348-1CDB-41C1-B9B8-9215FF30C619}"/>
    <cellStyle name="Currency 5 2 2 3 3 4 2" xfId="18630" xr:uid="{5B0F5BD8-38D4-4EE4-B879-85F1397AB2A5}"/>
    <cellStyle name="Currency 5 2 2 3 3 5" xfId="10167" xr:uid="{58823447-FE76-4249-A710-0728B04E8A2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16942" xr:uid="{09880182-400A-439F-B340-7673B54199D8}"/>
    <cellStyle name="Currency 5 2 2 3 4 2 3" xfId="12725" xr:uid="{B814C018-3807-4D2A-B925-E75BA720B274}"/>
    <cellStyle name="Currency 5 2 2 3 4 3" xfId="5471" xr:uid="{00000000-0005-0000-0000-0000E50B0000}"/>
    <cellStyle name="Currency 5 2 2 3 4 3 2" xfId="14797" xr:uid="{BDB1F241-3542-4F65-AC41-5AE312ED29E7}"/>
    <cellStyle name="Currency 5 2 2 3 4 4" xfId="10580" xr:uid="{E9F2C598-3E99-4EB7-9840-DA9D9DEFE23F}"/>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17355" xr:uid="{41F4CF3A-CEAA-403B-B79C-64761FF09119}"/>
    <cellStyle name="Currency 5 2 2 3 5 2 3" xfId="13138" xr:uid="{69049F3D-8C59-4ACB-8B26-4416A1690962}"/>
    <cellStyle name="Currency 5 2 2 3 5 3" xfId="5884" xr:uid="{00000000-0005-0000-0000-0000E90B0000}"/>
    <cellStyle name="Currency 5 2 2 3 5 3 2" xfId="15210" xr:uid="{D16D0801-8D26-487C-A3D0-641A4A5DF6F1}"/>
    <cellStyle name="Currency 5 2 2 3 5 4" xfId="10993" xr:uid="{46269D65-534B-4ECD-95DA-4039949A8083}"/>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17768" xr:uid="{334C4A71-C3ED-46B1-B1CE-0852A6441FAB}"/>
    <cellStyle name="Currency 5 2 2 3 6 2 3" xfId="13551" xr:uid="{164BBED4-CFB7-4E4B-A152-DA6D67BEF0B1}"/>
    <cellStyle name="Currency 5 2 2 3 6 3" xfId="6297" xr:uid="{00000000-0005-0000-0000-0000ED0B0000}"/>
    <cellStyle name="Currency 5 2 2 3 6 3 2" xfId="15623" xr:uid="{D9D7E5DB-075B-438A-B466-AEE2CFB9B42E}"/>
    <cellStyle name="Currency 5 2 2 3 6 4" xfId="11406" xr:uid="{C467E047-14E4-477E-A300-80587D08C517}"/>
    <cellStyle name="Currency 5 2 2 3 7" xfId="2426" xr:uid="{00000000-0005-0000-0000-0000EE0B0000}"/>
    <cellStyle name="Currency 5 2 2 3 7 2" xfId="6710" xr:uid="{00000000-0005-0000-0000-0000EF0B0000}"/>
    <cellStyle name="Currency 5 2 2 3 7 2 2" xfId="16036" xr:uid="{9F61AF5B-F10D-48DF-95AC-055720895719}"/>
    <cellStyle name="Currency 5 2 2 3 7 3" xfId="11819" xr:uid="{30A12739-DC15-4C2A-9A24-94C935C6A374}"/>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16353" xr:uid="{757A86CD-1C92-4E40-8DCB-2F5D894F15FF}"/>
    <cellStyle name="Currency 5 2 2 3 9 3" xfId="12136" xr:uid="{0132C000-8CB7-4D3E-81D5-1083B30FDCBA}"/>
    <cellStyle name="Currency 5 2 2 4" xfId="202" xr:uid="{00000000-0005-0000-0000-0000F30B0000}"/>
    <cellStyle name="Currency 5 2 2 4 10" xfId="8994" xr:uid="{484CCE7A-1288-4C7F-ABD6-C45948DC4EC0}"/>
    <cellStyle name="Currency 5 2 2 4 10 2" xfId="18318" xr:uid="{B13B6216-689A-4ABC-9C5A-CC94F4666280}"/>
    <cellStyle name="Currency 5 2 2 4 11" xfId="9755" xr:uid="{2E403153-7629-49FC-BE85-9E5F1FEB6C5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16531" xr:uid="{C7925B2B-D2E3-4CE5-BC03-2AB08C3B2D51}"/>
    <cellStyle name="Currency 5 2 2 4 2 2 3" xfId="12314" xr:uid="{51126EEB-7A7A-44AE-90C7-4EE0B110F7C1}"/>
    <cellStyle name="Currency 5 2 2 4 2 3" xfId="5060" xr:uid="{00000000-0005-0000-0000-0000F70B0000}"/>
    <cellStyle name="Currency 5 2 2 4 2 3 2" xfId="14386" xr:uid="{BAC6AD44-6D21-45EE-A961-48563ADD6CE7}"/>
    <cellStyle name="Currency 5 2 2 4 2 4" xfId="9419" xr:uid="{F03E4D2E-3BA9-4D5B-9C35-959DB128CBAE}"/>
    <cellStyle name="Currency 5 2 2 4 2 4 2" xfId="18734" xr:uid="{DBECA995-2A6B-441E-A4F8-8D3FF34F61A5}"/>
    <cellStyle name="Currency 5 2 2 4 2 5" xfId="10169" xr:uid="{197E08C6-4D15-4B6E-80AB-F4D546D76DE6}"/>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16944" xr:uid="{44B04767-B064-408D-AECC-CADA4B5AF9CE}"/>
    <cellStyle name="Currency 5 2 2 4 3 2 3" xfId="12727" xr:uid="{13906604-0B60-4D10-9552-5D58C448D64C}"/>
    <cellStyle name="Currency 5 2 2 4 3 3" xfId="5473" xr:uid="{00000000-0005-0000-0000-0000FB0B0000}"/>
    <cellStyle name="Currency 5 2 2 4 3 3 2" xfId="14799" xr:uid="{04B1D99A-B0C6-443C-A198-6236C813AE90}"/>
    <cellStyle name="Currency 5 2 2 4 3 4" xfId="10582" xr:uid="{5D14FA8A-28DF-492D-AE92-CC330B0AC07B}"/>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17357" xr:uid="{77DC92EC-CCF5-4C26-951F-C15580DB2EEC}"/>
    <cellStyle name="Currency 5 2 2 4 4 2 3" xfId="13140" xr:uid="{974C76D8-5B04-4E15-9EF2-10871B3297F5}"/>
    <cellStyle name="Currency 5 2 2 4 4 3" xfId="5886" xr:uid="{00000000-0005-0000-0000-0000FF0B0000}"/>
    <cellStyle name="Currency 5 2 2 4 4 3 2" xfId="15212" xr:uid="{78862E26-908E-454B-9016-E2088A18D442}"/>
    <cellStyle name="Currency 5 2 2 4 4 4" xfId="10995" xr:uid="{515893A9-C49C-4176-8E08-3D6B0E7C4C58}"/>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17770" xr:uid="{3E616F03-43B6-43B8-9EB6-E45740525224}"/>
    <cellStyle name="Currency 5 2 2 4 5 2 3" xfId="13553" xr:uid="{B2E503A2-0D51-4014-8FB3-30A165C58A43}"/>
    <cellStyle name="Currency 5 2 2 4 5 3" xfId="6299" xr:uid="{00000000-0005-0000-0000-0000030C0000}"/>
    <cellStyle name="Currency 5 2 2 4 5 3 2" xfId="15625" xr:uid="{D0D627B0-7914-4B0D-9B88-340822E60971}"/>
    <cellStyle name="Currency 5 2 2 4 5 4" xfId="11408" xr:uid="{C67F89F3-3302-4269-81F7-D98C63FD79C5}"/>
    <cellStyle name="Currency 5 2 2 4 6" xfId="2428" xr:uid="{00000000-0005-0000-0000-0000040C0000}"/>
    <cellStyle name="Currency 5 2 2 4 6 2" xfId="6712" xr:uid="{00000000-0005-0000-0000-0000050C0000}"/>
    <cellStyle name="Currency 5 2 2 4 6 2 2" xfId="16038" xr:uid="{2BF07DC5-24C1-49B9-ADDC-D99CC26D7279}"/>
    <cellStyle name="Currency 5 2 2 4 6 3" xfId="11821" xr:uid="{2B819058-A089-414B-BBA6-0503BB3745F5}"/>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16355" xr:uid="{888BEE9C-17B8-4DE6-AF45-C308B8D544B7}"/>
    <cellStyle name="Currency 5 2 2 4 8 3" xfId="12138" xr:uid="{0139A1F0-A3FC-4544-9BEE-2A59E595E3B1}"/>
    <cellStyle name="Currency 5 2 2 4 9" xfId="4646" xr:uid="{00000000-0005-0000-0000-0000090C0000}"/>
    <cellStyle name="Currency 5 2 2 4 9 2" xfId="13972" xr:uid="{3883AFB7-1C8F-482C-A59B-4CE4C74A8F59}"/>
    <cellStyle name="Currency 5 2 2 5" xfId="203" xr:uid="{00000000-0005-0000-0000-00000A0C0000}"/>
    <cellStyle name="Currency 5 2 2 5 10" xfId="9211" xr:uid="{586E1D8D-A72F-44A2-BAB5-A0BAD4827F6D}"/>
    <cellStyle name="Currency 5 2 2 5 10 2" xfId="18527" xr:uid="{36A6C826-9CB6-44A5-B465-67671A767D81}"/>
    <cellStyle name="Currency 5 2 2 5 11" xfId="9756" xr:uid="{E220008A-6AB8-4C54-B75C-4144C88EF02A}"/>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16532" xr:uid="{557C3DE0-02C1-4DFD-9B1E-B86A3649D771}"/>
    <cellStyle name="Currency 5 2 2 5 2 2 3" xfId="12315" xr:uid="{1D26CD18-A0F2-430F-B2C0-762852FF98BD}"/>
    <cellStyle name="Currency 5 2 2 5 2 3" xfId="5061" xr:uid="{00000000-0005-0000-0000-00000E0C0000}"/>
    <cellStyle name="Currency 5 2 2 5 2 3 2" xfId="14387" xr:uid="{35DCC08E-E131-4C0E-855E-B3E0C86A655D}"/>
    <cellStyle name="Currency 5 2 2 5 2 4" xfId="9598" xr:uid="{EBD3270B-608E-49E1-8A20-C5ADF81FBC1B}"/>
    <cellStyle name="Currency 5 2 2 5 2 4 2" xfId="18902" xr:uid="{F953CCE4-5332-487B-9859-D6D4E85A8414}"/>
    <cellStyle name="Currency 5 2 2 5 2 5" xfId="10170" xr:uid="{BD3DAC47-A450-424A-99C4-B364B61BBB07}"/>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16945" xr:uid="{7097A702-695F-4CCB-9EA9-38B94F830DF1}"/>
    <cellStyle name="Currency 5 2 2 5 3 2 3" xfId="12728" xr:uid="{8DFB37A3-FFD2-476D-B367-7BF6AB17CDE0}"/>
    <cellStyle name="Currency 5 2 2 5 3 3" xfId="5474" xr:uid="{00000000-0005-0000-0000-0000120C0000}"/>
    <cellStyle name="Currency 5 2 2 5 3 3 2" xfId="14800" xr:uid="{CC2CEFEB-34DF-4309-B795-5718E6C7D36E}"/>
    <cellStyle name="Currency 5 2 2 5 3 4" xfId="10583" xr:uid="{212AFF06-84E0-4606-9E9A-90B550FB6DD5}"/>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17358" xr:uid="{7748A4F0-CC77-467C-9306-FDB88C5832D4}"/>
    <cellStyle name="Currency 5 2 2 5 4 2 3" xfId="13141" xr:uid="{E84C2C36-A231-4F0A-97DD-E80F2FAFA9EF}"/>
    <cellStyle name="Currency 5 2 2 5 4 3" xfId="5887" xr:uid="{00000000-0005-0000-0000-0000160C0000}"/>
    <cellStyle name="Currency 5 2 2 5 4 3 2" xfId="15213" xr:uid="{B6501917-FD21-4595-943A-C2B582748AF6}"/>
    <cellStyle name="Currency 5 2 2 5 4 4" xfId="10996" xr:uid="{B14677B0-D473-4B15-8908-3833350F31AD}"/>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17771" xr:uid="{806516AB-591D-48F6-8965-A4BF5B374408}"/>
    <cellStyle name="Currency 5 2 2 5 5 2 3" xfId="13554" xr:uid="{790943E2-420A-48EB-B9D4-07CAF197E83F}"/>
    <cellStyle name="Currency 5 2 2 5 5 3" xfId="6300" xr:uid="{00000000-0005-0000-0000-00001A0C0000}"/>
    <cellStyle name="Currency 5 2 2 5 5 3 2" xfId="15626" xr:uid="{A2EAB94C-49DE-4CE8-B743-08BD8815E7CC}"/>
    <cellStyle name="Currency 5 2 2 5 5 4" xfId="11409" xr:uid="{54DD3BB6-BCB4-4B0F-B0A0-9CC95464F23B}"/>
    <cellStyle name="Currency 5 2 2 5 6" xfId="2429" xr:uid="{00000000-0005-0000-0000-00001B0C0000}"/>
    <cellStyle name="Currency 5 2 2 5 6 2" xfId="6713" xr:uid="{00000000-0005-0000-0000-00001C0C0000}"/>
    <cellStyle name="Currency 5 2 2 5 6 2 2" xfId="16039" xr:uid="{2F7BB651-F3C9-4132-BB3B-CF557B5615B6}"/>
    <cellStyle name="Currency 5 2 2 5 6 3" xfId="11822" xr:uid="{239FC1A5-F924-4E09-98CB-706509120867}"/>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16356" xr:uid="{A5FA3A92-0F81-4631-9927-802C6C399B31}"/>
    <cellStyle name="Currency 5 2 2 5 8 3" xfId="12139" xr:uid="{E2355FBD-43B2-4051-B944-E3687C594F76}"/>
    <cellStyle name="Currency 5 2 2 5 9" xfId="4647" xr:uid="{00000000-0005-0000-0000-0000200C0000}"/>
    <cellStyle name="Currency 5 2 2 5 9 2" xfId="13973" xr:uid="{56379BDD-B389-444D-B509-B02FC07DF396}"/>
    <cellStyle name="Currency 5 2 2 6" xfId="9584" xr:uid="{DC5749FB-A314-4F8C-B61F-309C27A570F5}"/>
    <cellStyle name="Currency 5 2 2 7" xfId="8787" xr:uid="{822EE7D8-70A6-49D7-843D-E84C848DC397}"/>
    <cellStyle name="Currency 5 2 2 7 2" xfId="18111" xr:uid="{DB1C5E11-D712-47C7-919C-8B481D35B0DB}"/>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13974" xr:uid="{ACA267D4-4B1E-4BC8-ACAE-7F6DC85F01C5}"/>
    <cellStyle name="Currency 5 2 4 11" xfId="8859" xr:uid="{D3A5F8AD-5F4E-4BEA-A9B4-9A705A015524}"/>
    <cellStyle name="Currency 5 2 4 11 2" xfId="18183" xr:uid="{A0F1F874-45A7-4AB2-A387-9F71896FD067}"/>
    <cellStyle name="Currency 5 2 4 12" xfId="9757" xr:uid="{3D6219BA-519E-45DF-8F40-AF980EA6ED07}"/>
    <cellStyle name="Currency 5 2 4 2" xfId="206" xr:uid="{00000000-0005-0000-0000-0000250C0000}"/>
    <cellStyle name="Currency 5 2 4 2 10" xfId="9066" xr:uid="{2F7A28AF-2120-4AAF-A58B-33C2E07F597D}"/>
    <cellStyle name="Currency 5 2 4 2 10 2" xfId="18390" xr:uid="{3B3A2F99-3AB1-4A72-8295-FE8B6DF614CD}"/>
    <cellStyle name="Currency 5 2 4 2 11" xfId="9758" xr:uid="{9FA47DAC-9BC0-47B2-ACE9-E0E5629B3E89}"/>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16534" xr:uid="{F075ABB1-0052-4A23-8046-779768C6736B}"/>
    <cellStyle name="Currency 5 2 4 2 2 2 3" xfId="12317" xr:uid="{8B318E67-9475-4772-821C-5FB648808FFA}"/>
    <cellStyle name="Currency 5 2 4 2 2 3" xfId="5063" xr:uid="{00000000-0005-0000-0000-0000290C0000}"/>
    <cellStyle name="Currency 5 2 4 2 2 3 2" xfId="14389" xr:uid="{F4BDB131-6993-4ADF-87F8-D9FDD2F59B82}"/>
    <cellStyle name="Currency 5 2 4 2 2 4" xfId="9491" xr:uid="{64B868C7-9024-4970-9E74-7DF82417BD7A}"/>
    <cellStyle name="Currency 5 2 4 2 2 4 2" xfId="18806" xr:uid="{33DCDF98-C4AD-4CA0-99C0-88A5B0919108}"/>
    <cellStyle name="Currency 5 2 4 2 2 5" xfId="10172" xr:uid="{4F2D2538-AD1A-42EA-8ACD-C2C4DC7BF3D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16947" xr:uid="{F6EA5880-0D45-4C81-8113-CCA3D50ED982}"/>
    <cellStyle name="Currency 5 2 4 2 3 2 3" xfId="12730" xr:uid="{666060A9-83A5-4BC2-BAED-2D444F229799}"/>
    <cellStyle name="Currency 5 2 4 2 3 3" xfId="5476" xr:uid="{00000000-0005-0000-0000-00002D0C0000}"/>
    <cellStyle name="Currency 5 2 4 2 3 3 2" xfId="14802" xr:uid="{9A33952F-3B92-44DF-864A-0946BBF46807}"/>
    <cellStyle name="Currency 5 2 4 2 3 4" xfId="10585" xr:uid="{B1B6C77F-FEAD-476C-9096-B54CD60EEDAD}"/>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17360" xr:uid="{8380B49D-2296-4ED3-AD4B-D8A69385F0D2}"/>
    <cellStyle name="Currency 5 2 4 2 4 2 3" xfId="13143" xr:uid="{55A6F6A7-CDC8-4E58-9A19-EE6672838DBA}"/>
    <cellStyle name="Currency 5 2 4 2 4 3" xfId="5889" xr:uid="{00000000-0005-0000-0000-0000310C0000}"/>
    <cellStyle name="Currency 5 2 4 2 4 3 2" xfId="15215" xr:uid="{6E35D5F2-09C3-4CE6-AEAB-EEBC3B928C2A}"/>
    <cellStyle name="Currency 5 2 4 2 4 4" xfId="10998" xr:uid="{9E71FF62-C6C3-4F92-9C8E-71872DF1D1D8}"/>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17773" xr:uid="{C5F568C7-E89E-4F32-9A9C-B8DC7DE9C257}"/>
    <cellStyle name="Currency 5 2 4 2 5 2 3" xfId="13556" xr:uid="{EBA68D6B-9840-4742-8140-B049C63E5BBD}"/>
    <cellStyle name="Currency 5 2 4 2 5 3" xfId="6302" xr:uid="{00000000-0005-0000-0000-0000350C0000}"/>
    <cellStyle name="Currency 5 2 4 2 5 3 2" xfId="15628" xr:uid="{C49767D0-AA85-4F9A-92D5-7D870447EAAA}"/>
    <cellStyle name="Currency 5 2 4 2 5 4" xfId="11411" xr:uid="{2EC85097-6D15-423F-A06F-3F23BA2A077A}"/>
    <cellStyle name="Currency 5 2 4 2 6" xfId="2431" xr:uid="{00000000-0005-0000-0000-0000360C0000}"/>
    <cellStyle name="Currency 5 2 4 2 6 2" xfId="6715" xr:uid="{00000000-0005-0000-0000-0000370C0000}"/>
    <cellStyle name="Currency 5 2 4 2 6 2 2" xfId="16041" xr:uid="{67E63A65-082E-46B3-A087-205C7931DADD}"/>
    <cellStyle name="Currency 5 2 4 2 6 3" xfId="11824" xr:uid="{26775E1C-90C3-4E05-A82A-766FDA03AE32}"/>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16358" xr:uid="{08179F89-B58B-4043-BEC0-FDDFA512DE2F}"/>
    <cellStyle name="Currency 5 2 4 2 8 3" xfId="12141" xr:uid="{1F3C85D3-61A9-4DBD-A096-37CCC4D741A8}"/>
    <cellStyle name="Currency 5 2 4 2 9" xfId="4649" xr:uid="{00000000-0005-0000-0000-00003B0C0000}"/>
    <cellStyle name="Currency 5 2 4 2 9 2" xfId="13975" xr:uid="{58905417-CE05-4CA9-9C9C-CAB74AD0D137}"/>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16533" xr:uid="{B2900D8D-03A8-4738-B691-B0705299F024}"/>
    <cellStyle name="Currency 5 2 4 3 2 3" xfId="12316" xr:uid="{CAF9CBB1-433E-441D-9818-696AB1FF1DB9}"/>
    <cellStyle name="Currency 5 2 4 3 3" xfId="5062" xr:uid="{00000000-0005-0000-0000-00003F0C0000}"/>
    <cellStyle name="Currency 5 2 4 3 3 2" xfId="14388" xr:uid="{C2BC467F-1DC7-4477-94D7-8E7B4D9A8055}"/>
    <cellStyle name="Currency 5 2 4 3 4" xfId="9284" xr:uid="{1D0B72AC-AFAC-428F-8BF0-6DFF9565613D}"/>
    <cellStyle name="Currency 5 2 4 3 4 2" xfId="18599" xr:uid="{1B7DBCED-E8DB-4ECC-8454-5B41A16954A4}"/>
    <cellStyle name="Currency 5 2 4 3 5" xfId="10171" xr:uid="{597FD12F-F304-4B70-ABF7-AD232C76872A}"/>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16946" xr:uid="{A8D8FD8D-9BB4-4600-9A7F-EE37A52096E3}"/>
    <cellStyle name="Currency 5 2 4 4 2 3" xfId="12729" xr:uid="{7C3F7FC4-4C0D-43D1-9F23-54E59AE8B756}"/>
    <cellStyle name="Currency 5 2 4 4 3" xfId="5475" xr:uid="{00000000-0005-0000-0000-0000430C0000}"/>
    <cellStyle name="Currency 5 2 4 4 3 2" xfId="14801" xr:uid="{9A1B1061-6585-41D4-821B-83496F59157A}"/>
    <cellStyle name="Currency 5 2 4 4 4" xfId="10584" xr:uid="{AB987CAA-D1AC-45D8-B26E-8467D3AC2607}"/>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17359" xr:uid="{9D08A984-42FE-4E22-8B62-7B7221E4CB64}"/>
    <cellStyle name="Currency 5 2 4 5 2 3" xfId="13142" xr:uid="{2B457B9A-1F30-4E2F-9631-FDCFC905E081}"/>
    <cellStyle name="Currency 5 2 4 5 3" xfId="5888" xr:uid="{00000000-0005-0000-0000-0000470C0000}"/>
    <cellStyle name="Currency 5 2 4 5 3 2" xfId="15214" xr:uid="{E1DAE83E-9D6E-46AD-B530-3A8B472CBAD7}"/>
    <cellStyle name="Currency 5 2 4 5 4" xfId="10997" xr:uid="{70F3DF0D-95AD-421E-B52E-A8C7DD709E9F}"/>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17772" xr:uid="{C5E92B52-A99A-46BF-8C2D-50D200A13064}"/>
    <cellStyle name="Currency 5 2 4 6 2 3" xfId="13555" xr:uid="{57C7DDD2-F9C2-4619-BDD4-73120E626526}"/>
    <cellStyle name="Currency 5 2 4 6 3" xfId="6301" xr:uid="{00000000-0005-0000-0000-00004B0C0000}"/>
    <cellStyle name="Currency 5 2 4 6 3 2" xfId="15627" xr:uid="{355B38DA-D42A-4494-ABDC-C43C523779C7}"/>
    <cellStyle name="Currency 5 2 4 6 4" xfId="11410" xr:uid="{8DC1C406-DD61-489C-80BB-F9A61864F40E}"/>
    <cellStyle name="Currency 5 2 4 7" xfId="2430" xr:uid="{00000000-0005-0000-0000-00004C0C0000}"/>
    <cellStyle name="Currency 5 2 4 7 2" xfId="6714" xr:uid="{00000000-0005-0000-0000-00004D0C0000}"/>
    <cellStyle name="Currency 5 2 4 7 2 2" xfId="16040" xr:uid="{96C51F91-794F-4251-8A7A-027B2427B9A2}"/>
    <cellStyle name="Currency 5 2 4 7 3" xfId="11823" xr:uid="{2E0537A7-5D81-4E62-AA31-9ABD342B2690}"/>
    <cellStyle name="Currency 5 2 4 8" xfId="2727" xr:uid="{00000000-0005-0000-0000-00004E0C0000}"/>
    <cellStyle name="Currency 5 2 4 9" xfId="2808" xr:uid="{00000000-0005-0000-0000-00004F0C0000}"/>
    <cellStyle name="Currency 5 2 4 9 2" xfId="7031" xr:uid="{00000000-0005-0000-0000-0000500C0000}"/>
    <cellStyle name="Currency 5 2 4 9 2 2" xfId="16357" xr:uid="{8FD8D16E-5AB9-43AC-87A5-BC0B05B8E242}"/>
    <cellStyle name="Currency 5 2 4 9 3" xfId="12140" xr:uid="{284FB9EE-F64D-4D3D-B33B-554AE664BFF6}"/>
    <cellStyle name="Currency 5 2 5" xfId="207" xr:uid="{00000000-0005-0000-0000-0000510C0000}"/>
    <cellStyle name="Currency 5 2 5 10" xfId="8975" xr:uid="{3422EC31-C47F-46E0-A50C-FE05B1979387}"/>
    <cellStyle name="Currency 5 2 5 10 2" xfId="18299" xr:uid="{6308B63E-D53C-42A9-87E5-E97DF691376B}"/>
    <cellStyle name="Currency 5 2 5 11" xfId="9759" xr:uid="{0498D14D-5754-4848-B259-73DFBF4266D5}"/>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16535" xr:uid="{A48F254E-39F3-4B15-8888-288494C66C42}"/>
    <cellStyle name="Currency 5 2 5 2 2 3" xfId="12318" xr:uid="{C2C14C6A-CF06-4EEB-A1B9-5FC006457F1B}"/>
    <cellStyle name="Currency 5 2 5 2 3" xfId="5064" xr:uid="{00000000-0005-0000-0000-0000550C0000}"/>
    <cellStyle name="Currency 5 2 5 2 3 2" xfId="14390" xr:uid="{1026ADC1-003A-4297-BBD9-7A5299B1D4F2}"/>
    <cellStyle name="Currency 5 2 5 2 4" xfId="9400" xr:uid="{6620DDCD-05C0-4AFD-8A83-F1190101CCB3}"/>
    <cellStyle name="Currency 5 2 5 2 4 2" xfId="18715" xr:uid="{6FD7DFAD-74AC-4093-8014-3BE7E506C27B}"/>
    <cellStyle name="Currency 5 2 5 2 5" xfId="10173" xr:uid="{CF7454ED-563F-4A84-BA30-DB9CD8860458}"/>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16948" xr:uid="{EBE471CA-3D13-42C2-BB7E-DD6E0A7D5C86}"/>
    <cellStyle name="Currency 5 2 5 3 2 3" xfId="12731" xr:uid="{02FE79F0-134E-441B-AE9F-41B9B5C40A6D}"/>
    <cellStyle name="Currency 5 2 5 3 3" xfId="5477" xr:uid="{00000000-0005-0000-0000-0000590C0000}"/>
    <cellStyle name="Currency 5 2 5 3 3 2" xfId="14803" xr:uid="{23A95563-1892-4053-AAF7-0D3E580B4E75}"/>
    <cellStyle name="Currency 5 2 5 3 4" xfId="10586" xr:uid="{F5F75CD8-E757-4463-A5F7-390E087103A2}"/>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17361" xr:uid="{B020FECB-2007-4362-9EED-0CF7A3E50FED}"/>
    <cellStyle name="Currency 5 2 5 4 2 3" xfId="13144" xr:uid="{DA6B40F2-07C8-49C9-9211-2F830CA01871}"/>
    <cellStyle name="Currency 5 2 5 4 3" xfId="5890" xr:uid="{00000000-0005-0000-0000-00005D0C0000}"/>
    <cellStyle name="Currency 5 2 5 4 3 2" xfId="15216" xr:uid="{EAB40212-D611-4959-9E26-3CE89FD68DDF}"/>
    <cellStyle name="Currency 5 2 5 4 4" xfId="10999" xr:uid="{4FEFB053-0345-48F1-8668-6610195B24D8}"/>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17774" xr:uid="{683C5D19-7F28-49CC-A0F4-66E150D5CB13}"/>
    <cellStyle name="Currency 5 2 5 5 2 3" xfId="13557" xr:uid="{0EE7105A-2499-4628-80E9-A408FD1FE802}"/>
    <cellStyle name="Currency 5 2 5 5 3" xfId="6303" xr:uid="{00000000-0005-0000-0000-0000610C0000}"/>
    <cellStyle name="Currency 5 2 5 5 3 2" xfId="15629" xr:uid="{678F988A-60A7-4E7B-91EB-54886B61C89F}"/>
    <cellStyle name="Currency 5 2 5 5 4" xfId="11412" xr:uid="{476425A3-92FC-4C97-9551-27E361C70CD0}"/>
    <cellStyle name="Currency 5 2 5 6" xfId="2432" xr:uid="{00000000-0005-0000-0000-0000620C0000}"/>
    <cellStyle name="Currency 5 2 5 6 2" xfId="6716" xr:uid="{00000000-0005-0000-0000-0000630C0000}"/>
    <cellStyle name="Currency 5 2 5 6 2 2" xfId="16042" xr:uid="{2287BE2E-0798-4336-9DC3-0F528A693079}"/>
    <cellStyle name="Currency 5 2 5 6 3" xfId="11825" xr:uid="{88026D9A-1EAC-4D5E-B9FA-7DD6AC8161B8}"/>
    <cellStyle name="Currency 5 2 5 7" xfId="2729" xr:uid="{00000000-0005-0000-0000-0000640C0000}"/>
    <cellStyle name="Currency 5 2 5 8" xfId="2810" xr:uid="{00000000-0005-0000-0000-0000650C0000}"/>
    <cellStyle name="Currency 5 2 5 8 2" xfId="7033" xr:uid="{00000000-0005-0000-0000-0000660C0000}"/>
    <cellStyle name="Currency 5 2 5 8 2 2" xfId="16359" xr:uid="{90D33CA7-5CD6-4A81-9253-F1099C46FE0B}"/>
    <cellStyle name="Currency 5 2 5 8 3" xfId="12142" xr:uid="{CFC3F0A8-B6A2-410B-A04C-6EC7F273C510}"/>
    <cellStyle name="Currency 5 2 5 9" xfId="4650" xr:uid="{00000000-0005-0000-0000-0000670C0000}"/>
    <cellStyle name="Currency 5 2 5 9 2" xfId="13976" xr:uid="{084004F9-EA56-4E86-B52B-EEA6CA71EB69}"/>
    <cellStyle name="Currency 5 2 6" xfId="208" xr:uid="{00000000-0005-0000-0000-0000680C0000}"/>
    <cellStyle name="Currency 5 2 6 10" xfId="9178" xr:uid="{19F6D70E-88E4-4E39-A1A9-3FF3D840E2F9}"/>
    <cellStyle name="Currency 5 2 6 10 2" xfId="18496" xr:uid="{5C2D2F6F-8988-4D41-B8A3-69E000AD0BA2}"/>
    <cellStyle name="Currency 5 2 6 11" xfId="9760" xr:uid="{1FC4C15A-98E6-4B55-903D-D99545386AB4}"/>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16536" xr:uid="{35A418E3-E778-4C1F-A5B4-9267ECBA7C7D}"/>
    <cellStyle name="Currency 5 2 6 2 2 3" xfId="12319" xr:uid="{9FB9C0BB-AC8E-4562-8C09-076387ADBD78}"/>
    <cellStyle name="Currency 5 2 6 2 3" xfId="5065" xr:uid="{00000000-0005-0000-0000-00006C0C0000}"/>
    <cellStyle name="Currency 5 2 6 2 3 2" xfId="14391" xr:uid="{B23F0448-20F8-4AA6-8217-4F2916BC70CB}"/>
    <cellStyle name="Currency 5 2 6 2 4" xfId="9599" xr:uid="{C2EE182C-D73D-4E6C-9671-0484CB4E8D68}"/>
    <cellStyle name="Currency 5 2 6 2 4 2" xfId="18903" xr:uid="{C2598ECF-4ABB-4D43-8137-0CD25A4CE1C8}"/>
    <cellStyle name="Currency 5 2 6 2 5" xfId="10174" xr:uid="{B06A9E64-59B5-4F53-AD56-05329806BE2B}"/>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16949" xr:uid="{DFDEB6C1-E594-4328-931E-B93CB20CCE4A}"/>
    <cellStyle name="Currency 5 2 6 3 2 3" xfId="12732" xr:uid="{66E38FD2-C968-4078-8D6A-4C861F82A4B3}"/>
    <cellStyle name="Currency 5 2 6 3 3" xfId="5478" xr:uid="{00000000-0005-0000-0000-0000700C0000}"/>
    <cellStyle name="Currency 5 2 6 3 3 2" xfId="14804" xr:uid="{C1C417BA-CA11-49CE-BDA3-9E63731C8FF7}"/>
    <cellStyle name="Currency 5 2 6 3 4" xfId="10587" xr:uid="{09E5EF27-B9F9-4A4F-99A6-64F96EE934F1}"/>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17362" xr:uid="{53DF99B4-AE9A-484A-9F34-1CE7EBC68DA3}"/>
    <cellStyle name="Currency 5 2 6 4 2 3" xfId="13145" xr:uid="{E2ABA688-4BF8-4DB0-884A-40B3CC05AAEB}"/>
    <cellStyle name="Currency 5 2 6 4 3" xfId="5891" xr:uid="{00000000-0005-0000-0000-0000740C0000}"/>
    <cellStyle name="Currency 5 2 6 4 3 2" xfId="15217" xr:uid="{EDA45923-E8CF-48BE-8B45-6D9636D91E9C}"/>
    <cellStyle name="Currency 5 2 6 4 4" xfId="11000" xr:uid="{FC753C9E-8F6B-4C01-B5F4-2C2FF77ABF89}"/>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17775" xr:uid="{81A833F4-3171-4620-BF2B-C99F801B8538}"/>
    <cellStyle name="Currency 5 2 6 5 2 3" xfId="13558" xr:uid="{F30DF3D7-C969-4B94-8811-207A41D744EE}"/>
    <cellStyle name="Currency 5 2 6 5 3" xfId="6304" xr:uid="{00000000-0005-0000-0000-0000780C0000}"/>
    <cellStyle name="Currency 5 2 6 5 3 2" xfId="15630" xr:uid="{70134696-F66F-4732-A5FD-3F36E2033339}"/>
    <cellStyle name="Currency 5 2 6 5 4" xfId="11413" xr:uid="{C0950230-67D3-458C-9DB4-E3F54DFCC93E}"/>
    <cellStyle name="Currency 5 2 6 6" xfId="2433" xr:uid="{00000000-0005-0000-0000-0000790C0000}"/>
    <cellStyle name="Currency 5 2 6 6 2" xfId="6717" xr:uid="{00000000-0005-0000-0000-00007A0C0000}"/>
    <cellStyle name="Currency 5 2 6 6 2 2" xfId="16043" xr:uid="{82ACFEEE-C245-4191-9788-874F4EF5A3FA}"/>
    <cellStyle name="Currency 5 2 6 6 3" xfId="11826" xr:uid="{C283B1AA-2D73-4142-BEF5-609665469C6A}"/>
    <cellStyle name="Currency 5 2 6 7" xfId="2730" xr:uid="{00000000-0005-0000-0000-00007B0C0000}"/>
    <cellStyle name="Currency 5 2 6 8" xfId="2811" xr:uid="{00000000-0005-0000-0000-00007C0C0000}"/>
    <cellStyle name="Currency 5 2 6 8 2" xfId="7034" xr:uid="{00000000-0005-0000-0000-00007D0C0000}"/>
    <cellStyle name="Currency 5 2 6 8 2 2" xfId="16360" xr:uid="{8A2DF07F-D3D9-4BDB-9873-766AFDFAE3ED}"/>
    <cellStyle name="Currency 5 2 6 8 3" xfId="12143" xr:uid="{8119F80E-430A-4344-8F0F-1EEB20D4681A}"/>
    <cellStyle name="Currency 5 2 6 9" xfId="4651" xr:uid="{00000000-0005-0000-0000-00007E0C0000}"/>
    <cellStyle name="Currency 5 2 6 9 2" xfId="13977" xr:uid="{8E603666-DE6F-47D4-A755-7FD4E022E3BF}"/>
    <cellStyle name="Currency 5 2 7" xfId="722" xr:uid="{00000000-0005-0000-0000-00007F0C0000}"/>
    <cellStyle name="Currency 5 2 8" xfId="8756" xr:uid="{D16196A2-D0A3-46A2-9B14-6B017B4CC82F}"/>
    <cellStyle name="Currency 5 2 8 2" xfId="18080" xr:uid="{B5D8D721-63B7-4ABE-8EC2-91052D89F459}"/>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16361" xr:uid="{A4E8B62F-8FC8-4BB0-8D88-CB137E94AE85}"/>
    <cellStyle name="Currency 5 3 2 10 3" xfId="12144" xr:uid="{9B30324D-99E0-4426-AB5A-CB7C3F0042CB}"/>
    <cellStyle name="Currency 5 3 2 11" xfId="4652" xr:uid="{00000000-0005-0000-0000-0000840C0000}"/>
    <cellStyle name="Currency 5 3 2 11 2" xfId="13978" xr:uid="{78B63093-AE11-425C-8BAB-7D2E9EAC09BF}"/>
    <cellStyle name="Currency 5 3 2 12" xfId="8810" xr:uid="{C5234FF9-D509-4CD8-ADA1-D3604CCF3D1F}"/>
    <cellStyle name="Currency 5 3 2 12 2" xfId="18134" xr:uid="{07803BCF-F6B0-4B2F-8942-19D73C34FFC2}"/>
    <cellStyle name="Currency 5 3 2 13" xfId="9761" xr:uid="{EB3B6ED5-DD5C-48EB-8665-22391EF59F55}"/>
    <cellStyle name="Currency 5 3 2 2" xfId="211" xr:uid="{00000000-0005-0000-0000-0000850C0000}"/>
    <cellStyle name="Currency 5 3 2 2 10" xfId="4653" xr:uid="{00000000-0005-0000-0000-0000860C0000}"/>
    <cellStyle name="Currency 5 3 2 2 10 2" xfId="13979" xr:uid="{35D2A9C9-A542-4F34-837A-CDD10CBF52EC}"/>
    <cellStyle name="Currency 5 3 2 2 11" xfId="8913" xr:uid="{FE033F82-2F16-4925-9899-F927AB9AA612}"/>
    <cellStyle name="Currency 5 3 2 2 11 2" xfId="18237" xr:uid="{DC1A5A47-5EBF-49EE-8D0A-3AB6509113EB}"/>
    <cellStyle name="Currency 5 3 2 2 12" xfId="9762" xr:uid="{2EB08F5C-2E61-43CC-A9C5-C775534E3666}"/>
    <cellStyle name="Currency 5 3 2 2 2" xfId="212" xr:uid="{00000000-0005-0000-0000-0000870C0000}"/>
    <cellStyle name="Currency 5 3 2 2 2 10" xfId="9120" xr:uid="{D5536A1F-8418-4CB5-B1E0-470AD716374A}"/>
    <cellStyle name="Currency 5 3 2 2 2 10 2" xfId="18444" xr:uid="{D7884EF6-1A85-43AD-B660-3A39983418CB}"/>
    <cellStyle name="Currency 5 3 2 2 2 11" xfId="9763" xr:uid="{20775689-709C-4323-A5F9-70C18FEE48B1}"/>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16539" xr:uid="{27B81404-012B-43F2-AD58-30EADCA0A9D2}"/>
    <cellStyle name="Currency 5 3 2 2 2 2 2 3" xfId="12322" xr:uid="{E483B4BB-B50D-46A5-BED1-2F75D3BEE62E}"/>
    <cellStyle name="Currency 5 3 2 2 2 2 3" xfId="5068" xr:uid="{00000000-0005-0000-0000-00008B0C0000}"/>
    <cellStyle name="Currency 5 3 2 2 2 2 3 2" xfId="14394" xr:uid="{F7789BFD-ECF2-41BA-ABA3-3523E4BB5F29}"/>
    <cellStyle name="Currency 5 3 2 2 2 2 4" xfId="9545" xr:uid="{F6C268D6-0334-42F7-AE4F-535ADD09B625}"/>
    <cellStyle name="Currency 5 3 2 2 2 2 4 2" xfId="18860" xr:uid="{E9CC15AA-4BDD-42AF-A918-941AA30D850C}"/>
    <cellStyle name="Currency 5 3 2 2 2 2 5" xfId="10177" xr:uid="{2D1FDD7B-D713-4D2A-AF9E-D8B30BAAE613}"/>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16952" xr:uid="{8327F31E-8E79-4A79-BE27-8EA1D0C9B1AA}"/>
    <cellStyle name="Currency 5 3 2 2 2 3 2 3" xfId="12735" xr:uid="{860574AD-3078-47BC-B4F3-4DDFDD6A486A}"/>
    <cellStyle name="Currency 5 3 2 2 2 3 3" xfId="5481" xr:uid="{00000000-0005-0000-0000-00008F0C0000}"/>
    <cellStyle name="Currency 5 3 2 2 2 3 3 2" xfId="14807" xr:uid="{A6480CAD-F063-4F9B-A6D0-8530FA687142}"/>
    <cellStyle name="Currency 5 3 2 2 2 3 4" xfId="10590" xr:uid="{01F96E3D-487A-4759-B4D4-4C87ED3F450E}"/>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17365" xr:uid="{32A223C9-858D-432A-A66B-0E1B7D17BE10}"/>
    <cellStyle name="Currency 5 3 2 2 2 4 2 3" xfId="13148" xr:uid="{E341503D-B407-4D4F-AA51-946A4676179A}"/>
    <cellStyle name="Currency 5 3 2 2 2 4 3" xfId="5894" xr:uid="{00000000-0005-0000-0000-0000930C0000}"/>
    <cellStyle name="Currency 5 3 2 2 2 4 3 2" xfId="15220" xr:uid="{4C59375C-8356-48DB-88A9-AC84EF3E3C76}"/>
    <cellStyle name="Currency 5 3 2 2 2 4 4" xfId="11003" xr:uid="{F38B1447-29E4-4618-B860-9B8FD22D14C7}"/>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17778" xr:uid="{10246F62-F854-498C-A208-AA634919DFB3}"/>
    <cellStyle name="Currency 5 3 2 2 2 5 2 3" xfId="13561" xr:uid="{B243DFEC-88B9-483A-9CCC-B07DD7D71125}"/>
    <cellStyle name="Currency 5 3 2 2 2 5 3" xfId="6307" xr:uid="{00000000-0005-0000-0000-0000970C0000}"/>
    <cellStyle name="Currency 5 3 2 2 2 5 3 2" xfId="15633" xr:uid="{77CD65EB-7B01-4FCF-9DDD-A39E9BCD7F38}"/>
    <cellStyle name="Currency 5 3 2 2 2 5 4" xfId="11416" xr:uid="{D3EE4C01-937F-4F8C-8929-8DF9DE194B00}"/>
    <cellStyle name="Currency 5 3 2 2 2 6" xfId="2436" xr:uid="{00000000-0005-0000-0000-0000980C0000}"/>
    <cellStyle name="Currency 5 3 2 2 2 6 2" xfId="6720" xr:uid="{00000000-0005-0000-0000-0000990C0000}"/>
    <cellStyle name="Currency 5 3 2 2 2 6 2 2" xfId="16046" xr:uid="{43ED5099-71A7-426D-934C-44FE99FE17FD}"/>
    <cellStyle name="Currency 5 3 2 2 2 6 3" xfId="11829" xr:uid="{47400A2E-4F75-4532-9627-1B8D85013A7D}"/>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16363" xr:uid="{C8FF279D-F08F-4F0F-A235-B913B9377033}"/>
    <cellStyle name="Currency 5 3 2 2 2 8 3" xfId="12146" xr:uid="{2EF2B978-F05C-44C7-AD59-8A267DC685BB}"/>
    <cellStyle name="Currency 5 3 2 2 2 9" xfId="4654" xr:uid="{00000000-0005-0000-0000-00009D0C0000}"/>
    <cellStyle name="Currency 5 3 2 2 2 9 2" xfId="13980" xr:uid="{D0408343-F63E-4BC3-A966-F79D7DA080F5}"/>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16538" xr:uid="{1956FD07-F395-4A8C-A4D7-476611CB9EE7}"/>
    <cellStyle name="Currency 5 3 2 2 3 2 3" xfId="12321" xr:uid="{D06C3169-319A-40F0-8520-B26EADC3392A}"/>
    <cellStyle name="Currency 5 3 2 2 3 3" xfId="5067" xr:uid="{00000000-0005-0000-0000-0000A10C0000}"/>
    <cellStyle name="Currency 5 3 2 2 3 3 2" xfId="14393" xr:uid="{615FD2A8-5F93-4197-A9D7-A17E2DE3F619}"/>
    <cellStyle name="Currency 5 3 2 2 3 4" xfId="9338" xr:uid="{E79296CA-9516-4DDA-84B2-A3B13AAA9D9D}"/>
    <cellStyle name="Currency 5 3 2 2 3 4 2" xfId="18653" xr:uid="{05007FE7-F91A-4B3C-BEDF-BA9EBE5473A8}"/>
    <cellStyle name="Currency 5 3 2 2 3 5" xfId="10176" xr:uid="{F290484A-A968-4401-8BB2-10C06464360E}"/>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16951" xr:uid="{027DBAEC-060C-4F8A-8A91-111A5E1B0A14}"/>
    <cellStyle name="Currency 5 3 2 2 4 2 3" xfId="12734" xr:uid="{0D60630D-B526-401F-AC21-DAFCDC36C6BE}"/>
    <cellStyle name="Currency 5 3 2 2 4 3" xfId="5480" xr:uid="{00000000-0005-0000-0000-0000A50C0000}"/>
    <cellStyle name="Currency 5 3 2 2 4 3 2" xfId="14806" xr:uid="{9EBA8E4C-B957-4F55-80F6-83DDEF105F42}"/>
    <cellStyle name="Currency 5 3 2 2 4 4" xfId="10589" xr:uid="{5756E13B-2736-4578-A3E9-B063779A5A2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17364" xr:uid="{477F65DE-5B28-4A91-ABBD-AE16E5A2D9D8}"/>
    <cellStyle name="Currency 5 3 2 2 5 2 3" xfId="13147" xr:uid="{55DF424E-7C1A-447C-88BC-0415B2AEDC71}"/>
    <cellStyle name="Currency 5 3 2 2 5 3" xfId="5893" xr:uid="{00000000-0005-0000-0000-0000A90C0000}"/>
    <cellStyle name="Currency 5 3 2 2 5 3 2" xfId="15219" xr:uid="{6360C787-7768-4632-A056-B1B778AB2879}"/>
    <cellStyle name="Currency 5 3 2 2 5 4" xfId="11002" xr:uid="{F2D30B0C-07D7-4C76-9E52-58DEFF425E2E}"/>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17777" xr:uid="{53371845-28D3-4ED7-A20B-4F4F747B1CB1}"/>
    <cellStyle name="Currency 5 3 2 2 6 2 3" xfId="13560" xr:uid="{1D7357EF-717B-4F5B-BD80-F14183A41156}"/>
    <cellStyle name="Currency 5 3 2 2 6 3" xfId="6306" xr:uid="{00000000-0005-0000-0000-0000AD0C0000}"/>
    <cellStyle name="Currency 5 3 2 2 6 3 2" xfId="15632" xr:uid="{A91C52A6-DC07-4AFE-B1BD-F074A54B6603}"/>
    <cellStyle name="Currency 5 3 2 2 6 4" xfId="11415" xr:uid="{7A995C8C-2E21-4A27-8696-35B67FBB6DA6}"/>
    <cellStyle name="Currency 5 3 2 2 7" xfId="2435" xr:uid="{00000000-0005-0000-0000-0000AE0C0000}"/>
    <cellStyle name="Currency 5 3 2 2 7 2" xfId="6719" xr:uid="{00000000-0005-0000-0000-0000AF0C0000}"/>
    <cellStyle name="Currency 5 3 2 2 7 2 2" xfId="16045" xr:uid="{B54537B1-436C-455C-8798-F7837B9AB158}"/>
    <cellStyle name="Currency 5 3 2 2 7 3" xfId="11828" xr:uid="{1CA5E52D-BDCB-41BD-8EE2-C550965F5D60}"/>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16362" xr:uid="{01563810-0850-4C60-9A6E-F51726ED849F}"/>
    <cellStyle name="Currency 5 3 2 2 9 3" xfId="12145" xr:uid="{0A921BFF-B20F-497C-9B66-09D61D9608D6}"/>
    <cellStyle name="Currency 5 3 2 3" xfId="213" xr:uid="{00000000-0005-0000-0000-0000B30C0000}"/>
    <cellStyle name="Currency 5 3 2 3 10" xfId="9017" xr:uid="{A6213F8D-EE09-4095-B9BE-99C55DEE210F}"/>
    <cellStyle name="Currency 5 3 2 3 10 2" xfId="18341" xr:uid="{ADA196E8-4E1D-4A90-AF48-27A97A31203D}"/>
    <cellStyle name="Currency 5 3 2 3 11" xfId="9764" xr:uid="{AA00E8BA-36E9-40C0-89BC-FAF9B3AF1504}"/>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16540" xr:uid="{ED9BE0E6-1551-4479-B138-5E5058D7F53E}"/>
    <cellStyle name="Currency 5 3 2 3 2 2 3" xfId="12323" xr:uid="{609BC5DD-A531-490B-ACDC-DBBB8AFA5BEC}"/>
    <cellStyle name="Currency 5 3 2 3 2 3" xfId="5069" xr:uid="{00000000-0005-0000-0000-0000B70C0000}"/>
    <cellStyle name="Currency 5 3 2 3 2 3 2" xfId="14395" xr:uid="{86C32EBD-1AB9-4B24-9FFF-FB02C6184BF2}"/>
    <cellStyle name="Currency 5 3 2 3 2 4" xfId="9442" xr:uid="{AE48BD1F-B5DA-4007-BBEE-128FE2FE74D7}"/>
    <cellStyle name="Currency 5 3 2 3 2 4 2" xfId="18757" xr:uid="{BEF8216D-AB1F-40CC-A9E4-6BB892C2A92E}"/>
    <cellStyle name="Currency 5 3 2 3 2 5" xfId="10178" xr:uid="{1AD3E001-F288-48A9-B9AC-CDDDD6B83D4C}"/>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16953" xr:uid="{40EF8D0C-48DF-4D97-A8B1-9D39E51CB55A}"/>
    <cellStyle name="Currency 5 3 2 3 3 2 3" xfId="12736" xr:uid="{751E673D-1A69-4E6C-9044-D6E263DFE6CA}"/>
    <cellStyle name="Currency 5 3 2 3 3 3" xfId="5482" xr:uid="{00000000-0005-0000-0000-0000BB0C0000}"/>
    <cellStyle name="Currency 5 3 2 3 3 3 2" xfId="14808" xr:uid="{E6E8114D-19B8-4472-A5BE-F5A9117EEB0E}"/>
    <cellStyle name="Currency 5 3 2 3 3 4" xfId="10591" xr:uid="{53BBF59B-7516-4BF5-9119-29114D1F08AB}"/>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17366" xr:uid="{0A5B0A9C-EE81-4DAE-B5F2-A4F67B6C9FC8}"/>
    <cellStyle name="Currency 5 3 2 3 4 2 3" xfId="13149" xr:uid="{C127D328-A673-4C76-BA64-F85B6D3C9206}"/>
    <cellStyle name="Currency 5 3 2 3 4 3" xfId="5895" xr:uid="{00000000-0005-0000-0000-0000BF0C0000}"/>
    <cellStyle name="Currency 5 3 2 3 4 3 2" xfId="15221" xr:uid="{2C75E392-EDC2-44E1-A4F1-C30CCB31FA40}"/>
    <cellStyle name="Currency 5 3 2 3 4 4" xfId="11004" xr:uid="{0FB248EC-92C1-4579-A6BB-DD9A6731BBF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17779" xr:uid="{F4D3FB17-FEDF-418D-BCE7-6EFF2269E48E}"/>
    <cellStyle name="Currency 5 3 2 3 5 2 3" xfId="13562" xr:uid="{6CA389ED-EF1E-430F-BD8B-64E303B98A92}"/>
    <cellStyle name="Currency 5 3 2 3 5 3" xfId="6308" xr:uid="{00000000-0005-0000-0000-0000C30C0000}"/>
    <cellStyle name="Currency 5 3 2 3 5 3 2" xfId="15634" xr:uid="{738B5B8F-C3D3-414A-AD6F-BD7CD3817D71}"/>
    <cellStyle name="Currency 5 3 2 3 5 4" xfId="11417" xr:uid="{ADC95BD3-C66C-4D92-AA5E-80595F0C2C44}"/>
    <cellStyle name="Currency 5 3 2 3 6" xfId="2437" xr:uid="{00000000-0005-0000-0000-0000C40C0000}"/>
    <cellStyle name="Currency 5 3 2 3 6 2" xfId="6721" xr:uid="{00000000-0005-0000-0000-0000C50C0000}"/>
    <cellStyle name="Currency 5 3 2 3 6 2 2" xfId="16047" xr:uid="{F9E38DA2-2021-4BB0-8E77-D4CCC885EDDB}"/>
    <cellStyle name="Currency 5 3 2 3 6 3" xfId="11830" xr:uid="{4CC812DD-EB78-4699-A5DC-C84D3C7E2882}"/>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16364" xr:uid="{29BA28BA-0892-4178-B35B-8625D7271D4D}"/>
    <cellStyle name="Currency 5 3 2 3 8 3" xfId="12147" xr:uid="{69A6035E-93AF-4A21-91D1-012829E826C1}"/>
    <cellStyle name="Currency 5 3 2 3 9" xfId="4655" xr:uid="{00000000-0005-0000-0000-0000C90C0000}"/>
    <cellStyle name="Currency 5 3 2 3 9 2" xfId="13981" xr:uid="{BA5F992E-DB5F-4719-8B46-C5FA6C27A90B}"/>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16537" xr:uid="{E155345C-FDDE-4A47-B509-09126CB42955}"/>
    <cellStyle name="Currency 5 3 2 4 2 3" xfId="12320" xr:uid="{5C9FDC8B-0515-40E1-8292-86489BFDE028}"/>
    <cellStyle name="Currency 5 3 2 4 3" xfId="5066" xr:uid="{00000000-0005-0000-0000-0000CD0C0000}"/>
    <cellStyle name="Currency 5 3 2 4 3 2" xfId="14392" xr:uid="{C78529E7-48E0-4E8B-998C-0E60FAB4E085}"/>
    <cellStyle name="Currency 5 3 2 4 4" xfId="9235" xr:uid="{F2FD4117-6EF1-4663-964A-AB5B57E6F469}"/>
    <cellStyle name="Currency 5 3 2 4 4 2" xfId="18550" xr:uid="{1BAAC12F-29A2-44DD-BF05-2929C80EA6E4}"/>
    <cellStyle name="Currency 5 3 2 4 5" xfId="10175" xr:uid="{6ED247B4-F9DD-47E4-8CEE-182DCF668815}"/>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16950" xr:uid="{74A4C43A-F018-4554-ADC3-F75C1A2D7609}"/>
    <cellStyle name="Currency 5 3 2 5 2 3" xfId="12733" xr:uid="{FE3EFA29-AEEB-48B4-AED8-22E7345829D1}"/>
    <cellStyle name="Currency 5 3 2 5 3" xfId="5479" xr:uid="{00000000-0005-0000-0000-0000D10C0000}"/>
    <cellStyle name="Currency 5 3 2 5 3 2" xfId="14805" xr:uid="{0CCA5D79-EB86-43F0-8761-93631FC38ED1}"/>
    <cellStyle name="Currency 5 3 2 5 4" xfId="10588" xr:uid="{56FDDC5C-4B27-4592-B9A2-A3358980275E}"/>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17363" xr:uid="{BAE132E6-AB6B-465C-9B91-5F5A87286DB7}"/>
    <cellStyle name="Currency 5 3 2 6 2 3" xfId="13146" xr:uid="{930CE756-AEC6-4AFD-9339-61394A907742}"/>
    <cellStyle name="Currency 5 3 2 6 3" xfId="5892" xr:uid="{00000000-0005-0000-0000-0000D50C0000}"/>
    <cellStyle name="Currency 5 3 2 6 3 2" xfId="15218" xr:uid="{65F5166E-68F5-42DF-B3B0-E2C2A49948F7}"/>
    <cellStyle name="Currency 5 3 2 6 4" xfId="11001" xr:uid="{2C48A867-6FEE-46B6-963B-D689D7C3019D}"/>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17776" xr:uid="{4CD9562A-930E-4816-BE46-BAC7AC9E2CAC}"/>
    <cellStyle name="Currency 5 3 2 7 2 3" xfId="13559" xr:uid="{D13E50ED-F908-4030-960F-18BB0E593884}"/>
    <cellStyle name="Currency 5 3 2 7 3" xfId="6305" xr:uid="{00000000-0005-0000-0000-0000D90C0000}"/>
    <cellStyle name="Currency 5 3 2 7 3 2" xfId="15631" xr:uid="{9095F0F1-A76E-48F4-9D76-56365F41F7D2}"/>
    <cellStyle name="Currency 5 3 2 7 4" xfId="11414" xr:uid="{C414A469-660B-4EFA-A0A7-8E4B805FDF4F}"/>
    <cellStyle name="Currency 5 3 2 8" xfId="2434" xr:uid="{00000000-0005-0000-0000-0000DA0C0000}"/>
    <cellStyle name="Currency 5 3 2 8 2" xfId="6718" xr:uid="{00000000-0005-0000-0000-0000DB0C0000}"/>
    <cellStyle name="Currency 5 3 2 8 2 2" xfId="16044" xr:uid="{0E68454C-F42F-49AC-B6E1-10CD3D011B4B}"/>
    <cellStyle name="Currency 5 3 2 8 3" xfId="11827" xr:uid="{61AAF646-68D2-46B5-9F79-CC7D46BCB9E0}"/>
    <cellStyle name="Currency 5 3 2 9" xfId="2731" xr:uid="{00000000-0005-0000-0000-0000DC0C0000}"/>
    <cellStyle name="Currency 5 3 3" xfId="214" xr:uid="{00000000-0005-0000-0000-0000DD0C0000}"/>
    <cellStyle name="Currency 5 3 3 10" xfId="4656" xr:uid="{00000000-0005-0000-0000-0000DE0C0000}"/>
    <cellStyle name="Currency 5 3 3 10 2" xfId="13982" xr:uid="{806891D8-77E8-4EF0-98C7-7C13071CBD62}"/>
    <cellStyle name="Currency 5 3 3 11" xfId="8882" xr:uid="{A86B3ED4-B552-42F3-9E77-C6763F86EEE6}"/>
    <cellStyle name="Currency 5 3 3 11 2" xfId="18206" xr:uid="{563DC934-291C-414A-8A0B-8C961A08571B}"/>
    <cellStyle name="Currency 5 3 3 12" xfId="9765" xr:uid="{2CA1F457-83EC-4930-B1DC-B7B0D1C30E46}"/>
    <cellStyle name="Currency 5 3 3 2" xfId="215" xr:uid="{00000000-0005-0000-0000-0000DF0C0000}"/>
    <cellStyle name="Currency 5 3 3 2 10" xfId="9089" xr:uid="{7CFB8DCC-02AE-4CC5-8E10-3D33399ECECE}"/>
    <cellStyle name="Currency 5 3 3 2 10 2" xfId="18413" xr:uid="{FC615F31-7924-401A-80AB-0383E0BB99D6}"/>
    <cellStyle name="Currency 5 3 3 2 11" xfId="9766" xr:uid="{CAA30E5B-424E-4AD2-AB2E-8931B0620E28}"/>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16542" xr:uid="{67865680-680F-42BD-9FDF-7E1865869198}"/>
    <cellStyle name="Currency 5 3 3 2 2 2 3" xfId="12325" xr:uid="{C2F98983-DDA9-49F4-B508-62A2611A718C}"/>
    <cellStyle name="Currency 5 3 3 2 2 3" xfId="5071" xr:uid="{00000000-0005-0000-0000-0000E30C0000}"/>
    <cellStyle name="Currency 5 3 3 2 2 3 2" xfId="14397" xr:uid="{C4A4A565-DC0C-42C4-8F1B-3933AD92B4ED}"/>
    <cellStyle name="Currency 5 3 3 2 2 4" xfId="9514" xr:uid="{9A504F43-6423-4200-B7AF-F17B65B2005C}"/>
    <cellStyle name="Currency 5 3 3 2 2 4 2" xfId="18829" xr:uid="{57CEB51B-86B6-4571-BD6B-8D5FB865AE4B}"/>
    <cellStyle name="Currency 5 3 3 2 2 5" xfId="10180" xr:uid="{9B9ADF7B-EE51-4B64-96A8-3C27662EDCCD}"/>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16955" xr:uid="{549A4353-28B5-4DA4-8671-66BF62CFFBCD}"/>
    <cellStyle name="Currency 5 3 3 2 3 2 3" xfId="12738" xr:uid="{E1BB26FB-7944-4A65-BFF2-4AEF64772EED}"/>
    <cellStyle name="Currency 5 3 3 2 3 3" xfId="5484" xr:uid="{00000000-0005-0000-0000-0000E70C0000}"/>
    <cellStyle name="Currency 5 3 3 2 3 3 2" xfId="14810" xr:uid="{FAB57319-2715-4342-9CC5-2C06759B080B}"/>
    <cellStyle name="Currency 5 3 3 2 3 4" xfId="10593" xr:uid="{DA2799A5-8BBC-4A9D-A293-3EC3EECA4415}"/>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17368" xr:uid="{03A1A37C-8ACC-47C8-8451-518D4718A4FE}"/>
    <cellStyle name="Currency 5 3 3 2 4 2 3" xfId="13151" xr:uid="{8AE1CCF4-95ED-4D02-8EDD-725017E5CD57}"/>
    <cellStyle name="Currency 5 3 3 2 4 3" xfId="5897" xr:uid="{00000000-0005-0000-0000-0000EB0C0000}"/>
    <cellStyle name="Currency 5 3 3 2 4 3 2" xfId="15223" xr:uid="{6B4834C7-A8E0-488B-8679-B3F6719E0520}"/>
    <cellStyle name="Currency 5 3 3 2 4 4" xfId="11006" xr:uid="{7241F995-D5BC-4523-96CC-C7E6E6DACD9F}"/>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17781" xr:uid="{A9B00E0A-CB0F-42F2-88A3-E1C4F57C44E3}"/>
    <cellStyle name="Currency 5 3 3 2 5 2 3" xfId="13564" xr:uid="{0A756628-274A-427D-B720-728CFCAF0984}"/>
    <cellStyle name="Currency 5 3 3 2 5 3" xfId="6310" xr:uid="{00000000-0005-0000-0000-0000EF0C0000}"/>
    <cellStyle name="Currency 5 3 3 2 5 3 2" xfId="15636" xr:uid="{6F184504-38BC-4196-A390-CFF6E91D9DC9}"/>
    <cellStyle name="Currency 5 3 3 2 5 4" xfId="11419" xr:uid="{53944A13-28A0-4764-92AC-BCBBAC485E0A}"/>
    <cellStyle name="Currency 5 3 3 2 6" xfId="2439" xr:uid="{00000000-0005-0000-0000-0000F00C0000}"/>
    <cellStyle name="Currency 5 3 3 2 6 2" xfId="6723" xr:uid="{00000000-0005-0000-0000-0000F10C0000}"/>
    <cellStyle name="Currency 5 3 3 2 6 2 2" xfId="16049" xr:uid="{67AE955D-77D1-4D02-9681-BF153634F8D4}"/>
    <cellStyle name="Currency 5 3 3 2 6 3" xfId="11832" xr:uid="{C888CE41-51B5-421B-9106-CB5949BC2AB0}"/>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16366" xr:uid="{C223B490-4273-4DF3-8550-78FB87B279D2}"/>
    <cellStyle name="Currency 5 3 3 2 8 3" xfId="12149" xr:uid="{B698FEAF-3720-4575-9893-ABC47219628A}"/>
    <cellStyle name="Currency 5 3 3 2 9" xfId="4657" xr:uid="{00000000-0005-0000-0000-0000F50C0000}"/>
    <cellStyle name="Currency 5 3 3 2 9 2" xfId="13983" xr:uid="{C07B3DDB-9C17-4567-B655-7B4AA4C3EF2F}"/>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16541" xr:uid="{F5994F63-E4D2-4002-9A11-8495C4B20B62}"/>
    <cellStyle name="Currency 5 3 3 3 2 3" xfId="12324" xr:uid="{6AB7B321-12E4-4599-AB74-AF4A01329AD5}"/>
    <cellStyle name="Currency 5 3 3 3 3" xfId="5070" xr:uid="{00000000-0005-0000-0000-0000F90C0000}"/>
    <cellStyle name="Currency 5 3 3 3 3 2" xfId="14396" xr:uid="{D81A49A6-BA59-41B2-BE6B-C6629A7AB54C}"/>
    <cellStyle name="Currency 5 3 3 3 4" xfId="9307" xr:uid="{3F0512A0-B779-46E4-A963-62E327C6AC5F}"/>
    <cellStyle name="Currency 5 3 3 3 4 2" xfId="18622" xr:uid="{A3D5023A-1351-4167-A422-958003236223}"/>
    <cellStyle name="Currency 5 3 3 3 5" xfId="10179" xr:uid="{B5646022-F021-4CBF-94A7-97336C342195}"/>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16954" xr:uid="{1214A654-077A-475B-923D-662D7232BFD2}"/>
    <cellStyle name="Currency 5 3 3 4 2 3" xfId="12737" xr:uid="{AE4A8278-CFE6-43C3-8B0B-87565284C7A4}"/>
    <cellStyle name="Currency 5 3 3 4 3" xfId="5483" xr:uid="{00000000-0005-0000-0000-0000FD0C0000}"/>
    <cellStyle name="Currency 5 3 3 4 3 2" xfId="14809" xr:uid="{A575289B-FF03-483A-AD2C-2034324299B2}"/>
    <cellStyle name="Currency 5 3 3 4 4" xfId="10592" xr:uid="{1AABAD11-6541-46A0-9FB4-D01C564810E3}"/>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17367" xr:uid="{D8929C68-0602-45E7-913C-7765048E998A}"/>
    <cellStyle name="Currency 5 3 3 5 2 3" xfId="13150" xr:uid="{38A10F61-9F54-4AE6-8975-3264C427B9F4}"/>
    <cellStyle name="Currency 5 3 3 5 3" xfId="5896" xr:uid="{00000000-0005-0000-0000-0000010D0000}"/>
    <cellStyle name="Currency 5 3 3 5 3 2" xfId="15222" xr:uid="{2092161F-45AF-4267-933B-4BCAD5CA9576}"/>
    <cellStyle name="Currency 5 3 3 5 4" xfId="11005" xr:uid="{FA151E33-FA67-4A47-953C-9B2C90EFE4F5}"/>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17780" xr:uid="{6E40A879-5492-4848-A856-ACF822DB16A6}"/>
    <cellStyle name="Currency 5 3 3 6 2 3" xfId="13563" xr:uid="{971488DA-FE5B-438D-BD19-5F8E89D48AD3}"/>
    <cellStyle name="Currency 5 3 3 6 3" xfId="6309" xr:uid="{00000000-0005-0000-0000-0000050D0000}"/>
    <cellStyle name="Currency 5 3 3 6 3 2" xfId="15635" xr:uid="{D0D35214-44AF-41AD-8AD7-0A897A2982D9}"/>
    <cellStyle name="Currency 5 3 3 6 4" xfId="11418" xr:uid="{E67CD5E2-0363-4B6E-B7D4-706929D26747}"/>
    <cellStyle name="Currency 5 3 3 7" xfId="2438" xr:uid="{00000000-0005-0000-0000-0000060D0000}"/>
    <cellStyle name="Currency 5 3 3 7 2" xfId="6722" xr:uid="{00000000-0005-0000-0000-0000070D0000}"/>
    <cellStyle name="Currency 5 3 3 7 2 2" xfId="16048" xr:uid="{851C5C4D-2240-4C63-A416-4DCD78736E07}"/>
    <cellStyle name="Currency 5 3 3 7 3" xfId="11831" xr:uid="{EC2D6D79-518A-4523-B346-04518C86BC41}"/>
    <cellStyle name="Currency 5 3 3 8" xfId="2735" xr:uid="{00000000-0005-0000-0000-0000080D0000}"/>
    <cellStyle name="Currency 5 3 3 9" xfId="2816" xr:uid="{00000000-0005-0000-0000-0000090D0000}"/>
    <cellStyle name="Currency 5 3 3 9 2" xfId="7039" xr:uid="{00000000-0005-0000-0000-00000A0D0000}"/>
    <cellStyle name="Currency 5 3 3 9 2 2" xfId="16365" xr:uid="{330BB62D-1DD1-4559-8EA5-684AE8BBFBD9}"/>
    <cellStyle name="Currency 5 3 3 9 3" xfId="12148" xr:uid="{A2EBDA0A-5243-4C39-815D-4580353BA4FA}"/>
    <cellStyle name="Currency 5 3 4" xfId="216" xr:uid="{00000000-0005-0000-0000-00000B0D0000}"/>
    <cellStyle name="Currency 5 3 4 10" xfId="8986" xr:uid="{4F6CFA4A-F10A-4043-AD92-C0A3F7F06459}"/>
    <cellStyle name="Currency 5 3 4 10 2" xfId="18310" xr:uid="{3C8355E8-8690-4C4C-8A96-C1385DF6DD8C}"/>
    <cellStyle name="Currency 5 3 4 11" xfId="9767" xr:uid="{FC1D9935-F179-41E1-9EBC-8665140A101B}"/>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16543" xr:uid="{DCAD8DF3-2D65-4511-9983-044C9BF5F445}"/>
    <cellStyle name="Currency 5 3 4 2 2 3" xfId="12326" xr:uid="{097D56E6-FA2C-4F78-916D-BB6B84EF813A}"/>
    <cellStyle name="Currency 5 3 4 2 3" xfId="5072" xr:uid="{00000000-0005-0000-0000-00000F0D0000}"/>
    <cellStyle name="Currency 5 3 4 2 3 2" xfId="14398" xr:uid="{76506F6D-58C8-4179-B298-AF43FFA81A11}"/>
    <cellStyle name="Currency 5 3 4 2 4" xfId="9411" xr:uid="{2729DEB6-408B-463E-B468-91D932C31FD7}"/>
    <cellStyle name="Currency 5 3 4 2 4 2" xfId="18726" xr:uid="{7C42AB13-B5A6-4D7E-B47C-F56BD79B98AB}"/>
    <cellStyle name="Currency 5 3 4 2 5" xfId="10181" xr:uid="{E56F5C49-E2F1-48A5-A294-7C3049D111CC}"/>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16956" xr:uid="{D76B5C65-CD29-4CBF-A82F-4CEE19A386B3}"/>
    <cellStyle name="Currency 5 3 4 3 2 3" xfId="12739" xr:uid="{CD700AB4-0CCC-494B-ADB2-9FD657681BDA}"/>
    <cellStyle name="Currency 5 3 4 3 3" xfId="5485" xr:uid="{00000000-0005-0000-0000-0000130D0000}"/>
    <cellStyle name="Currency 5 3 4 3 3 2" xfId="14811" xr:uid="{852AC49F-8BF2-4762-BC14-946BAB30B34A}"/>
    <cellStyle name="Currency 5 3 4 3 4" xfId="10594" xr:uid="{07DFD4AC-3646-46FB-B9D0-4D4C8F1927E1}"/>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17369" xr:uid="{E457CA92-73BB-49D2-A1CD-67CE0B7FD493}"/>
    <cellStyle name="Currency 5 3 4 4 2 3" xfId="13152" xr:uid="{17EDB5C7-8813-4C4C-A683-EAD1DA3A7804}"/>
    <cellStyle name="Currency 5 3 4 4 3" xfId="5898" xr:uid="{00000000-0005-0000-0000-0000170D0000}"/>
    <cellStyle name="Currency 5 3 4 4 3 2" xfId="15224" xr:uid="{004ABD62-FE2D-40DA-BBDE-9634E9F16D83}"/>
    <cellStyle name="Currency 5 3 4 4 4" xfId="11007" xr:uid="{1BED2A03-214C-49C3-9DAC-6AA35D81296E}"/>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17782" xr:uid="{53C99742-40C2-47DC-8506-0C06FDF33A34}"/>
    <cellStyle name="Currency 5 3 4 5 2 3" xfId="13565" xr:uid="{61B78FB1-0671-4816-AB84-FF3E3C4D9604}"/>
    <cellStyle name="Currency 5 3 4 5 3" xfId="6311" xr:uid="{00000000-0005-0000-0000-00001B0D0000}"/>
    <cellStyle name="Currency 5 3 4 5 3 2" xfId="15637" xr:uid="{E15CDA7D-2A82-4B4F-9DB5-35B4CC020E71}"/>
    <cellStyle name="Currency 5 3 4 5 4" xfId="11420" xr:uid="{3DF985BA-164A-4FC3-AD1B-6B9B621A6072}"/>
    <cellStyle name="Currency 5 3 4 6" xfId="2440" xr:uid="{00000000-0005-0000-0000-00001C0D0000}"/>
    <cellStyle name="Currency 5 3 4 6 2" xfId="6724" xr:uid="{00000000-0005-0000-0000-00001D0D0000}"/>
    <cellStyle name="Currency 5 3 4 6 2 2" xfId="16050" xr:uid="{8705800C-A718-4CEB-B5CE-3C6A15EC214F}"/>
    <cellStyle name="Currency 5 3 4 6 3" xfId="11833" xr:uid="{B09FD5B7-258D-43BF-A1B4-55044C6886CE}"/>
    <cellStyle name="Currency 5 3 4 7" xfId="2737" xr:uid="{00000000-0005-0000-0000-00001E0D0000}"/>
    <cellStyle name="Currency 5 3 4 8" xfId="2818" xr:uid="{00000000-0005-0000-0000-00001F0D0000}"/>
    <cellStyle name="Currency 5 3 4 8 2" xfId="7041" xr:uid="{00000000-0005-0000-0000-0000200D0000}"/>
    <cellStyle name="Currency 5 3 4 8 2 2" xfId="16367" xr:uid="{C034109B-30AB-4336-9B29-AFB40451C477}"/>
    <cellStyle name="Currency 5 3 4 8 3" xfId="12150" xr:uid="{FB568B4B-971D-4384-B3E6-44A4C95B9C10}"/>
    <cellStyle name="Currency 5 3 4 9" xfId="4658" xr:uid="{00000000-0005-0000-0000-0000210D0000}"/>
    <cellStyle name="Currency 5 3 4 9 2" xfId="13984" xr:uid="{B73C02D8-6E0E-4793-B64B-A959BA352771}"/>
    <cellStyle name="Currency 5 3 5" xfId="217" xr:uid="{00000000-0005-0000-0000-0000220D0000}"/>
    <cellStyle name="Currency 5 3 5 10" xfId="9203" xr:uid="{6167CBBD-227C-4457-B6B6-18EF5C089771}"/>
    <cellStyle name="Currency 5 3 5 10 2" xfId="18519" xr:uid="{F86DFB66-7973-459A-B7C2-44A18A649990}"/>
    <cellStyle name="Currency 5 3 5 11" xfId="9768" xr:uid="{20A54B29-CE38-4596-A705-673448C63573}"/>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16544" xr:uid="{F221F697-99EA-410C-AD1D-4E86C4A1912A}"/>
    <cellStyle name="Currency 5 3 5 2 2 3" xfId="12327" xr:uid="{79B1DF21-3583-40A9-8E18-FDF794519F46}"/>
    <cellStyle name="Currency 5 3 5 2 3" xfId="5073" xr:uid="{00000000-0005-0000-0000-0000260D0000}"/>
    <cellStyle name="Currency 5 3 5 2 3 2" xfId="14399" xr:uid="{F0952B7C-EE04-4346-B028-A8D937746D4E}"/>
    <cellStyle name="Currency 5 3 5 2 4" xfId="9600" xr:uid="{650A4058-48FE-4F3E-8845-8F52DF332026}"/>
    <cellStyle name="Currency 5 3 5 2 4 2" xfId="18904" xr:uid="{8B5AD6AC-89E8-4700-A586-D387B3B66140}"/>
    <cellStyle name="Currency 5 3 5 2 5" xfId="10182" xr:uid="{FE104B17-340C-45AB-96FE-6D3E29FEB549}"/>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16957" xr:uid="{D5C97873-4E37-4E06-B51A-6D40556D139A}"/>
    <cellStyle name="Currency 5 3 5 3 2 3" xfId="12740" xr:uid="{64C313ED-9EF8-4AEE-9DCF-9CD681887140}"/>
    <cellStyle name="Currency 5 3 5 3 3" xfId="5486" xr:uid="{00000000-0005-0000-0000-00002A0D0000}"/>
    <cellStyle name="Currency 5 3 5 3 3 2" xfId="14812" xr:uid="{3D5F2CFB-0C54-4814-9B4C-F5E9E2EF7761}"/>
    <cellStyle name="Currency 5 3 5 3 4" xfId="10595" xr:uid="{16BD74D0-2B35-4999-95F1-7AC965E01ED9}"/>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17370" xr:uid="{952DB38F-A22D-4A7B-AAD7-9AE8108B99B3}"/>
    <cellStyle name="Currency 5 3 5 4 2 3" xfId="13153" xr:uid="{B7C830C1-63B9-44C6-A9DF-AFB9DE5C76ED}"/>
    <cellStyle name="Currency 5 3 5 4 3" xfId="5899" xr:uid="{00000000-0005-0000-0000-00002E0D0000}"/>
    <cellStyle name="Currency 5 3 5 4 3 2" xfId="15225" xr:uid="{47F33681-8D05-4F2C-A689-27A3D583873C}"/>
    <cellStyle name="Currency 5 3 5 4 4" xfId="11008" xr:uid="{10DD369C-23A6-46E9-A8BE-A883C63A0886}"/>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17783" xr:uid="{9FB2A555-5D6E-4264-9620-BC5A6484CBAF}"/>
    <cellStyle name="Currency 5 3 5 5 2 3" xfId="13566" xr:uid="{FD59BB07-75E8-4416-BFCB-80F6A3F2E846}"/>
    <cellStyle name="Currency 5 3 5 5 3" xfId="6312" xr:uid="{00000000-0005-0000-0000-0000320D0000}"/>
    <cellStyle name="Currency 5 3 5 5 3 2" xfId="15638" xr:uid="{D0807DBB-8276-41FB-B22D-F842F9B78222}"/>
    <cellStyle name="Currency 5 3 5 5 4" xfId="11421" xr:uid="{681000EF-1BA8-445D-8FAE-6A97AD6D3CAC}"/>
    <cellStyle name="Currency 5 3 5 6" xfId="2441" xr:uid="{00000000-0005-0000-0000-0000330D0000}"/>
    <cellStyle name="Currency 5 3 5 6 2" xfId="6725" xr:uid="{00000000-0005-0000-0000-0000340D0000}"/>
    <cellStyle name="Currency 5 3 5 6 2 2" xfId="16051" xr:uid="{125F4E2A-AE1B-47BE-BF58-A2154DE37008}"/>
    <cellStyle name="Currency 5 3 5 6 3" xfId="11834" xr:uid="{3DDDF43C-0A30-4471-93FA-7FBF6DEDAF28}"/>
    <cellStyle name="Currency 5 3 5 7" xfId="2738" xr:uid="{00000000-0005-0000-0000-0000350D0000}"/>
    <cellStyle name="Currency 5 3 5 8" xfId="2819" xr:uid="{00000000-0005-0000-0000-0000360D0000}"/>
    <cellStyle name="Currency 5 3 5 8 2" xfId="7042" xr:uid="{00000000-0005-0000-0000-0000370D0000}"/>
    <cellStyle name="Currency 5 3 5 8 2 2" xfId="16368" xr:uid="{82D3628B-CADA-4A18-9A70-8F0096120597}"/>
    <cellStyle name="Currency 5 3 5 8 3" xfId="12151" xr:uid="{DB0BF386-052C-4ED5-8FC6-8D2B44216028}"/>
    <cellStyle name="Currency 5 3 5 9" xfId="4659" xr:uid="{00000000-0005-0000-0000-0000380D0000}"/>
    <cellStyle name="Currency 5 3 5 9 2" xfId="13985" xr:uid="{5035378F-FE21-4A24-98DE-4EDDF3DE02C9}"/>
    <cellStyle name="Currency 5 3 6" xfId="9585" xr:uid="{F259418A-5AC0-4C4E-A98C-07B5BEE6D673}"/>
    <cellStyle name="Currency 5 3 7" xfId="8779" xr:uid="{856D4C12-E347-4E8F-9200-2EC71AC3E0CB}"/>
    <cellStyle name="Currency 5 3 7 2" xfId="18103" xr:uid="{CC141930-6A8E-4747-934C-69CC67F35E7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13986" xr:uid="{87BBC0DB-ED97-4589-A5A4-0F35DD721CBC}"/>
    <cellStyle name="Currency 5 5 11" xfId="8850" xr:uid="{8F129173-F323-478F-8B06-1E2599EB26C1}"/>
    <cellStyle name="Currency 5 5 11 2" xfId="18174" xr:uid="{7C3D3B83-CCDC-4BA2-87B4-CCAD66F7DF1F}"/>
    <cellStyle name="Currency 5 5 12" xfId="9769" xr:uid="{0B11BB03-A282-4D61-A64A-1EF8DEEDD911}"/>
    <cellStyle name="Currency 5 5 2" xfId="220" xr:uid="{00000000-0005-0000-0000-00003D0D0000}"/>
    <cellStyle name="Currency 5 5 2 10" xfId="9057" xr:uid="{90E61E49-0971-4EC1-90D8-E015846E4FB2}"/>
    <cellStyle name="Currency 5 5 2 10 2" xfId="18381" xr:uid="{D04B32F5-BF79-476E-8FB1-D50393AFD723}"/>
    <cellStyle name="Currency 5 5 2 11" xfId="9770" xr:uid="{2F118A2E-B69F-458F-B901-E76F0B4D8EAB}"/>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16546" xr:uid="{1E4FD0B2-8FB3-4F15-85F2-4647CA5E93DA}"/>
    <cellStyle name="Currency 5 5 2 2 2 3" xfId="12329" xr:uid="{ED4D88A0-1582-4C5A-9903-C002A55DE7AF}"/>
    <cellStyle name="Currency 5 5 2 2 3" xfId="5075" xr:uid="{00000000-0005-0000-0000-0000410D0000}"/>
    <cellStyle name="Currency 5 5 2 2 3 2" xfId="14401" xr:uid="{E4CE2133-75BB-4B1D-9B51-38D04D5E6ADF}"/>
    <cellStyle name="Currency 5 5 2 2 4" xfId="9482" xr:uid="{ECEE3E7C-42CD-4A2D-A90F-D54FFBA7E41F}"/>
    <cellStyle name="Currency 5 5 2 2 4 2" xfId="18797" xr:uid="{0B07930E-11DB-4146-B1EA-CDAF8F1C7C87}"/>
    <cellStyle name="Currency 5 5 2 2 5" xfId="10184" xr:uid="{5C498494-9230-4E6E-9B89-271F94804E10}"/>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16959" xr:uid="{36A9412C-2C1B-4352-81E5-BA9E986E0320}"/>
    <cellStyle name="Currency 5 5 2 3 2 3" xfId="12742" xr:uid="{476AA116-4B79-407F-A914-DAE832DEFFF6}"/>
    <cellStyle name="Currency 5 5 2 3 3" xfId="5488" xr:uid="{00000000-0005-0000-0000-0000450D0000}"/>
    <cellStyle name="Currency 5 5 2 3 3 2" xfId="14814" xr:uid="{49FE0BE9-953A-46BD-9368-598722B0BE1E}"/>
    <cellStyle name="Currency 5 5 2 3 4" xfId="10597" xr:uid="{BF464EA0-4A81-47BD-B9F6-643FA6E184F9}"/>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17372" xr:uid="{DECB6F84-BCF1-437F-AD8C-705B37E23AD3}"/>
    <cellStyle name="Currency 5 5 2 4 2 3" xfId="13155" xr:uid="{08A66701-F32B-424A-B205-61FD330BEF2A}"/>
    <cellStyle name="Currency 5 5 2 4 3" xfId="5901" xr:uid="{00000000-0005-0000-0000-0000490D0000}"/>
    <cellStyle name="Currency 5 5 2 4 3 2" xfId="15227" xr:uid="{A5E96379-B012-4995-8F73-4A291CF55815}"/>
    <cellStyle name="Currency 5 5 2 4 4" xfId="11010" xr:uid="{BBDA980C-25E1-4FDC-92AB-24AC4176638E}"/>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17785" xr:uid="{408FDBFB-DBDE-45D0-B032-77016E316570}"/>
    <cellStyle name="Currency 5 5 2 5 2 3" xfId="13568" xr:uid="{775948FB-6F61-4098-9293-60D0E812F28E}"/>
    <cellStyle name="Currency 5 5 2 5 3" xfId="6314" xr:uid="{00000000-0005-0000-0000-00004D0D0000}"/>
    <cellStyle name="Currency 5 5 2 5 3 2" xfId="15640" xr:uid="{41C6C52A-D5C7-4E05-905F-57E4337305B8}"/>
    <cellStyle name="Currency 5 5 2 5 4" xfId="11423" xr:uid="{E3E08216-4A6C-41C8-9C5C-E1A3B644E1F2}"/>
    <cellStyle name="Currency 5 5 2 6" xfId="2443" xr:uid="{00000000-0005-0000-0000-00004E0D0000}"/>
    <cellStyle name="Currency 5 5 2 6 2" xfId="6727" xr:uid="{00000000-0005-0000-0000-00004F0D0000}"/>
    <cellStyle name="Currency 5 5 2 6 2 2" xfId="16053" xr:uid="{937C0801-7F10-40BF-8751-8E0B1DBE1949}"/>
    <cellStyle name="Currency 5 5 2 6 3" xfId="11836" xr:uid="{E24E92BE-F443-450A-8C94-B7B9B16084C7}"/>
    <cellStyle name="Currency 5 5 2 7" xfId="2740" xr:uid="{00000000-0005-0000-0000-0000500D0000}"/>
    <cellStyle name="Currency 5 5 2 8" xfId="2821" xr:uid="{00000000-0005-0000-0000-0000510D0000}"/>
    <cellStyle name="Currency 5 5 2 8 2" xfId="7044" xr:uid="{00000000-0005-0000-0000-0000520D0000}"/>
    <cellStyle name="Currency 5 5 2 8 2 2" xfId="16370" xr:uid="{05EF5E51-2001-4977-B7C0-D564A6E2AD6C}"/>
    <cellStyle name="Currency 5 5 2 8 3" xfId="12153" xr:uid="{352F81F1-F98E-451E-BE10-1DD75EF33011}"/>
    <cellStyle name="Currency 5 5 2 9" xfId="4661" xr:uid="{00000000-0005-0000-0000-0000530D0000}"/>
    <cellStyle name="Currency 5 5 2 9 2" xfId="13987" xr:uid="{9467B988-4393-4DC6-9F88-26AE9C9ABE29}"/>
    <cellStyle name="Currency 5 5 3" xfId="745" xr:uid="{00000000-0005-0000-0000-0000540D0000}"/>
    <cellStyle name="Currency 5 5 3 2" xfId="2997" xr:uid="{00000000-0005-0000-0000-0000550D0000}"/>
    <cellStyle name="Currency 5 5 3 2 2" xfId="7219" xr:uid="{00000000-0005-0000-0000-0000560D0000}"/>
    <cellStyle name="Currency 5 5 3 2 2 2" xfId="16545" xr:uid="{06799E64-5818-4572-A735-482C15EB3E49}"/>
    <cellStyle name="Currency 5 5 3 2 3" xfId="12328" xr:uid="{0CD2CB09-23C8-4273-B2F4-2C7E00E7B4D4}"/>
    <cellStyle name="Currency 5 5 3 3" xfId="5074" xr:uid="{00000000-0005-0000-0000-0000570D0000}"/>
    <cellStyle name="Currency 5 5 3 3 2" xfId="14400" xr:uid="{8C34A14D-56D2-4CC4-A103-265BD32AFEF4}"/>
    <cellStyle name="Currency 5 5 3 4" xfId="9275" xr:uid="{54783F20-34E5-4A58-80AE-EC7CC69A89C9}"/>
    <cellStyle name="Currency 5 5 3 4 2" xfId="18590" xr:uid="{E154BA5B-B53C-41BE-8792-29AB17630BDD}"/>
    <cellStyle name="Currency 5 5 3 5" xfId="10183" xr:uid="{EDB7AC3B-4B26-4402-B48A-C6CA4007C8CE}"/>
    <cellStyle name="Currency 5 5 4" xfId="1179" xr:uid="{00000000-0005-0000-0000-0000580D0000}"/>
    <cellStyle name="Currency 5 5 4 2" xfId="3410" xr:uid="{00000000-0005-0000-0000-0000590D0000}"/>
    <cellStyle name="Currency 5 5 4 2 2" xfId="7632" xr:uid="{00000000-0005-0000-0000-00005A0D0000}"/>
    <cellStyle name="Currency 5 5 4 2 2 2" xfId="16958" xr:uid="{1380AB09-A51F-40CD-8B7F-DB9C9D7F4DB0}"/>
    <cellStyle name="Currency 5 5 4 2 3" xfId="12741" xr:uid="{41858190-1267-4DC0-BF41-E8D99B724BEF}"/>
    <cellStyle name="Currency 5 5 4 3" xfId="5487" xr:uid="{00000000-0005-0000-0000-00005B0D0000}"/>
    <cellStyle name="Currency 5 5 4 3 2" xfId="14813" xr:uid="{FDEFCE78-DA18-40C4-BE72-42FB6190BE34}"/>
    <cellStyle name="Currency 5 5 4 4" xfId="10596" xr:uid="{4C1B9ACE-224E-458C-AD8C-328A52CEC275}"/>
    <cellStyle name="Currency 5 5 5" xfId="1593" xr:uid="{00000000-0005-0000-0000-00005C0D0000}"/>
    <cellStyle name="Currency 5 5 5 2" xfId="3823" xr:uid="{00000000-0005-0000-0000-00005D0D0000}"/>
    <cellStyle name="Currency 5 5 5 2 2" xfId="8045" xr:uid="{00000000-0005-0000-0000-00005E0D0000}"/>
    <cellStyle name="Currency 5 5 5 2 2 2" xfId="17371" xr:uid="{8BDACD4F-B80B-47F8-9846-EF14566004A0}"/>
    <cellStyle name="Currency 5 5 5 2 3" xfId="13154" xr:uid="{10B84197-E163-4D70-9761-E07E25B424F0}"/>
    <cellStyle name="Currency 5 5 5 3" xfId="5900" xr:uid="{00000000-0005-0000-0000-00005F0D0000}"/>
    <cellStyle name="Currency 5 5 5 3 2" xfId="15226" xr:uid="{48C39534-8259-4B36-8BF1-262DA0482BFD}"/>
    <cellStyle name="Currency 5 5 5 4" xfId="11009" xr:uid="{A6F3CD8F-1589-4E12-88DC-FE0A5C54C366}"/>
    <cellStyle name="Currency 5 5 6" xfId="2007" xr:uid="{00000000-0005-0000-0000-0000600D0000}"/>
    <cellStyle name="Currency 5 5 6 2" xfId="4236" xr:uid="{00000000-0005-0000-0000-0000610D0000}"/>
    <cellStyle name="Currency 5 5 6 2 2" xfId="8458" xr:uid="{00000000-0005-0000-0000-0000620D0000}"/>
    <cellStyle name="Currency 5 5 6 2 2 2" xfId="17784" xr:uid="{E53A92C3-909A-436D-8CFD-FED89C4F306E}"/>
    <cellStyle name="Currency 5 5 6 2 3" xfId="13567" xr:uid="{36900F7A-B4E9-4348-9B77-541D8769D4DD}"/>
    <cellStyle name="Currency 5 5 6 3" xfId="6313" xr:uid="{00000000-0005-0000-0000-0000630D0000}"/>
    <cellStyle name="Currency 5 5 6 3 2" xfId="15639" xr:uid="{DF738BCD-33A6-4465-8800-990CA4AE3EA8}"/>
    <cellStyle name="Currency 5 5 6 4" xfId="11422" xr:uid="{F9B40CDD-3570-49F8-B467-CE55AA8BFDC7}"/>
    <cellStyle name="Currency 5 5 7" xfId="2442" xr:uid="{00000000-0005-0000-0000-0000640D0000}"/>
    <cellStyle name="Currency 5 5 7 2" xfId="6726" xr:uid="{00000000-0005-0000-0000-0000650D0000}"/>
    <cellStyle name="Currency 5 5 7 2 2" xfId="16052" xr:uid="{5C115511-7969-46AD-9453-B529B6FBD8E8}"/>
    <cellStyle name="Currency 5 5 7 3" xfId="11835" xr:uid="{11ED8C6C-F1B7-480A-9283-075AB1DD706D}"/>
    <cellStyle name="Currency 5 5 8" xfId="2739" xr:uid="{00000000-0005-0000-0000-0000660D0000}"/>
    <cellStyle name="Currency 5 5 9" xfId="2820" xr:uid="{00000000-0005-0000-0000-0000670D0000}"/>
    <cellStyle name="Currency 5 5 9 2" xfId="7043" xr:uid="{00000000-0005-0000-0000-0000680D0000}"/>
    <cellStyle name="Currency 5 5 9 2 2" xfId="16369" xr:uid="{6541D0B8-F86F-4E6A-B85B-91DD115A8325}"/>
    <cellStyle name="Currency 5 5 9 3" xfId="12152" xr:uid="{D169C735-D6A1-40E7-93E5-12893444B599}"/>
    <cellStyle name="Currency 5 6" xfId="221" xr:uid="{00000000-0005-0000-0000-0000690D0000}"/>
    <cellStyle name="Currency 5 6 10" xfId="8966" xr:uid="{EC95BD1E-EAA8-4043-BDA7-06F3BBDBC3D5}"/>
    <cellStyle name="Currency 5 6 10 2" xfId="18290" xr:uid="{1E8045B9-07D9-49E3-AAF3-B14CC18AAEDA}"/>
    <cellStyle name="Currency 5 6 11" xfId="9771" xr:uid="{7B504EE7-BC90-40FC-97F2-AE0D1B7BC02A}"/>
    <cellStyle name="Currency 5 6 2" xfId="747" xr:uid="{00000000-0005-0000-0000-00006A0D0000}"/>
    <cellStyle name="Currency 5 6 2 2" xfId="2999" xr:uid="{00000000-0005-0000-0000-00006B0D0000}"/>
    <cellStyle name="Currency 5 6 2 2 2" xfId="7221" xr:uid="{00000000-0005-0000-0000-00006C0D0000}"/>
    <cellStyle name="Currency 5 6 2 2 2 2" xfId="16547" xr:uid="{DE195FDC-FA34-4D0B-ACA8-1AD5E9D99E8A}"/>
    <cellStyle name="Currency 5 6 2 2 3" xfId="12330" xr:uid="{88553357-5DAE-42A2-9777-5DE4D62F76D3}"/>
    <cellStyle name="Currency 5 6 2 3" xfId="5076" xr:uid="{00000000-0005-0000-0000-00006D0D0000}"/>
    <cellStyle name="Currency 5 6 2 3 2" xfId="14402" xr:uid="{F11FE2E3-7D50-4C24-AE01-B48B0F6B7169}"/>
    <cellStyle name="Currency 5 6 2 4" xfId="9391" xr:uid="{8CBF3F74-51EC-4402-B96A-0759E6537FC7}"/>
    <cellStyle name="Currency 5 6 2 4 2" xfId="18706" xr:uid="{4A2B5762-C3E4-488F-B791-03D30FE0D572}"/>
    <cellStyle name="Currency 5 6 2 5" xfId="10185" xr:uid="{2D7DCFE0-7C26-48B8-BE27-B372644939EE}"/>
    <cellStyle name="Currency 5 6 3" xfId="1181" xr:uid="{00000000-0005-0000-0000-00006E0D0000}"/>
    <cellStyle name="Currency 5 6 3 2" xfId="3412" xr:uid="{00000000-0005-0000-0000-00006F0D0000}"/>
    <cellStyle name="Currency 5 6 3 2 2" xfId="7634" xr:uid="{00000000-0005-0000-0000-0000700D0000}"/>
    <cellStyle name="Currency 5 6 3 2 2 2" xfId="16960" xr:uid="{D4D02D64-A5AD-4E8C-A757-7F5AA09AF02B}"/>
    <cellStyle name="Currency 5 6 3 2 3" xfId="12743" xr:uid="{8732C2FE-9099-410C-BE04-79BBABDD94F8}"/>
    <cellStyle name="Currency 5 6 3 3" xfId="5489" xr:uid="{00000000-0005-0000-0000-0000710D0000}"/>
    <cellStyle name="Currency 5 6 3 3 2" xfId="14815" xr:uid="{9A4F5F84-089B-45E1-B930-04678DFB0BDF}"/>
    <cellStyle name="Currency 5 6 3 4" xfId="10598" xr:uid="{EE46AC5D-75F3-4E56-A0FE-A2D41BFCBA49}"/>
    <cellStyle name="Currency 5 6 4" xfId="1595" xr:uid="{00000000-0005-0000-0000-0000720D0000}"/>
    <cellStyle name="Currency 5 6 4 2" xfId="3825" xr:uid="{00000000-0005-0000-0000-0000730D0000}"/>
    <cellStyle name="Currency 5 6 4 2 2" xfId="8047" xr:uid="{00000000-0005-0000-0000-0000740D0000}"/>
    <cellStyle name="Currency 5 6 4 2 2 2" xfId="17373" xr:uid="{364F54FD-B454-4732-8DC1-1DE8E730ABC7}"/>
    <cellStyle name="Currency 5 6 4 2 3" xfId="13156" xr:uid="{5150F398-C13A-452A-84F1-19562F7D036E}"/>
    <cellStyle name="Currency 5 6 4 3" xfId="5902" xr:uid="{00000000-0005-0000-0000-0000750D0000}"/>
    <cellStyle name="Currency 5 6 4 3 2" xfId="15228" xr:uid="{97828633-9016-4977-BBC3-5084A3535CB9}"/>
    <cellStyle name="Currency 5 6 4 4" xfId="11011" xr:uid="{5BA7A311-3A32-4B76-BE93-D0E0CBFB0281}"/>
    <cellStyle name="Currency 5 6 5" xfId="2009" xr:uid="{00000000-0005-0000-0000-0000760D0000}"/>
    <cellStyle name="Currency 5 6 5 2" xfId="4238" xr:uid="{00000000-0005-0000-0000-0000770D0000}"/>
    <cellStyle name="Currency 5 6 5 2 2" xfId="8460" xr:uid="{00000000-0005-0000-0000-0000780D0000}"/>
    <cellStyle name="Currency 5 6 5 2 2 2" xfId="17786" xr:uid="{5297DD60-4AA3-4AA1-9C6E-06339A8114CE}"/>
    <cellStyle name="Currency 5 6 5 2 3" xfId="13569" xr:uid="{E3425CCD-041B-4EC3-B421-F3D90827972F}"/>
    <cellStyle name="Currency 5 6 5 3" xfId="6315" xr:uid="{00000000-0005-0000-0000-0000790D0000}"/>
    <cellStyle name="Currency 5 6 5 3 2" xfId="15641" xr:uid="{E876EDF3-D4C6-4EA0-AE2C-3BB31F4B2987}"/>
    <cellStyle name="Currency 5 6 5 4" xfId="11424" xr:uid="{FA62EF8B-0284-489F-952D-7AF6BE961192}"/>
    <cellStyle name="Currency 5 6 6" xfId="2444" xr:uid="{00000000-0005-0000-0000-00007A0D0000}"/>
    <cellStyle name="Currency 5 6 6 2" xfId="6728" xr:uid="{00000000-0005-0000-0000-00007B0D0000}"/>
    <cellStyle name="Currency 5 6 6 2 2" xfId="16054" xr:uid="{FEF0CE7B-54D5-4E82-BF8D-2D56E9FB9963}"/>
    <cellStyle name="Currency 5 6 6 3" xfId="11837" xr:uid="{ED543BB0-3D95-43C9-9302-D566B5791A32}"/>
    <cellStyle name="Currency 5 6 7" xfId="2741" xr:uid="{00000000-0005-0000-0000-00007C0D0000}"/>
    <cellStyle name="Currency 5 6 8" xfId="2822" xr:uid="{00000000-0005-0000-0000-00007D0D0000}"/>
    <cellStyle name="Currency 5 6 8 2" xfId="7045" xr:uid="{00000000-0005-0000-0000-00007E0D0000}"/>
    <cellStyle name="Currency 5 6 8 2 2" xfId="16371" xr:uid="{71C7055B-4ED1-48D3-818F-D39B09060A7F}"/>
    <cellStyle name="Currency 5 6 8 3" xfId="12154" xr:uid="{B73C5F0A-35AB-4ABB-B3B6-8E8C74CBE446}"/>
    <cellStyle name="Currency 5 6 9" xfId="4662" xr:uid="{00000000-0005-0000-0000-00007F0D0000}"/>
    <cellStyle name="Currency 5 6 9 2" xfId="13988" xr:uid="{43CD4C98-6F3C-4B89-9B46-AE1A474D10AB}"/>
    <cellStyle name="Currency 5 7" xfId="222" xr:uid="{00000000-0005-0000-0000-0000800D0000}"/>
    <cellStyle name="Currency 5 7 10" xfId="9169" xr:uid="{7A886DE7-136A-429E-90E2-A7C712D111D8}"/>
    <cellStyle name="Currency 5 7 10 2" xfId="18487" xr:uid="{759FE160-A2BC-4C56-8C58-92350C873169}"/>
    <cellStyle name="Currency 5 7 11" xfId="9772" xr:uid="{52640A0D-A2E7-4AC1-A029-793AE71AAFD2}"/>
    <cellStyle name="Currency 5 7 2" xfId="748" xr:uid="{00000000-0005-0000-0000-0000810D0000}"/>
    <cellStyle name="Currency 5 7 2 2" xfId="3000" xr:uid="{00000000-0005-0000-0000-0000820D0000}"/>
    <cellStyle name="Currency 5 7 2 2 2" xfId="7222" xr:uid="{00000000-0005-0000-0000-0000830D0000}"/>
    <cellStyle name="Currency 5 7 2 2 2 2" xfId="16548" xr:uid="{994BB3DD-CAA5-45D0-9CEC-3356ED295C30}"/>
    <cellStyle name="Currency 5 7 2 2 3" xfId="12331" xr:uid="{85F22D0E-30EF-4FF4-8063-3215132425F9}"/>
    <cellStyle name="Currency 5 7 2 3" xfId="5077" xr:uid="{00000000-0005-0000-0000-0000840D0000}"/>
    <cellStyle name="Currency 5 7 2 3 2" xfId="14403" xr:uid="{50ABDF68-4A6A-448C-BF8B-752C9F23BF6C}"/>
    <cellStyle name="Currency 5 7 2 4" xfId="9601" xr:uid="{DC93A830-0AF1-4EC4-B764-C728922F3FEF}"/>
    <cellStyle name="Currency 5 7 2 4 2" xfId="18905" xr:uid="{8D2D26A0-61F6-440C-A600-E22B12020C3F}"/>
    <cellStyle name="Currency 5 7 2 5" xfId="10186" xr:uid="{80F762F6-1A6C-4AF0-A3B6-B2B6CC56F258}"/>
    <cellStyle name="Currency 5 7 3" xfId="1182" xr:uid="{00000000-0005-0000-0000-0000850D0000}"/>
    <cellStyle name="Currency 5 7 3 2" xfId="3413" xr:uid="{00000000-0005-0000-0000-0000860D0000}"/>
    <cellStyle name="Currency 5 7 3 2 2" xfId="7635" xr:uid="{00000000-0005-0000-0000-0000870D0000}"/>
    <cellStyle name="Currency 5 7 3 2 2 2" xfId="16961" xr:uid="{B682464E-DC63-4695-9C88-3E69AD77FF72}"/>
    <cellStyle name="Currency 5 7 3 2 3" xfId="12744" xr:uid="{02599210-9F28-4D7E-99DE-537D82D11AE8}"/>
    <cellStyle name="Currency 5 7 3 3" xfId="5490" xr:uid="{00000000-0005-0000-0000-0000880D0000}"/>
    <cellStyle name="Currency 5 7 3 3 2" xfId="14816" xr:uid="{F355C674-EE50-4BF6-84D3-CDCA97A068FC}"/>
    <cellStyle name="Currency 5 7 3 4" xfId="10599" xr:uid="{EB9FBC9C-C28A-4DE1-9DA5-75F653AF7734}"/>
    <cellStyle name="Currency 5 7 4" xfId="1596" xr:uid="{00000000-0005-0000-0000-0000890D0000}"/>
    <cellStyle name="Currency 5 7 4 2" xfId="3826" xr:uid="{00000000-0005-0000-0000-00008A0D0000}"/>
    <cellStyle name="Currency 5 7 4 2 2" xfId="8048" xr:uid="{00000000-0005-0000-0000-00008B0D0000}"/>
    <cellStyle name="Currency 5 7 4 2 2 2" xfId="17374" xr:uid="{EA4D7A04-51E9-4BDE-83D2-7AE745F1941D}"/>
    <cellStyle name="Currency 5 7 4 2 3" xfId="13157" xr:uid="{9AF16217-1EC7-4776-A2E6-519BE15CF8E2}"/>
    <cellStyle name="Currency 5 7 4 3" xfId="5903" xr:uid="{00000000-0005-0000-0000-00008C0D0000}"/>
    <cellStyle name="Currency 5 7 4 3 2" xfId="15229" xr:uid="{F52C185A-EBE5-48C0-811C-A449859DD51A}"/>
    <cellStyle name="Currency 5 7 4 4" xfId="11012" xr:uid="{1BF33CA8-0077-4A68-BFC8-B3CA51AB50AD}"/>
    <cellStyle name="Currency 5 7 5" xfId="2010" xr:uid="{00000000-0005-0000-0000-00008D0D0000}"/>
    <cellStyle name="Currency 5 7 5 2" xfId="4239" xr:uid="{00000000-0005-0000-0000-00008E0D0000}"/>
    <cellStyle name="Currency 5 7 5 2 2" xfId="8461" xr:uid="{00000000-0005-0000-0000-00008F0D0000}"/>
    <cellStyle name="Currency 5 7 5 2 2 2" xfId="17787" xr:uid="{D8870046-98FF-45D8-8CC0-6A17A3759FF4}"/>
    <cellStyle name="Currency 5 7 5 2 3" xfId="13570" xr:uid="{3A1224BA-2D68-47D0-B44D-478089563632}"/>
    <cellStyle name="Currency 5 7 5 3" xfId="6316" xr:uid="{00000000-0005-0000-0000-0000900D0000}"/>
    <cellStyle name="Currency 5 7 5 3 2" xfId="15642" xr:uid="{FDAE8D1E-014C-4965-9D45-E55CB49FB8B7}"/>
    <cellStyle name="Currency 5 7 5 4" xfId="11425" xr:uid="{E32AA3AC-4400-44C1-9892-74F5028009DF}"/>
    <cellStyle name="Currency 5 7 6" xfId="2445" xr:uid="{00000000-0005-0000-0000-0000910D0000}"/>
    <cellStyle name="Currency 5 7 6 2" xfId="6729" xr:uid="{00000000-0005-0000-0000-0000920D0000}"/>
    <cellStyle name="Currency 5 7 6 2 2" xfId="16055" xr:uid="{D7CFEC2A-0D9A-435D-8416-BB461138EF68}"/>
    <cellStyle name="Currency 5 7 6 3" xfId="11838" xr:uid="{52136E96-39E7-4654-82D5-FE12E5E0D894}"/>
    <cellStyle name="Currency 5 7 7" xfId="2742" xr:uid="{00000000-0005-0000-0000-0000930D0000}"/>
    <cellStyle name="Currency 5 7 8" xfId="2823" xr:uid="{00000000-0005-0000-0000-0000940D0000}"/>
    <cellStyle name="Currency 5 7 8 2" xfId="7046" xr:uid="{00000000-0005-0000-0000-0000950D0000}"/>
    <cellStyle name="Currency 5 7 8 2 2" xfId="16372" xr:uid="{58A07302-12B7-471C-BAB8-D5E94885531B}"/>
    <cellStyle name="Currency 5 7 8 3" xfId="12155" xr:uid="{896DD88B-5F20-4082-82AF-F28EC13B1A11}"/>
    <cellStyle name="Currency 5 7 9" xfId="4663" xr:uid="{00000000-0005-0000-0000-0000960D0000}"/>
    <cellStyle name="Currency 5 7 9 2" xfId="13989" xr:uid="{085796F3-8EB9-4C14-B472-DB336248D6A0}"/>
    <cellStyle name="Currency 5 8" xfId="721" xr:uid="{00000000-0005-0000-0000-0000970D0000}"/>
    <cellStyle name="Currency 5 9" xfId="8747" xr:uid="{CCFF1C6E-BA46-44B7-A8DD-B170160D04FF}"/>
    <cellStyle name="Currency 5 9 2" xfId="18071" xr:uid="{30C933EB-3384-4D33-8473-B47B5FBB1907}"/>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16056" xr:uid="{C055291E-A50A-434F-99B2-6E10A78910F4}"/>
    <cellStyle name="Normal 12 10 3" xfId="11839" xr:uid="{68CDCF79-C3B1-4DB5-A67A-0942D028D29A}"/>
    <cellStyle name="Normal 12 11" xfId="4664" xr:uid="{00000000-0005-0000-0000-0000CC0D0000}"/>
    <cellStyle name="Normal 12 11 2" xfId="13990" xr:uid="{0D6BECC2-5D53-44DD-99BA-1046D562ED0A}"/>
    <cellStyle name="Normal 12 12" xfId="8770" xr:uid="{16E7F001-A88D-4413-825E-78352A31064A}"/>
    <cellStyle name="Normal 12 12 2" xfId="18094" xr:uid="{5F21EFD1-DCBB-4650-8C92-7C54E5C44276}"/>
    <cellStyle name="Normal 12 13" xfId="9773" xr:uid="{EA72332F-34D5-4A05-B0B1-B2A8BDB2ABF2}"/>
    <cellStyle name="Normal 12 2" xfId="260" xr:uid="{00000000-0005-0000-0000-0000CD0D0000}"/>
    <cellStyle name="Normal 12 2 10" xfId="8811" xr:uid="{C610EFA7-DF28-475D-A7AA-61B6675A083B}"/>
    <cellStyle name="Normal 12 2 10 2" xfId="18135" xr:uid="{39219B9E-9F89-4D5E-9A2F-BEDEC9E0D125}"/>
    <cellStyle name="Normal 12 2 11" xfId="9774" xr:uid="{413CABE8-2E4C-4C6F-A65D-5A4962418B25}"/>
    <cellStyle name="Normal 12 2 2" xfId="261" xr:uid="{00000000-0005-0000-0000-0000CE0D0000}"/>
    <cellStyle name="Normal 12 2 2 10" xfId="9775" xr:uid="{A8AFC58A-26A0-43BF-8555-8AC411335CFB}"/>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16552" xr:uid="{9A313B69-9B75-43DF-AD99-3E2866D52B2F}"/>
    <cellStyle name="Normal 12 2 2 2 2 2 3" xfId="12335" xr:uid="{97F84781-81E7-4CC9-A12D-F524E0BC5F77}"/>
    <cellStyle name="Normal 12 2 2 2 2 3" xfId="5081" xr:uid="{00000000-0005-0000-0000-0000D30D0000}"/>
    <cellStyle name="Normal 12 2 2 2 2 3 2" xfId="14407" xr:uid="{F9BEE457-143C-445F-A5B9-3D8C249F3066}"/>
    <cellStyle name="Normal 12 2 2 2 2 4" xfId="9546" xr:uid="{609DE280-4DA3-4355-9F1C-9E01708347EA}"/>
    <cellStyle name="Normal 12 2 2 2 2 4 2" xfId="18861" xr:uid="{55E0604C-F052-44A8-B019-D500CEA48579}"/>
    <cellStyle name="Normal 12 2 2 2 2 5" xfId="10190" xr:uid="{5C76D790-DCE6-4E9B-A1AF-6CC683C7C7B0}"/>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16965" xr:uid="{8EB04E5F-8214-4A8D-BD55-DEADA4163861}"/>
    <cellStyle name="Normal 12 2 2 2 3 2 3" xfId="12748" xr:uid="{5904FD2A-7A47-4FDC-9469-81EBA3B02CB8}"/>
    <cellStyle name="Normal 12 2 2 2 3 3" xfId="5494" xr:uid="{00000000-0005-0000-0000-0000D70D0000}"/>
    <cellStyle name="Normal 12 2 2 2 3 3 2" xfId="14820" xr:uid="{C254E850-A2AA-4BAC-9F93-E1ACB68E8F82}"/>
    <cellStyle name="Normal 12 2 2 2 3 4" xfId="10603" xr:uid="{F2178682-2FA8-4FE4-B65B-985F19AEC5D5}"/>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17378" xr:uid="{29E7F1F4-4281-4CD0-8162-86F8990C4DCD}"/>
    <cellStyle name="Normal 12 2 2 2 4 2 3" xfId="13161" xr:uid="{1527DD2E-4831-4C6B-B552-B200B1C411BC}"/>
    <cellStyle name="Normal 12 2 2 2 4 3" xfId="5907" xr:uid="{00000000-0005-0000-0000-0000DB0D0000}"/>
    <cellStyle name="Normal 12 2 2 2 4 3 2" xfId="15233" xr:uid="{024730BA-D188-4DBF-8BFF-730DA2DC5388}"/>
    <cellStyle name="Normal 12 2 2 2 4 4" xfId="11016" xr:uid="{FD74C401-03F4-406A-865A-8C5012A2CFC9}"/>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17791" xr:uid="{67FFC06B-BF6B-41AA-B03F-D794843E6499}"/>
    <cellStyle name="Normal 12 2 2 2 5 2 3" xfId="13574" xr:uid="{BFE48331-B275-4C22-B10C-648734D7D8F6}"/>
    <cellStyle name="Normal 12 2 2 2 5 3" xfId="6320" xr:uid="{00000000-0005-0000-0000-0000DF0D0000}"/>
    <cellStyle name="Normal 12 2 2 2 5 3 2" xfId="15646" xr:uid="{4A199C2F-BC5D-4F64-A82A-AF3A85D70C4E}"/>
    <cellStyle name="Normal 12 2 2 2 5 4" xfId="11429" xr:uid="{BBD5517F-F100-4A8F-BEF0-BD6AAC27F2DB}"/>
    <cellStyle name="Normal 12 2 2 2 6" xfId="2450" xr:uid="{00000000-0005-0000-0000-0000E00D0000}"/>
    <cellStyle name="Normal 12 2 2 2 6 2" xfId="6733" xr:uid="{00000000-0005-0000-0000-0000E10D0000}"/>
    <cellStyle name="Normal 12 2 2 2 6 2 2" xfId="16059" xr:uid="{6FE66CE8-682C-4DFC-B86C-674905C55C10}"/>
    <cellStyle name="Normal 12 2 2 2 6 3" xfId="11842" xr:uid="{1070CC92-F191-4B64-9477-60A9057424A1}"/>
    <cellStyle name="Normal 12 2 2 2 7" xfId="4667" xr:uid="{00000000-0005-0000-0000-0000E20D0000}"/>
    <cellStyle name="Normal 12 2 2 2 7 2" xfId="13993" xr:uid="{3D6D931E-4525-4642-9C35-3F3079482034}"/>
    <cellStyle name="Normal 12 2 2 2 8" xfId="9121" xr:uid="{527C15BB-BE4D-46AB-9317-CC8E6838C91D}"/>
    <cellStyle name="Normal 12 2 2 2 8 2" xfId="18445" xr:uid="{82C02E64-3819-4744-AD99-8511946BC03C}"/>
    <cellStyle name="Normal 12 2 2 2 9" xfId="9776" xr:uid="{A9371211-F089-4EFA-B85C-8B9019130269}"/>
    <cellStyle name="Normal 12 2 2 3" xfId="762" xr:uid="{00000000-0005-0000-0000-0000E30D0000}"/>
    <cellStyle name="Normal 12 2 2 3 2" xfId="3003" xr:uid="{00000000-0005-0000-0000-0000E40D0000}"/>
    <cellStyle name="Normal 12 2 2 3 2 2" xfId="7225" xr:uid="{00000000-0005-0000-0000-0000E50D0000}"/>
    <cellStyle name="Normal 12 2 2 3 2 2 2" xfId="16551" xr:uid="{63F91978-0A9D-47D1-971C-69BAE453AD4F}"/>
    <cellStyle name="Normal 12 2 2 3 2 3" xfId="12334" xr:uid="{AFF99643-CF0D-42D0-A8AA-853677DB9509}"/>
    <cellStyle name="Normal 12 2 2 3 3" xfId="5080" xr:uid="{00000000-0005-0000-0000-0000E60D0000}"/>
    <cellStyle name="Normal 12 2 2 3 3 2" xfId="14406" xr:uid="{C4238368-FBCA-4D2A-BFA4-FDAE45CD1BD4}"/>
    <cellStyle name="Normal 12 2 2 3 4" xfId="9339" xr:uid="{F3F800C1-92DF-4F1F-A561-C3F3C7F8BAD1}"/>
    <cellStyle name="Normal 12 2 2 3 4 2" xfId="18654" xr:uid="{716355F4-B4C7-46ED-92BB-6521FC52D432}"/>
    <cellStyle name="Normal 12 2 2 3 5" xfId="10189" xr:uid="{AA27C834-1B4B-4A3F-95A4-5017392A89D8}"/>
    <cellStyle name="Normal 12 2 2 4" xfId="1185" xr:uid="{00000000-0005-0000-0000-0000E70D0000}"/>
    <cellStyle name="Normal 12 2 2 4 2" xfId="3416" xr:uid="{00000000-0005-0000-0000-0000E80D0000}"/>
    <cellStyle name="Normal 12 2 2 4 2 2" xfId="7638" xr:uid="{00000000-0005-0000-0000-0000E90D0000}"/>
    <cellStyle name="Normal 12 2 2 4 2 2 2" xfId="16964" xr:uid="{F1C30E04-94C1-45EC-AA20-0A6F4C5A4F22}"/>
    <cellStyle name="Normal 12 2 2 4 2 3" xfId="12747" xr:uid="{FA954EF4-625A-4F43-B4CD-E6F1EEE8433C}"/>
    <cellStyle name="Normal 12 2 2 4 3" xfId="5493" xr:uid="{00000000-0005-0000-0000-0000EA0D0000}"/>
    <cellStyle name="Normal 12 2 2 4 3 2" xfId="14819" xr:uid="{6FA4E5F3-97AE-45D0-918C-A8A58165567D}"/>
    <cellStyle name="Normal 12 2 2 4 4" xfId="10602" xr:uid="{CAAB0338-CEFC-4C0A-9510-77A9ED9C8EF9}"/>
    <cellStyle name="Normal 12 2 2 5" xfId="1599" xr:uid="{00000000-0005-0000-0000-0000EB0D0000}"/>
    <cellStyle name="Normal 12 2 2 5 2" xfId="3829" xr:uid="{00000000-0005-0000-0000-0000EC0D0000}"/>
    <cellStyle name="Normal 12 2 2 5 2 2" xfId="8051" xr:uid="{00000000-0005-0000-0000-0000ED0D0000}"/>
    <cellStyle name="Normal 12 2 2 5 2 2 2" xfId="17377" xr:uid="{B09606FF-EDD7-44FB-98AF-E40A86ECDB7D}"/>
    <cellStyle name="Normal 12 2 2 5 2 3" xfId="13160" xr:uid="{C602DA28-4D2A-4FE5-8412-C1A5BBFEE2F2}"/>
    <cellStyle name="Normal 12 2 2 5 3" xfId="5906" xr:uid="{00000000-0005-0000-0000-0000EE0D0000}"/>
    <cellStyle name="Normal 12 2 2 5 3 2" xfId="15232" xr:uid="{CD597473-B437-4DDC-B419-08A119DB6BF5}"/>
    <cellStyle name="Normal 12 2 2 5 4" xfId="11015" xr:uid="{DE5A44D9-A988-4E2E-BCFC-93F486097165}"/>
    <cellStyle name="Normal 12 2 2 6" xfId="2013" xr:uid="{00000000-0005-0000-0000-0000EF0D0000}"/>
    <cellStyle name="Normal 12 2 2 6 2" xfId="4242" xr:uid="{00000000-0005-0000-0000-0000F00D0000}"/>
    <cellStyle name="Normal 12 2 2 6 2 2" xfId="8464" xr:uid="{00000000-0005-0000-0000-0000F10D0000}"/>
    <cellStyle name="Normal 12 2 2 6 2 2 2" xfId="17790" xr:uid="{7323F875-5DDA-46E3-B1FF-55A39AF57B09}"/>
    <cellStyle name="Normal 12 2 2 6 2 3" xfId="13573" xr:uid="{C5F0B671-0EEF-4548-8E3E-5E85B38EF0BF}"/>
    <cellStyle name="Normal 12 2 2 6 3" xfId="6319" xr:uid="{00000000-0005-0000-0000-0000F20D0000}"/>
    <cellStyle name="Normal 12 2 2 6 3 2" xfId="15645" xr:uid="{4ABAD686-C2DF-4147-B821-99376E169EBE}"/>
    <cellStyle name="Normal 12 2 2 6 4" xfId="11428" xr:uid="{3544E032-C7EA-4E4C-9602-AF4B621185F1}"/>
    <cellStyle name="Normal 12 2 2 7" xfId="2449" xr:uid="{00000000-0005-0000-0000-0000F30D0000}"/>
    <cellStyle name="Normal 12 2 2 7 2" xfId="6732" xr:uid="{00000000-0005-0000-0000-0000F40D0000}"/>
    <cellStyle name="Normal 12 2 2 7 2 2" xfId="16058" xr:uid="{12CE1753-D5EC-4268-A2B8-B79A076B6303}"/>
    <cellStyle name="Normal 12 2 2 7 3" xfId="11841" xr:uid="{D526B4E8-DBD7-40DE-B70D-99DE0BF86604}"/>
    <cellStyle name="Normal 12 2 2 8" xfId="4666" xr:uid="{00000000-0005-0000-0000-0000F50D0000}"/>
    <cellStyle name="Normal 12 2 2 8 2" xfId="13992" xr:uid="{64F54397-1126-4B60-84A7-4DEFDC7190A8}"/>
    <cellStyle name="Normal 12 2 2 9" xfId="8914" xr:uid="{85903DBC-FA0A-4A9D-9FB4-BA36A4B6F510}"/>
    <cellStyle name="Normal 12 2 2 9 2" xfId="18238" xr:uid="{744B7BE8-E7FA-4887-BA52-DE6A216C454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2 2 2" xfId="16553" xr:uid="{074B7DD4-78CD-4B40-9D21-CBBEB269BCA7}"/>
    <cellStyle name="Normal 12 2 3 2 2 3" xfId="12336" xr:uid="{8504B74F-7DDA-4F18-B17E-52A0E3FA08B2}"/>
    <cellStyle name="Normal 12 2 3 2 3" xfId="5082" xr:uid="{00000000-0005-0000-0000-0000FA0D0000}"/>
    <cellStyle name="Normal 12 2 3 2 3 2" xfId="14408" xr:uid="{B01085EA-2832-463E-9219-B485F31341A0}"/>
    <cellStyle name="Normal 12 2 3 2 4" xfId="9443" xr:uid="{61F0A971-1285-4215-8170-49D07520551A}"/>
    <cellStyle name="Normal 12 2 3 2 4 2" xfId="18758" xr:uid="{82BC6BC5-F4FB-44DB-B99F-483189376FB0}"/>
    <cellStyle name="Normal 12 2 3 2 5" xfId="10191" xr:uid="{6F7DEFAA-2395-4475-9991-81515218CBB6}"/>
    <cellStyle name="Normal 12 2 3 3" xfId="1187" xr:uid="{00000000-0005-0000-0000-0000FB0D0000}"/>
    <cellStyle name="Normal 12 2 3 3 2" xfId="3418" xr:uid="{00000000-0005-0000-0000-0000FC0D0000}"/>
    <cellStyle name="Normal 12 2 3 3 2 2" xfId="7640" xr:uid="{00000000-0005-0000-0000-0000FD0D0000}"/>
    <cellStyle name="Normal 12 2 3 3 2 2 2" xfId="16966" xr:uid="{C42C992F-0FF3-405B-AB29-87C294A9A075}"/>
    <cellStyle name="Normal 12 2 3 3 2 3" xfId="12749" xr:uid="{89C12B8D-11F3-40D7-9C17-1B4765E21118}"/>
    <cellStyle name="Normal 12 2 3 3 3" xfId="5495" xr:uid="{00000000-0005-0000-0000-0000FE0D0000}"/>
    <cellStyle name="Normal 12 2 3 3 3 2" xfId="14821" xr:uid="{E157478A-BF53-4CEE-8136-D3F0D91218DA}"/>
    <cellStyle name="Normal 12 2 3 3 4" xfId="10604" xr:uid="{E44B9E44-F0F4-4DC2-82C6-EB1A61300E95}"/>
    <cellStyle name="Normal 12 2 3 4" xfId="1601" xr:uid="{00000000-0005-0000-0000-0000FF0D0000}"/>
    <cellStyle name="Normal 12 2 3 4 2" xfId="3831" xr:uid="{00000000-0005-0000-0000-0000000E0000}"/>
    <cellStyle name="Normal 12 2 3 4 2 2" xfId="8053" xr:uid="{00000000-0005-0000-0000-0000010E0000}"/>
    <cellStyle name="Normal 12 2 3 4 2 2 2" xfId="17379" xr:uid="{7D9E7D57-31AA-4DE1-8869-796E5F005032}"/>
    <cellStyle name="Normal 12 2 3 4 2 3" xfId="13162" xr:uid="{291C2D28-D058-4F37-9DE1-398D6D9AD08C}"/>
    <cellStyle name="Normal 12 2 3 4 3" xfId="5908" xr:uid="{00000000-0005-0000-0000-0000020E0000}"/>
    <cellStyle name="Normal 12 2 3 4 3 2" xfId="15234" xr:uid="{4B25C01E-4253-45FB-AA59-83BF04D56481}"/>
    <cellStyle name="Normal 12 2 3 4 4" xfId="11017" xr:uid="{89A0A96B-A339-44AB-8EB7-0E9B7C1E0799}"/>
    <cellStyle name="Normal 12 2 3 5" xfId="2015" xr:uid="{00000000-0005-0000-0000-0000030E0000}"/>
    <cellStyle name="Normal 12 2 3 5 2" xfId="4244" xr:uid="{00000000-0005-0000-0000-0000040E0000}"/>
    <cellStyle name="Normal 12 2 3 5 2 2" xfId="8466" xr:uid="{00000000-0005-0000-0000-0000050E0000}"/>
    <cellStyle name="Normal 12 2 3 5 2 2 2" xfId="17792" xr:uid="{52FF905D-ABCE-4681-B644-6E46C091C90B}"/>
    <cellStyle name="Normal 12 2 3 5 2 3" xfId="13575" xr:uid="{C1FFC2FF-99EA-4F7C-8713-FD9BB635D403}"/>
    <cellStyle name="Normal 12 2 3 5 3" xfId="6321" xr:uid="{00000000-0005-0000-0000-0000060E0000}"/>
    <cellStyle name="Normal 12 2 3 5 3 2" xfId="15647" xr:uid="{AE051F8C-1A83-42B8-BBC2-8CB43732F348}"/>
    <cellStyle name="Normal 12 2 3 5 4" xfId="11430" xr:uid="{563D80D3-FADD-4194-A6F8-06C3CD315AFE}"/>
    <cellStyle name="Normal 12 2 3 6" xfId="2451" xr:uid="{00000000-0005-0000-0000-0000070E0000}"/>
    <cellStyle name="Normal 12 2 3 6 2" xfId="6734" xr:uid="{00000000-0005-0000-0000-0000080E0000}"/>
    <cellStyle name="Normal 12 2 3 6 2 2" xfId="16060" xr:uid="{4DDCB628-E78F-4BDF-B8F0-DDEB8A56466F}"/>
    <cellStyle name="Normal 12 2 3 6 3" xfId="11843" xr:uid="{95E0DE96-C465-4306-AEFB-5AADAF820943}"/>
    <cellStyle name="Normal 12 2 3 7" xfId="4668" xr:uid="{00000000-0005-0000-0000-0000090E0000}"/>
    <cellStyle name="Normal 12 2 3 7 2" xfId="13994" xr:uid="{C778DEA7-835A-4A45-8793-E04CBA653791}"/>
    <cellStyle name="Normal 12 2 3 8" xfId="9018" xr:uid="{C3F41DC6-3A80-4145-A68D-169ABB54B6D0}"/>
    <cellStyle name="Normal 12 2 3 8 2" xfId="18342" xr:uid="{15AEB29C-A446-42EF-A8F2-079768715A41}"/>
    <cellStyle name="Normal 12 2 3 9" xfId="9777" xr:uid="{EA67C564-4054-4352-88C3-BD20E1C27660}"/>
    <cellStyle name="Normal 12 2 4" xfId="761" xr:uid="{00000000-0005-0000-0000-00000A0E0000}"/>
    <cellStyle name="Normal 12 2 4 2" xfId="3002" xr:uid="{00000000-0005-0000-0000-00000B0E0000}"/>
    <cellStyle name="Normal 12 2 4 2 2" xfId="7224" xr:uid="{00000000-0005-0000-0000-00000C0E0000}"/>
    <cellStyle name="Normal 12 2 4 2 2 2" xfId="16550" xr:uid="{8EE9134A-C314-4DC8-80B1-A883947FD01E}"/>
    <cellStyle name="Normal 12 2 4 2 3" xfId="12333" xr:uid="{A7F7C25C-530C-4DDD-AC78-D3BB1AD4A8A7}"/>
    <cellStyle name="Normal 12 2 4 3" xfId="5079" xr:uid="{00000000-0005-0000-0000-00000D0E0000}"/>
    <cellStyle name="Normal 12 2 4 3 2" xfId="14405" xr:uid="{69572FF4-389D-4B38-A209-448E798BCA7A}"/>
    <cellStyle name="Normal 12 2 4 4" xfId="9236" xr:uid="{C3D0196D-4BB3-4870-9762-A3CF40E5B45B}"/>
    <cellStyle name="Normal 12 2 4 4 2" xfId="18551" xr:uid="{0C16FE00-D193-4930-8799-68816F0ACF03}"/>
    <cellStyle name="Normal 12 2 4 5" xfId="10188" xr:uid="{3188BBC9-D83A-4E41-84C6-F1AC8D786326}"/>
    <cellStyle name="Normal 12 2 5" xfId="1184" xr:uid="{00000000-0005-0000-0000-00000E0E0000}"/>
    <cellStyle name="Normal 12 2 5 2" xfId="3415" xr:uid="{00000000-0005-0000-0000-00000F0E0000}"/>
    <cellStyle name="Normal 12 2 5 2 2" xfId="7637" xr:uid="{00000000-0005-0000-0000-0000100E0000}"/>
    <cellStyle name="Normal 12 2 5 2 2 2" xfId="16963" xr:uid="{9CBCAEDB-3034-4607-B62D-DAAE0851D064}"/>
    <cellStyle name="Normal 12 2 5 2 3" xfId="12746" xr:uid="{DEC5DA1D-42E7-42AD-92EE-1D8D73326DA8}"/>
    <cellStyle name="Normal 12 2 5 3" xfId="5492" xr:uid="{00000000-0005-0000-0000-0000110E0000}"/>
    <cellStyle name="Normal 12 2 5 3 2" xfId="14818" xr:uid="{F55B819C-0B50-4087-91CA-5D5D7E7CDF7D}"/>
    <cellStyle name="Normal 12 2 5 4" xfId="10601" xr:uid="{61704B09-5D71-4C28-A8AE-0FEEF12E8EC9}"/>
    <cellStyle name="Normal 12 2 6" xfId="1598" xr:uid="{00000000-0005-0000-0000-0000120E0000}"/>
    <cellStyle name="Normal 12 2 6 2" xfId="3828" xr:uid="{00000000-0005-0000-0000-0000130E0000}"/>
    <cellStyle name="Normal 12 2 6 2 2" xfId="8050" xr:uid="{00000000-0005-0000-0000-0000140E0000}"/>
    <cellStyle name="Normal 12 2 6 2 2 2" xfId="17376" xr:uid="{D8196717-73CC-435A-A90F-A031BB617666}"/>
    <cellStyle name="Normal 12 2 6 2 3" xfId="13159" xr:uid="{6E0E3C83-B497-4110-8271-10652BB46F59}"/>
    <cellStyle name="Normal 12 2 6 3" xfId="5905" xr:uid="{00000000-0005-0000-0000-0000150E0000}"/>
    <cellStyle name="Normal 12 2 6 3 2" xfId="15231" xr:uid="{DD6380CC-79D2-4321-B449-AD4EE0F683C4}"/>
    <cellStyle name="Normal 12 2 6 4" xfId="11014" xr:uid="{27DBA7C9-CE35-40D6-BD9B-3B2CD828857E}"/>
    <cellStyle name="Normal 12 2 7" xfId="2012" xr:uid="{00000000-0005-0000-0000-0000160E0000}"/>
    <cellStyle name="Normal 12 2 7 2" xfId="4241" xr:uid="{00000000-0005-0000-0000-0000170E0000}"/>
    <cellStyle name="Normal 12 2 7 2 2" xfId="8463" xr:uid="{00000000-0005-0000-0000-0000180E0000}"/>
    <cellStyle name="Normal 12 2 7 2 2 2" xfId="17789" xr:uid="{2422321F-A53F-46DE-84CE-BF46560766FC}"/>
    <cellStyle name="Normal 12 2 7 2 3" xfId="13572" xr:uid="{4E2FE870-EB46-4B4D-A186-270FE29131A5}"/>
    <cellStyle name="Normal 12 2 7 3" xfId="6318" xr:uid="{00000000-0005-0000-0000-0000190E0000}"/>
    <cellStyle name="Normal 12 2 7 3 2" xfId="15644" xr:uid="{F6F356C6-0170-4DD4-BFE7-E9D83688D544}"/>
    <cellStyle name="Normal 12 2 7 4" xfId="11427" xr:uid="{B51E5017-EA45-45F6-9392-AF34151AC172}"/>
    <cellStyle name="Normal 12 2 8" xfId="2448" xr:uid="{00000000-0005-0000-0000-00001A0E0000}"/>
    <cellStyle name="Normal 12 2 8 2" xfId="6731" xr:uid="{00000000-0005-0000-0000-00001B0E0000}"/>
    <cellStyle name="Normal 12 2 8 2 2" xfId="16057" xr:uid="{6359DCCC-786F-482E-88AB-DC46800F3C6E}"/>
    <cellStyle name="Normal 12 2 8 3" xfId="11840" xr:uid="{CEAD9F0B-2946-4834-99F6-97809B9485CA}"/>
    <cellStyle name="Normal 12 2 9" xfId="4665" xr:uid="{00000000-0005-0000-0000-00001C0E0000}"/>
    <cellStyle name="Normal 12 2 9 2" xfId="13991" xr:uid="{FFB571DC-F56B-4D47-A7E6-A78F3067B155}"/>
    <cellStyle name="Normal 12 3" xfId="264" xr:uid="{00000000-0005-0000-0000-00001D0E0000}"/>
    <cellStyle name="Normal 12 3 10" xfId="9778" xr:uid="{A1920C08-12C4-4320-B777-B5BD2A88698D}"/>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2 2 2" xfId="16555" xr:uid="{C078DDA9-7B47-4DAD-BA1B-18BB1054A498}"/>
    <cellStyle name="Normal 12 3 2 2 2 3" xfId="12338" xr:uid="{B8CCC5CA-2A7C-4EAC-906A-ABF4C6EDD0A1}"/>
    <cellStyle name="Normal 12 3 2 2 3" xfId="5084" xr:uid="{00000000-0005-0000-0000-0000220E0000}"/>
    <cellStyle name="Normal 12 3 2 2 3 2" xfId="14410" xr:uid="{2B674284-91A4-4EA4-AEB9-4C0070936E1B}"/>
    <cellStyle name="Normal 12 3 2 2 4" xfId="9505" xr:uid="{B127619B-367D-40AD-851E-01DDBB2DCD13}"/>
    <cellStyle name="Normal 12 3 2 2 4 2" xfId="18820" xr:uid="{03733E19-387D-429D-B3FB-AC061259C48C}"/>
    <cellStyle name="Normal 12 3 2 2 5" xfId="10193" xr:uid="{FF2B161B-73F8-4DE0-B7F7-B24516569C75}"/>
    <cellStyle name="Normal 12 3 2 3" xfId="1189" xr:uid="{00000000-0005-0000-0000-0000230E0000}"/>
    <cellStyle name="Normal 12 3 2 3 2" xfId="3420" xr:uid="{00000000-0005-0000-0000-0000240E0000}"/>
    <cellStyle name="Normal 12 3 2 3 2 2" xfId="7642" xr:uid="{00000000-0005-0000-0000-0000250E0000}"/>
    <cellStyle name="Normal 12 3 2 3 2 2 2" xfId="16968" xr:uid="{5FBA560C-2F88-4610-BEFD-0DFA7D4B0663}"/>
    <cellStyle name="Normal 12 3 2 3 2 3" xfId="12751" xr:uid="{23934CE3-9A08-42A3-A8F0-6CCEB065DECA}"/>
    <cellStyle name="Normal 12 3 2 3 3" xfId="5497" xr:uid="{00000000-0005-0000-0000-0000260E0000}"/>
    <cellStyle name="Normal 12 3 2 3 3 2" xfId="14823" xr:uid="{644EDB8A-2DEC-4B50-BBD2-EAC0855934F2}"/>
    <cellStyle name="Normal 12 3 2 3 4" xfId="10606" xr:uid="{9D678765-3F9B-46B1-90B3-7EFDB0A79887}"/>
    <cellStyle name="Normal 12 3 2 4" xfId="1603" xr:uid="{00000000-0005-0000-0000-0000270E0000}"/>
    <cellStyle name="Normal 12 3 2 4 2" xfId="3833" xr:uid="{00000000-0005-0000-0000-0000280E0000}"/>
    <cellStyle name="Normal 12 3 2 4 2 2" xfId="8055" xr:uid="{00000000-0005-0000-0000-0000290E0000}"/>
    <cellStyle name="Normal 12 3 2 4 2 2 2" xfId="17381" xr:uid="{07C97A21-82AD-4EAB-87B4-82A79E44F2F3}"/>
    <cellStyle name="Normal 12 3 2 4 2 3" xfId="13164" xr:uid="{9A1CACB6-2356-4365-ADED-7A2C218C8DD0}"/>
    <cellStyle name="Normal 12 3 2 4 3" xfId="5910" xr:uid="{00000000-0005-0000-0000-00002A0E0000}"/>
    <cellStyle name="Normal 12 3 2 4 3 2" xfId="15236" xr:uid="{3079848C-E14C-4D09-84FA-A1F1AC23B778}"/>
    <cellStyle name="Normal 12 3 2 4 4" xfId="11019" xr:uid="{D7ED1259-9774-4F50-9F95-16606D3A0CF2}"/>
    <cellStyle name="Normal 12 3 2 5" xfId="2017" xr:uid="{00000000-0005-0000-0000-00002B0E0000}"/>
    <cellStyle name="Normal 12 3 2 5 2" xfId="4246" xr:uid="{00000000-0005-0000-0000-00002C0E0000}"/>
    <cellStyle name="Normal 12 3 2 5 2 2" xfId="8468" xr:uid="{00000000-0005-0000-0000-00002D0E0000}"/>
    <cellStyle name="Normal 12 3 2 5 2 2 2" xfId="17794" xr:uid="{C6A69588-B5F9-4F0B-B69E-A815B92B2514}"/>
    <cellStyle name="Normal 12 3 2 5 2 3" xfId="13577" xr:uid="{D3BC8BF0-1FF1-4783-9D84-2FB33767AA56}"/>
    <cellStyle name="Normal 12 3 2 5 3" xfId="6323" xr:uid="{00000000-0005-0000-0000-00002E0E0000}"/>
    <cellStyle name="Normal 12 3 2 5 3 2" xfId="15649" xr:uid="{89552ADE-4A11-4801-A033-2AC9D2828783}"/>
    <cellStyle name="Normal 12 3 2 5 4" xfId="11432" xr:uid="{0531A542-C9E5-48BC-94E0-AC36560E3F26}"/>
    <cellStyle name="Normal 12 3 2 6" xfId="2453" xr:uid="{00000000-0005-0000-0000-00002F0E0000}"/>
    <cellStyle name="Normal 12 3 2 6 2" xfId="6736" xr:uid="{00000000-0005-0000-0000-0000300E0000}"/>
    <cellStyle name="Normal 12 3 2 6 2 2" xfId="16062" xr:uid="{46D10537-2432-4AB4-8591-A496F82B6923}"/>
    <cellStyle name="Normal 12 3 2 6 3" xfId="11845" xr:uid="{3E04AA99-1C89-46DB-8DF2-D929F154F359}"/>
    <cellStyle name="Normal 12 3 2 7" xfId="4670" xr:uid="{00000000-0005-0000-0000-0000310E0000}"/>
    <cellStyle name="Normal 12 3 2 7 2" xfId="13996" xr:uid="{3E2BFF82-F8B1-405A-956E-6095B77BFDD3}"/>
    <cellStyle name="Normal 12 3 2 8" xfId="9080" xr:uid="{403F3083-4A9F-4295-B676-C31241B8936E}"/>
    <cellStyle name="Normal 12 3 2 8 2" xfId="18404" xr:uid="{C5FB2AAD-9965-46EA-A4EC-3E137E13D05A}"/>
    <cellStyle name="Normal 12 3 2 9" xfId="9779" xr:uid="{D72CB30D-9027-456B-BAF0-7FD66F32F522}"/>
    <cellStyle name="Normal 12 3 3" xfId="765" xr:uid="{00000000-0005-0000-0000-0000320E0000}"/>
    <cellStyle name="Normal 12 3 3 2" xfId="3006" xr:uid="{00000000-0005-0000-0000-0000330E0000}"/>
    <cellStyle name="Normal 12 3 3 2 2" xfId="7228" xr:uid="{00000000-0005-0000-0000-0000340E0000}"/>
    <cellStyle name="Normal 12 3 3 2 2 2" xfId="16554" xr:uid="{D6F2443F-ED46-46C1-BA5F-99E896CD4DBA}"/>
    <cellStyle name="Normal 12 3 3 2 3" xfId="12337" xr:uid="{C1038230-CD4A-47D4-8CAD-8234B9D0C241}"/>
    <cellStyle name="Normal 12 3 3 3" xfId="5083" xr:uid="{00000000-0005-0000-0000-0000350E0000}"/>
    <cellStyle name="Normal 12 3 3 3 2" xfId="14409" xr:uid="{7798ACB1-D3F4-43B4-B1B4-4412C435005F}"/>
    <cellStyle name="Normal 12 3 3 4" xfId="9298" xr:uid="{A6F9D711-F86A-406D-B160-91678C261745}"/>
    <cellStyle name="Normal 12 3 3 4 2" xfId="18613" xr:uid="{49F5FDCA-C991-474C-9876-C5565A614CC7}"/>
    <cellStyle name="Normal 12 3 3 5" xfId="10192" xr:uid="{95DD123D-DFBB-417F-982E-60E0AD035889}"/>
    <cellStyle name="Normal 12 3 4" xfId="1188" xr:uid="{00000000-0005-0000-0000-0000360E0000}"/>
    <cellStyle name="Normal 12 3 4 2" xfId="3419" xr:uid="{00000000-0005-0000-0000-0000370E0000}"/>
    <cellStyle name="Normal 12 3 4 2 2" xfId="7641" xr:uid="{00000000-0005-0000-0000-0000380E0000}"/>
    <cellStyle name="Normal 12 3 4 2 2 2" xfId="16967" xr:uid="{11F080AB-0B97-4053-B66A-E43CD9D287D0}"/>
    <cellStyle name="Normal 12 3 4 2 3" xfId="12750" xr:uid="{585A3310-E25E-4BBB-A248-AFBC7D8F4E21}"/>
    <cellStyle name="Normal 12 3 4 3" xfId="5496" xr:uid="{00000000-0005-0000-0000-0000390E0000}"/>
    <cellStyle name="Normal 12 3 4 3 2" xfId="14822" xr:uid="{5877D9C7-C627-4650-8358-1A46A30E2596}"/>
    <cellStyle name="Normal 12 3 4 4" xfId="10605" xr:uid="{4BD23AE2-FA5A-48E8-A7A5-F9801CC963DD}"/>
    <cellStyle name="Normal 12 3 5" xfId="1602" xr:uid="{00000000-0005-0000-0000-00003A0E0000}"/>
    <cellStyle name="Normal 12 3 5 2" xfId="3832" xr:uid="{00000000-0005-0000-0000-00003B0E0000}"/>
    <cellStyle name="Normal 12 3 5 2 2" xfId="8054" xr:uid="{00000000-0005-0000-0000-00003C0E0000}"/>
    <cellStyle name="Normal 12 3 5 2 2 2" xfId="17380" xr:uid="{6814BD36-8609-4C30-A25A-1DECFDD2B940}"/>
    <cellStyle name="Normal 12 3 5 2 3" xfId="13163" xr:uid="{4F9484D0-3B9E-4453-BAA3-8B4644825867}"/>
    <cellStyle name="Normal 12 3 5 3" xfId="5909" xr:uid="{00000000-0005-0000-0000-00003D0E0000}"/>
    <cellStyle name="Normal 12 3 5 3 2" xfId="15235" xr:uid="{ABA9A4DB-5CB7-4824-BD80-1F6F40E87213}"/>
    <cellStyle name="Normal 12 3 5 4" xfId="11018" xr:uid="{30670D73-D1FF-441F-94D2-3580402AEDA4}"/>
    <cellStyle name="Normal 12 3 6" xfId="2016" xr:uid="{00000000-0005-0000-0000-00003E0E0000}"/>
    <cellStyle name="Normal 12 3 6 2" xfId="4245" xr:uid="{00000000-0005-0000-0000-00003F0E0000}"/>
    <cellStyle name="Normal 12 3 6 2 2" xfId="8467" xr:uid="{00000000-0005-0000-0000-0000400E0000}"/>
    <cellStyle name="Normal 12 3 6 2 2 2" xfId="17793" xr:uid="{42FCA4BE-F104-4D6A-A934-83E56CD3AA15}"/>
    <cellStyle name="Normal 12 3 6 2 3" xfId="13576" xr:uid="{B27E0EC0-BE2F-499F-9EEA-CF4C5B4132FA}"/>
    <cellStyle name="Normal 12 3 6 3" xfId="6322" xr:uid="{00000000-0005-0000-0000-0000410E0000}"/>
    <cellStyle name="Normal 12 3 6 3 2" xfId="15648" xr:uid="{A276989C-4E31-4C7C-A1F4-D2A17506DDB9}"/>
    <cellStyle name="Normal 12 3 6 4" xfId="11431" xr:uid="{1293A3A5-3F40-467B-AB71-96EA3D2ED480}"/>
    <cellStyle name="Normal 12 3 7" xfId="2452" xr:uid="{00000000-0005-0000-0000-0000420E0000}"/>
    <cellStyle name="Normal 12 3 7 2" xfId="6735" xr:uid="{00000000-0005-0000-0000-0000430E0000}"/>
    <cellStyle name="Normal 12 3 7 2 2" xfId="16061" xr:uid="{ADE47EFF-6E93-4754-A5A2-2F375F83727C}"/>
    <cellStyle name="Normal 12 3 7 3" xfId="11844" xr:uid="{5C2E115B-BC64-4125-A9D9-2DCF27D3A5FC}"/>
    <cellStyle name="Normal 12 3 8" xfId="4669" xr:uid="{00000000-0005-0000-0000-0000440E0000}"/>
    <cellStyle name="Normal 12 3 8 2" xfId="13995" xr:uid="{22D150CA-74E0-42A5-8C72-324E72E64455}"/>
    <cellStyle name="Normal 12 3 9" xfId="8873" xr:uid="{72AE7E6C-F254-4BFC-80A7-F73848FA4F21}"/>
    <cellStyle name="Normal 12 3 9 2" xfId="18197" xr:uid="{A8D553C6-DB04-42EF-8F66-3E434F74820C}"/>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2 2 2" xfId="16556" xr:uid="{BABD20BF-5734-40BC-88F8-ECCB9254A891}"/>
    <cellStyle name="Normal 12 4 2 2 3" xfId="12339" xr:uid="{6F58E0A3-4FD6-41F1-869D-19F162BB359E}"/>
    <cellStyle name="Normal 12 4 2 3" xfId="5085" xr:uid="{00000000-0005-0000-0000-0000490E0000}"/>
    <cellStyle name="Normal 12 4 2 3 2" xfId="14411" xr:uid="{245679B8-2FC8-4659-A10B-1B1C4C70E3F2}"/>
    <cellStyle name="Normal 12 4 2 4" xfId="9402" xr:uid="{F40C9AB7-F4D0-4A65-BBAA-FF5409160FE5}"/>
    <cellStyle name="Normal 12 4 2 4 2" xfId="18717" xr:uid="{25A61B7D-6989-4A7E-B459-20C39A128FF5}"/>
    <cellStyle name="Normal 12 4 2 5" xfId="10194" xr:uid="{85A6BF5D-C966-4FB0-A1C8-76F7D9736457}"/>
    <cellStyle name="Normal 12 4 3" xfId="1190" xr:uid="{00000000-0005-0000-0000-00004A0E0000}"/>
    <cellStyle name="Normal 12 4 3 2" xfId="3421" xr:uid="{00000000-0005-0000-0000-00004B0E0000}"/>
    <cellStyle name="Normal 12 4 3 2 2" xfId="7643" xr:uid="{00000000-0005-0000-0000-00004C0E0000}"/>
    <cellStyle name="Normal 12 4 3 2 2 2" xfId="16969" xr:uid="{235D5D48-65C8-4883-AA5C-A89A49D3AC14}"/>
    <cellStyle name="Normal 12 4 3 2 3" xfId="12752" xr:uid="{D81DD731-3F17-4F04-B7AA-153B9210794B}"/>
    <cellStyle name="Normal 12 4 3 3" xfId="5498" xr:uid="{00000000-0005-0000-0000-00004D0E0000}"/>
    <cellStyle name="Normal 12 4 3 3 2" xfId="14824" xr:uid="{EE1199B3-B877-4C73-8390-D20D47E3C60B}"/>
    <cellStyle name="Normal 12 4 3 4" xfId="10607" xr:uid="{E4359637-22A8-4147-8BEE-0DA457991686}"/>
    <cellStyle name="Normal 12 4 4" xfId="1604" xr:uid="{00000000-0005-0000-0000-00004E0E0000}"/>
    <cellStyle name="Normal 12 4 4 2" xfId="3834" xr:uid="{00000000-0005-0000-0000-00004F0E0000}"/>
    <cellStyle name="Normal 12 4 4 2 2" xfId="8056" xr:uid="{00000000-0005-0000-0000-0000500E0000}"/>
    <cellStyle name="Normal 12 4 4 2 2 2" xfId="17382" xr:uid="{FC04BB12-737E-4BC5-80DC-FA1EA2B73A6B}"/>
    <cellStyle name="Normal 12 4 4 2 3" xfId="13165" xr:uid="{47FE60F8-7D49-4E3E-B146-DA9B8CF886F5}"/>
    <cellStyle name="Normal 12 4 4 3" xfId="5911" xr:uid="{00000000-0005-0000-0000-0000510E0000}"/>
    <cellStyle name="Normal 12 4 4 3 2" xfId="15237" xr:uid="{00D269DD-C532-4744-8864-5E433FF80743}"/>
    <cellStyle name="Normal 12 4 4 4" xfId="11020" xr:uid="{321C08B1-FCB7-4CEC-BF18-95F48C405CDA}"/>
    <cellStyle name="Normal 12 4 5" xfId="2018" xr:uid="{00000000-0005-0000-0000-0000520E0000}"/>
    <cellStyle name="Normal 12 4 5 2" xfId="4247" xr:uid="{00000000-0005-0000-0000-0000530E0000}"/>
    <cellStyle name="Normal 12 4 5 2 2" xfId="8469" xr:uid="{00000000-0005-0000-0000-0000540E0000}"/>
    <cellStyle name="Normal 12 4 5 2 2 2" xfId="17795" xr:uid="{028254B3-FFAC-4193-9C16-E59D7C2C1ED6}"/>
    <cellStyle name="Normal 12 4 5 2 3" xfId="13578" xr:uid="{9A890A5E-334B-4E50-8FC0-4C1298D99FC3}"/>
    <cellStyle name="Normal 12 4 5 3" xfId="6324" xr:uid="{00000000-0005-0000-0000-0000550E0000}"/>
    <cellStyle name="Normal 12 4 5 3 2" xfId="15650" xr:uid="{836BD47E-A0B8-41E4-B717-58DF15436D05}"/>
    <cellStyle name="Normal 12 4 5 4" xfId="11433" xr:uid="{67C1419B-FE7A-48AF-921C-8B63F2DBF222}"/>
    <cellStyle name="Normal 12 4 6" xfId="2454" xr:uid="{00000000-0005-0000-0000-0000560E0000}"/>
    <cellStyle name="Normal 12 4 6 2" xfId="6737" xr:uid="{00000000-0005-0000-0000-0000570E0000}"/>
    <cellStyle name="Normal 12 4 6 2 2" xfId="16063" xr:uid="{548264E6-0690-46AF-8451-66147598559B}"/>
    <cellStyle name="Normal 12 4 6 3" xfId="11846" xr:uid="{2530D929-3C8F-421C-B002-3802E98AA0EB}"/>
    <cellStyle name="Normal 12 4 7" xfId="4671" xr:uid="{00000000-0005-0000-0000-0000580E0000}"/>
    <cellStyle name="Normal 12 4 7 2" xfId="13997" xr:uid="{E7EACB3D-03EC-46DC-B770-DBCF2D1B35A8}"/>
    <cellStyle name="Normal 12 4 8" xfId="8977" xr:uid="{5BFFE5F3-99F6-4DA1-A3EF-BF749B3B7ACB}"/>
    <cellStyle name="Normal 12 4 8 2" xfId="18301" xr:uid="{85CF218E-ABA4-452E-9126-3E211E69B8C5}"/>
    <cellStyle name="Normal 12 4 9" xfId="9780" xr:uid="{02D30D20-D250-423C-B365-214522537CB1}"/>
    <cellStyle name="Normal 12 5" xfId="267" xr:uid="{00000000-0005-0000-0000-0000590E0000}"/>
    <cellStyle name="Normal 12 5 2" xfId="9579" xr:uid="{43940F87-8803-4E34-B3E0-736FAF89CA32}"/>
    <cellStyle name="Normal 12 5 2 2" xfId="18894" xr:uid="{C4D23678-975C-4DC8-9443-6D56AAAE2D71}"/>
    <cellStyle name="Normal 12 5 3" xfId="9586" xr:uid="{72B01073-C2DA-4DF8-9E0D-6932F6AF67FF}"/>
    <cellStyle name="Normal 12 5 4" xfId="9156" xr:uid="{4BCB05AE-5738-4A10-9D4D-B3A4CD16FD2C}"/>
    <cellStyle name="Normal 12 5 4 2" xfId="18478" xr:uid="{87981A75-1B0C-4571-9243-1576F1E3E938}"/>
    <cellStyle name="Normal 12 6" xfId="760" xr:uid="{00000000-0005-0000-0000-00005A0E0000}"/>
    <cellStyle name="Normal 12 6 2" xfId="3001" xr:uid="{00000000-0005-0000-0000-00005B0E0000}"/>
    <cellStyle name="Normal 12 6 2 2" xfId="7223" xr:uid="{00000000-0005-0000-0000-00005C0E0000}"/>
    <cellStyle name="Normal 12 6 2 2 2" xfId="16549" xr:uid="{DCE01525-F4E7-45D9-8FFA-9F614EA095A5}"/>
    <cellStyle name="Normal 12 6 2 3" xfId="12332" xr:uid="{C17E0DD3-003C-4651-BE89-FC4706A1567D}"/>
    <cellStyle name="Normal 12 6 3" xfId="5078" xr:uid="{00000000-0005-0000-0000-00005D0E0000}"/>
    <cellStyle name="Normal 12 6 3 2" xfId="14404" xr:uid="{4E5CAA40-8898-4185-B1B6-2D917E30054C}"/>
    <cellStyle name="Normal 12 6 4" xfId="9194" xr:uid="{92D32932-3865-4F6F-A551-9A99EC116A43}"/>
    <cellStyle name="Normal 12 6 4 2" xfId="18510" xr:uid="{4C027284-0B5F-4E1A-A258-1C9CA005B3C5}"/>
    <cellStyle name="Normal 12 6 5" xfId="10187" xr:uid="{3FF0CD78-17B0-4945-BF1B-37068A620377}"/>
    <cellStyle name="Normal 12 7" xfId="1183" xr:uid="{00000000-0005-0000-0000-00005E0E0000}"/>
    <cellStyle name="Normal 12 7 2" xfId="3414" xr:uid="{00000000-0005-0000-0000-00005F0E0000}"/>
    <cellStyle name="Normal 12 7 2 2" xfId="7636" xr:uid="{00000000-0005-0000-0000-0000600E0000}"/>
    <cellStyle name="Normal 12 7 2 2 2" xfId="16962" xr:uid="{535D165B-9C12-4578-B776-85C1F550C132}"/>
    <cellStyle name="Normal 12 7 2 3" xfId="12745" xr:uid="{5C436765-C28C-4934-BBF8-82D88A756A55}"/>
    <cellStyle name="Normal 12 7 3" xfId="5491" xr:uid="{00000000-0005-0000-0000-0000610E0000}"/>
    <cellStyle name="Normal 12 7 3 2" xfId="14817" xr:uid="{337AEA21-A811-4C63-A609-21E5AF975B14}"/>
    <cellStyle name="Normal 12 7 4" xfId="10600" xr:uid="{34BD339F-853A-400A-8871-A401D6306EEC}"/>
    <cellStyle name="Normal 12 8" xfId="1597" xr:uid="{00000000-0005-0000-0000-0000620E0000}"/>
    <cellStyle name="Normal 12 8 2" xfId="3827" xr:uid="{00000000-0005-0000-0000-0000630E0000}"/>
    <cellStyle name="Normal 12 8 2 2" xfId="8049" xr:uid="{00000000-0005-0000-0000-0000640E0000}"/>
    <cellStyle name="Normal 12 8 2 2 2" xfId="17375" xr:uid="{B842167D-6CD4-4A32-AFF6-A8728EF934D3}"/>
    <cellStyle name="Normal 12 8 2 3" xfId="13158" xr:uid="{60240259-AE2C-4246-984A-B5B51156888E}"/>
    <cellStyle name="Normal 12 8 3" xfId="5904" xr:uid="{00000000-0005-0000-0000-0000650E0000}"/>
    <cellStyle name="Normal 12 8 3 2" xfId="15230" xr:uid="{8D84B2DB-7A78-48AA-8E5B-E6904C202835}"/>
    <cellStyle name="Normal 12 8 4" xfId="11013" xr:uid="{198C884F-FF9D-4FFE-AB10-B2484868F409}"/>
    <cellStyle name="Normal 12 9" xfId="2011" xr:uid="{00000000-0005-0000-0000-0000660E0000}"/>
    <cellStyle name="Normal 12 9 2" xfId="4240" xr:uid="{00000000-0005-0000-0000-0000670E0000}"/>
    <cellStyle name="Normal 12 9 2 2" xfId="8462" xr:uid="{00000000-0005-0000-0000-0000680E0000}"/>
    <cellStyle name="Normal 12 9 2 2 2" xfId="17788" xr:uid="{7F0DBB13-0D31-41DE-B65F-051B8A6835DD}"/>
    <cellStyle name="Normal 12 9 2 3" xfId="13571" xr:uid="{521604A7-315C-47CD-AC23-09A6A1C269E3}"/>
    <cellStyle name="Normal 12 9 3" xfId="6317" xr:uid="{00000000-0005-0000-0000-0000690E0000}"/>
    <cellStyle name="Normal 12 9 3 2" xfId="15643" xr:uid="{3C255C55-C7E0-4153-937F-913DCAB749DF}"/>
    <cellStyle name="Normal 12 9 4" xfId="11426" xr:uid="{E948D10B-DE32-4B93-A54F-7EA6140E8363}"/>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2 2 2" xfId="16557" xr:uid="{A9F700F6-ABF3-4729-BB95-33E2021F092C}"/>
    <cellStyle name="Normal 14 2 2 3" xfId="12340" xr:uid="{D5B88314-6EFB-4D5A-855F-279D29DA9D44}"/>
    <cellStyle name="Normal 14 2 3" xfId="5086" xr:uid="{00000000-0005-0000-0000-0000700E0000}"/>
    <cellStyle name="Normal 14 2 3 2" xfId="14412" xr:uid="{7024B954-6D8C-4E3E-A25C-1F826F5BAD73}"/>
    <cellStyle name="Normal 14 2 4" xfId="9371" xr:uid="{E1AFB5B4-F468-480A-B09F-3374B2F03BDA}"/>
    <cellStyle name="Normal 14 2 4 2" xfId="18686" xr:uid="{74C95B47-2E34-4DEA-9E37-15547BE555DA}"/>
    <cellStyle name="Normal 14 2 5" xfId="10195" xr:uid="{1CD6AC9C-87F2-4E02-AD1B-F4A9BE69B29C}"/>
    <cellStyle name="Normal 14 3" xfId="1191" xr:uid="{00000000-0005-0000-0000-0000710E0000}"/>
    <cellStyle name="Normal 14 3 2" xfId="3422" xr:uid="{00000000-0005-0000-0000-0000720E0000}"/>
    <cellStyle name="Normal 14 3 2 2" xfId="7644" xr:uid="{00000000-0005-0000-0000-0000730E0000}"/>
    <cellStyle name="Normal 14 3 2 2 2" xfId="16970" xr:uid="{2342F87B-A327-4471-943B-1EF04CB2003C}"/>
    <cellStyle name="Normal 14 3 2 3" xfId="12753" xr:uid="{E18AA27C-C24C-4582-9132-B4D35BA43164}"/>
    <cellStyle name="Normal 14 3 3" xfId="5499" xr:uid="{00000000-0005-0000-0000-0000740E0000}"/>
    <cellStyle name="Normal 14 3 3 2" xfId="14825" xr:uid="{78316CC5-057C-4890-9C7B-3B2959E716FC}"/>
    <cellStyle name="Normal 14 3 4" xfId="10608" xr:uid="{08970464-735D-4E16-BA53-D67937AAC935}"/>
    <cellStyle name="Normal 14 4" xfId="1605" xr:uid="{00000000-0005-0000-0000-0000750E0000}"/>
    <cellStyle name="Normal 14 4 2" xfId="3835" xr:uid="{00000000-0005-0000-0000-0000760E0000}"/>
    <cellStyle name="Normal 14 4 2 2" xfId="8057" xr:uid="{00000000-0005-0000-0000-0000770E0000}"/>
    <cellStyle name="Normal 14 4 2 2 2" xfId="17383" xr:uid="{CD2463B0-CA77-424A-831C-DCE478124B11}"/>
    <cellStyle name="Normal 14 4 2 3" xfId="13166" xr:uid="{E3DAAF8E-B703-46C4-8CAC-73ADCB7951B7}"/>
    <cellStyle name="Normal 14 4 3" xfId="5912" xr:uid="{00000000-0005-0000-0000-0000780E0000}"/>
    <cellStyle name="Normal 14 4 3 2" xfId="15238" xr:uid="{9C9AE008-BE80-4527-9A35-AF707D3F7E02}"/>
    <cellStyle name="Normal 14 4 4" xfId="11021" xr:uid="{8994F9CB-15E3-48F7-87B6-4D0C84224213}"/>
    <cellStyle name="Normal 14 5" xfId="2019" xr:uid="{00000000-0005-0000-0000-0000790E0000}"/>
    <cellStyle name="Normal 14 5 2" xfId="4248" xr:uid="{00000000-0005-0000-0000-00007A0E0000}"/>
    <cellStyle name="Normal 14 5 2 2" xfId="8470" xr:uid="{00000000-0005-0000-0000-00007B0E0000}"/>
    <cellStyle name="Normal 14 5 2 2 2" xfId="17796" xr:uid="{8909B0BF-A9F9-4287-8BD4-6F15F34FA5E1}"/>
    <cellStyle name="Normal 14 5 2 3" xfId="13579" xr:uid="{F47C5BFA-C80A-46DF-92DC-4E6848E419EE}"/>
    <cellStyle name="Normal 14 5 3" xfId="6325" xr:uid="{00000000-0005-0000-0000-00007C0E0000}"/>
    <cellStyle name="Normal 14 5 3 2" xfId="15651" xr:uid="{7909A559-9BD5-4A55-A1B7-9C31D033DE65}"/>
    <cellStyle name="Normal 14 5 4" xfId="11434" xr:uid="{9272C482-5B32-4236-A9B5-A4A065C4822A}"/>
    <cellStyle name="Normal 14 6" xfId="2455" xr:uid="{00000000-0005-0000-0000-00007D0E0000}"/>
    <cellStyle name="Normal 14 6 2" xfId="6738" xr:uid="{00000000-0005-0000-0000-00007E0E0000}"/>
    <cellStyle name="Normal 14 6 2 2" xfId="16064" xr:uid="{DE0D68D9-7231-4857-B504-66A2BF5FDBFC}"/>
    <cellStyle name="Normal 14 6 3" xfId="11847" xr:uid="{ACE5FC48-526E-4E4D-8FE0-6B2158A37515}"/>
    <cellStyle name="Normal 14 7" xfId="4672" xr:uid="{00000000-0005-0000-0000-00007F0E0000}"/>
    <cellStyle name="Normal 14 7 2" xfId="13998" xr:uid="{FB8E177C-F857-467C-86C4-52927B9A26AE}"/>
    <cellStyle name="Normal 14 8" xfId="8946" xr:uid="{DD997A1C-6669-41AA-8AC1-78121AFC796C}"/>
    <cellStyle name="Normal 14 8 2" xfId="18270" xr:uid="{F1C00DC2-4249-4B9E-B8F8-8653C7334837}"/>
    <cellStyle name="Normal 14 9" xfId="9781" xr:uid="{F61EBF9B-6A57-4E50-853E-2C1EFE97C64A}"/>
    <cellStyle name="Normal 15" xfId="4496" xr:uid="{00000000-0005-0000-0000-0000800E0000}"/>
    <cellStyle name="Normal 15 2" xfId="9578" xr:uid="{99513E76-E7E2-49D8-ADC5-F882C61FFC79}"/>
    <cellStyle name="Normal 15 2 2" xfId="18893" xr:uid="{BDDC592E-75EF-4A75-8BCB-FEB85CF62298}"/>
    <cellStyle name="Normal 15 3" xfId="9155" xr:uid="{47700DD8-A88A-4CB4-BFAD-BA75A2D4FC8E}"/>
    <cellStyle name="Normal 15 3 2" xfId="18477" xr:uid="{2235C011-ABFB-407E-9FC1-4D04F9F18568}"/>
    <cellStyle name="Normal 15 4" xfId="13824" xr:uid="{5969BFB1-B5DE-4629-887C-676B10F375C9}"/>
    <cellStyle name="Normal 16" xfId="4500" xr:uid="{00000000-0005-0000-0000-0000810E0000}"/>
    <cellStyle name="Normal 16 2" xfId="8715" xr:uid="{00000000-0005-0000-0000-0000820E0000}"/>
    <cellStyle name="Normal 16 2 2" xfId="18041" xr:uid="{D95A0788-C211-4A67-82FE-FB7DF4BAA6CA}"/>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3 2 2 2 2 2 2" xfId="18060" xr:uid="{E6B318E5-2FFB-4C9D-BCB9-6F301FA1F16C}"/>
    <cellStyle name="Normal 16 3 2 2 2 2 3" xfId="18057" xr:uid="{56DB3852-18BB-454A-ADFB-7DFF9EEEE80B}"/>
    <cellStyle name="Normal 16 3 2 2 2 3" xfId="18054" xr:uid="{F5F75644-B1FE-4F4C-8B03-649F6D55353E}"/>
    <cellStyle name="Normal 16 3 2 2 3" xfId="18050" xr:uid="{3063B949-A6FD-49BD-93BE-AEEFBCBC2C68}"/>
    <cellStyle name="Normal 16 3 2 3" xfId="18047" xr:uid="{4285F20A-B065-4939-B880-C77A028497DF}"/>
    <cellStyle name="Normal 16 3 3" xfId="18044" xr:uid="{492AFC42-6FA1-4DDC-9CB8-DE283949EC31}"/>
    <cellStyle name="Normal 16 4" xfId="9612" xr:uid="{8729F6E8-3534-4DAE-B0B2-B2AF3CDCD313}"/>
    <cellStyle name="Normal 16 5" xfId="13827" xr:uid="{8C050B78-A30B-4D48-AD83-A027363692EB}"/>
    <cellStyle name="Normal 17" xfId="8728" xr:uid="{3FF0972C-833B-4475-99D8-1A6907499E71}"/>
    <cellStyle name="Normal 17 2" xfId="9157" xr:uid="{6C872296-5E17-4821-9139-E52AD113B06C}"/>
    <cellStyle name="Normal 17 3" xfId="9154" xr:uid="{DC3FF210-EC1F-47CE-8CCE-F8F5460671B1}"/>
    <cellStyle name="Normal 17 4" xfId="18053" xr:uid="{A63AA782-9DBF-4400-B44F-C36E169A02E9}"/>
    <cellStyle name="Normal 18" xfId="9153" xr:uid="{EF04732C-9519-4C21-BD73-A108E18EA17F}"/>
    <cellStyle name="Normal 19" xfId="8739" xr:uid="{D907EBA7-1F94-4726-9ABB-7E7835FFF57E}"/>
    <cellStyle name="Normal 19 2" xfId="18063" xr:uid="{0492B510-1FF5-4728-8ADE-62D2B31C210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10 2" xfId="18072" xr:uid="{36EC61A0-A1B9-40B2-A22E-C89C58527CDD}"/>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17797" xr:uid="{11702645-546D-4DB8-AD3C-351A1B474F94}"/>
    <cellStyle name="Normal 2 4 2 10 2 3" xfId="13580" xr:uid="{1CBE22D0-8967-4620-80E1-8A3728D5CA54}"/>
    <cellStyle name="Normal 2 4 2 10 3" xfId="6326" xr:uid="{00000000-0005-0000-0000-0000910E0000}"/>
    <cellStyle name="Normal 2 4 2 10 3 2" xfId="15652" xr:uid="{C1766437-5BAF-4D1B-AD61-8A69ECD3F1E7}"/>
    <cellStyle name="Normal 2 4 2 10 4" xfId="11435" xr:uid="{5B360A74-0609-4439-B228-3EEF6865ECEA}"/>
    <cellStyle name="Normal 2 4 2 11" xfId="2456" xr:uid="{00000000-0005-0000-0000-0000920E0000}"/>
    <cellStyle name="Normal 2 4 2 11 2" xfId="6739" xr:uid="{00000000-0005-0000-0000-0000930E0000}"/>
    <cellStyle name="Normal 2 4 2 11 2 2" xfId="16065" xr:uid="{30A3B860-087B-47CA-999D-029ACA6659C2}"/>
    <cellStyle name="Normal 2 4 2 11 3" xfId="11848" xr:uid="{F2F4A12B-E4AC-449D-AF08-10107B4EC7DC}"/>
    <cellStyle name="Normal 2 4 2 12" xfId="4673" xr:uid="{00000000-0005-0000-0000-0000940E0000}"/>
    <cellStyle name="Normal 2 4 2 12 2" xfId="13999" xr:uid="{C00CC18A-1D04-4483-8E20-E5124E1BF07B}"/>
    <cellStyle name="Normal 2 4 2 13" xfId="8757" xr:uid="{563A76DD-F7DD-49F0-A61E-0419F4C31301}"/>
    <cellStyle name="Normal 2 4 2 13 2" xfId="18081" xr:uid="{FAF330F5-A7EC-42A8-A71C-0EDDAF8FE516}"/>
    <cellStyle name="Normal 2 4 2 14" xfId="9782" xr:uid="{6A8288FF-99D0-49E5-B254-A8219553D3E4}"/>
    <cellStyle name="Normal 2 4 2 2" xfId="280" xr:uid="{00000000-0005-0000-0000-0000950E0000}"/>
    <cellStyle name="Normal 2 4 2 3" xfId="281" xr:uid="{00000000-0005-0000-0000-0000960E0000}"/>
    <cellStyle name="Normal 2 4 2 3 10" xfId="4674" xr:uid="{00000000-0005-0000-0000-0000970E0000}"/>
    <cellStyle name="Normal 2 4 2 3 10 2" xfId="14000" xr:uid="{61080481-426D-4580-B846-C3F254560F4D}"/>
    <cellStyle name="Normal 2 4 2 3 11" xfId="8788" xr:uid="{EAD3D227-C8EF-4F54-8D24-EE1EA1F017BB}"/>
    <cellStyle name="Normal 2 4 2 3 11 2" xfId="18112" xr:uid="{4C3E1083-5490-4EE0-866B-8689DA9B1689}"/>
    <cellStyle name="Normal 2 4 2 3 12" xfId="9783" xr:uid="{63C6BAC8-FFA3-4C1B-B151-9E71C418AAA8}"/>
    <cellStyle name="Normal 2 4 2 3 2" xfId="282" xr:uid="{00000000-0005-0000-0000-0000980E0000}"/>
    <cellStyle name="Normal 2 4 2 3 2 10" xfId="8813" xr:uid="{C03AE35D-2438-4E07-AE9C-6D04EC6DA2B7}"/>
    <cellStyle name="Normal 2 4 2 3 2 10 2" xfId="18137" xr:uid="{2D8C269D-DCBD-454D-9810-0694CAE190EB}"/>
    <cellStyle name="Normal 2 4 2 3 2 11" xfId="9784" xr:uid="{927536DB-AFA8-46D3-81CC-B01E75CF47E5}"/>
    <cellStyle name="Normal 2 4 2 3 2 2" xfId="283" xr:uid="{00000000-0005-0000-0000-0000990E0000}"/>
    <cellStyle name="Normal 2 4 2 3 2 2 10" xfId="9785" xr:uid="{9024C86D-726D-49D0-88DA-C6BB16381418}"/>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16562" xr:uid="{521E2BD7-BE79-4C53-A823-4DF23065533E}"/>
    <cellStyle name="Normal 2 4 2 3 2 2 2 2 2 3" xfId="12345" xr:uid="{4C30AA27-C4ED-4A4B-A54D-A4D89CAED880}"/>
    <cellStyle name="Normal 2 4 2 3 2 2 2 2 3" xfId="5091" xr:uid="{00000000-0005-0000-0000-00009E0E0000}"/>
    <cellStyle name="Normal 2 4 2 3 2 2 2 2 3 2" xfId="14417" xr:uid="{CD9FD92F-5364-4E64-BC62-A03E66B0D582}"/>
    <cellStyle name="Normal 2 4 2 3 2 2 2 2 4" xfId="9548" xr:uid="{29E7289E-B3F4-4F63-9B9C-B531B0E50CEB}"/>
    <cellStyle name="Normal 2 4 2 3 2 2 2 2 4 2" xfId="18863" xr:uid="{014EDB31-F4C6-4E0F-95C1-1DCDE8B2BA2C}"/>
    <cellStyle name="Normal 2 4 2 3 2 2 2 2 5" xfId="10200" xr:uid="{2766B0BB-F2DB-4E9F-900A-91034EDA12E8}"/>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16975" xr:uid="{D410068B-CE16-447B-AE78-5C580BFD114F}"/>
    <cellStyle name="Normal 2 4 2 3 2 2 2 3 2 3" xfId="12758" xr:uid="{A1C7CC0F-C342-476F-B180-1B3AD01B40EF}"/>
    <cellStyle name="Normal 2 4 2 3 2 2 2 3 3" xfId="5504" xr:uid="{00000000-0005-0000-0000-0000A20E0000}"/>
    <cellStyle name="Normal 2 4 2 3 2 2 2 3 3 2" xfId="14830" xr:uid="{B165B4EC-70CB-433D-A48F-5927FCABBF53}"/>
    <cellStyle name="Normal 2 4 2 3 2 2 2 3 4" xfId="10613" xr:uid="{EECB3C7F-7397-4B26-ABD0-B44DF33BF351}"/>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17388" xr:uid="{2B365DCC-C10A-4D43-A743-90A1FA74491B}"/>
    <cellStyle name="Normal 2 4 2 3 2 2 2 4 2 3" xfId="13171" xr:uid="{4327A0E8-3AC3-4734-BF6B-E65C2FD1F85F}"/>
    <cellStyle name="Normal 2 4 2 3 2 2 2 4 3" xfId="5917" xr:uid="{00000000-0005-0000-0000-0000A60E0000}"/>
    <cellStyle name="Normal 2 4 2 3 2 2 2 4 3 2" xfId="15243" xr:uid="{F94E1DA9-83C9-461E-91D7-0D31353E8C7B}"/>
    <cellStyle name="Normal 2 4 2 3 2 2 2 4 4" xfId="11026" xr:uid="{1BFE7296-24C0-48C5-BDF1-EF6BE0390DBE}"/>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17801" xr:uid="{E13C73C9-DC0C-4B0C-8879-BDA3BEAAC14B}"/>
    <cellStyle name="Normal 2 4 2 3 2 2 2 5 2 3" xfId="13584" xr:uid="{7D8AAB3C-FB2C-4C6E-B97E-6874748070FD}"/>
    <cellStyle name="Normal 2 4 2 3 2 2 2 5 3" xfId="6330" xr:uid="{00000000-0005-0000-0000-0000AA0E0000}"/>
    <cellStyle name="Normal 2 4 2 3 2 2 2 5 3 2" xfId="15656" xr:uid="{21E0554F-8232-4B1D-84D8-BAB9F4BDFE3E}"/>
    <cellStyle name="Normal 2 4 2 3 2 2 2 5 4" xfId="11439" xr:uid="{1F093104-4A7C-45DB-BB11-5E46D85938F7}"/>
    <cellStyle name="Normal 2 4 2 3 2 2 2 6" xfId="2460" xr:uid="{00000000-0005-0000-0000-0000AB0E0000}"/>
    <cellStyle name="Normal 2 4 2 3 2 2 2 6 2" xfId="6743" xr:uid="{00000000-0005-0000-0000-0000AC0E0000}"/>
    <cellStyle name="Normal 2 4 2 3 2 2 2 6 2 2" xfId="16069" xr:uid="{3791E9CD-0351-42C6-B202-DCAE7BADB69B}"/>
    <cellStyle name="Normal 2 4 2 3 2 2 2 6 3" xfId="11852" xr:uid="{BC841F67-376A-4355-94FB-1315C5778B7E}"/>
    <cellStyle name="Normal 2 4 2 3 2 2 2 7" xfId="4677" xr:uid="{00000000-0005-0000-0000-0000AD0E0000}"/>
    <cellStyle name="Normal 2 4 2 3 2 2 2 7 2" xfId="14003" xr:uid="{E192DD6F-A1F3-4BC5-9A06-AE855EFBBB7D}"/>
    <cellStyle name="Normal 2 4 2 3 2 2 2 8" xfId="9123" xr:uid="{9F0183A9-880D-46D9-BB7D-5696E4723F5F}"/>
    <cellStyle name="Normal 2 4 2 3 2 2 2 8 2" xfId="18447" xr:uid="{B69EDB61-4F8E-4E51-B6B1-8831F0E297CB}"/>
    <cellStyle name="Normal 2 4 2 3 2 2 2 9" xfId="9786" xr:uid="{A3C1F6C0-08A1-4710-993F-FBC5C1E5866D}"/>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16561" xr:uid="{AC0AA4EC-72E0-4975-A342-31C2DCADC907}"/>
    <cellStyle name="Normal 2 4 2 3 2 2 3 2 3" xfId="12344" xr:uid="{C853AFB9-73E7-4104-9AA6-D6380CB2535B}"/>
    <cellStyle name="Normal 2 4 2 3 2 2 3 3" xfId="5090" xr:uid="{00000000-0005-0000-0000-0000B10E0000}"/>
    <cellStyle name="Normal 2 4 2 3 2 2 3 3 2" xfId="14416" xr:uid="{F44EA9B4-325A-41AB-87A8-C81826A26140}"/>
    <cellStyle name="Normal 2 4 2 3 2 2 3 4" xfId="9341" xr:uid="{4F113FF5-050D-47D1-A7D5-F829C93D993D}"/>
    <cellStyle name="Normal 2 4 2 3 2 2 3 4 2" xfId="18656" xr:uid="{F781BC4A-62E9-4B17-9261-31B5ECBEE447}"/>
    <cellStyle name="Normal 2 4 2 3 2 2 3 5" xfId="10199" xr:uid="{699149CC-7FA2-4AC8-966A-045875945692}"/>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16974" xr:uid="{5C9059BE-46FE-4C93-A91B-4F4CAF747EAF}"/>
    <cellStyle name="Normal 2 4 2 3 2 2 4 2 3" xfId="12757" xr:uid="{6043D7B1-3021-42C3-B162-FC4392E29A75}"/>
    <cellStyle name="Normal 2 4 2 3 2 2 4 3" xfId="5503" xr:uid="{00000000-0005-0000-0000-0000B50E0000}"/>
    <cellStyle name="Normal 2 4 2 3 2 2 4 3 2" xfId="14829" xr:uid="{F29C7ECF-EDD3-4D8C-BDD6-A192E9E9C627}"/>
    <cellStyle name="Normal 2 4 2 3 2 2 4 4" xfId="10612" xr:uid="{0865314C-9801-4C30-8328-3ED2ED5C25B6}"/>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17387" xr:uid="{34F6C042-E61D-4F86-AEE2-0984B3CBC782}"/>
    <cellStyle name="Normal 2 4 2 3 2 2 5 2 3" xfId="13170" xr:uid="{6E40F32F-6215-4CBD-B41A-ED21A5C58A28}"/>
    <cellStyle name="Normal 2 4 2 3 2 2 5 3" xfId="5916" xr:uid="{00000000-0005-0000-0000-0000B90E0000}"/>
    <cellStyle name="Normal 2 4 2 3 2 2 5 3 2" xfId="15242" xr:uid="{7AD68E96-2487-422F-AF1F-5ED989E2B00B}"/>
    <cellStyle name="Normal 2 4 2 3 2 2 5 4" xfId="11025" xr:uid="{EC9DD859-4C41-4E8B-B881-5B90DCD4E605}"/>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17800" xr:uid="{64976394-9B65-46B4-B376-CC1DD3DD6364}"/>
    <cellStyle name="Normal 2 4 2 3 2 2 6 2 3" xfId="13583" xr:uid="{3937AD5E-AF79-45FC-AFD6-5D39050E4C45}"/>
    <cellStyle name="Normal 2 4 2 3 2 2 6 3" xfId="6329" xr:uid="{00000000-0005-0000-0000-0000BD0E0000}"/>
    <cellStyle name="Normal 2 4 2 3 2 2 6 3 2" xfId="15655" xr:uid="{45D933B3-269E-4B5D-B657-F0D5C42B8CA6}"/>
    <cellStyle name="Normal 2 4 2 3 2 2 6 4" xfId="11438" xr:uid="{6319E446-7490-4927-9620-CCC27886CEC2}"/>
    <cellStyle name="Normal 2 4 2 3 2 2 7" xfId="2459" xr:uid="{00000000-0005-0000-0000-0000BE0E0000}"/>
    <cellStyle name="Normal 2 4 2 3 2 2 7 2" xfId="6742" xr:uid="{00000000-0005-0000-0000-0000BF0E0000}"/>
    <cellStyle name="Normal 2 4 2 3 2 2 7 2 2" xfId="16068" xr:uid="{4AC5CAEA-7812-4B8E-BF7D-FEFA2A668414}"/>
    <cellStyle name="Normal 2 4 2 3 2 2 7 3" xfId="11851" xr:uid="{DE2D67E4-5008-4551-BDE6-C73D7CA551F1}"/>
    <cellStyle name="Normal 2 4 2 3 2 2 8" xfId="4676" xr:uid="{00000000-0005-0000-0000-0000C00E0000}"/>
    <cellStyle name="Normal 2 4 2 3 2 2 8 2" xfId="14002" xr:uid="{B2B81F99-01FA-44D0-A325-8D900769DB65}"/>
    <cellStyle name="Normal 2 4 2 3 2 2 9" xfId="8916" xr:uid="{1EF18CC7-44BB-43EB-8DB6-D193CEF128C1}"/>
    <cellStyle name="Normal 2 4 2 3 2 2 9 2" xfId="18240" xr:uid="{A3BCD1F9-7AD5-4224-9E3F-E031DE7D8C3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16563" xr:uid="{22DD6D5B-163A-4C62-9A66-828E8A645058}"/>
    <cellStyle name="Normal 2 4 2 3 2 3 2 2 3" xfId="12346" xr:uid="{322A7112-20AD-469E-82F5-E0F7F6EF20E7}"/>
    <cellStyle name="Normal 2 4 2 3 2 3 2 3" xfId="5092" xr:uid="{00000000-0005-0000-0000-0000C50E0000}"/>
    <cellStyle name="Normal 2 4 2 3 2 3 2 3 2" xfId="14418" xr:uid="{B6756242-0C75-48FE-B11B-AE4CCD28016B}"/>
    <cellStyle name="Normal 2 4 2 3 2 3 2 4" xfId="9445" xr:uid="{67F9E33C-8554-469D-8D7A-1147F632F3B0}"/>
    <cellStyle name="Normal 2 4 2 3 2 3 2 4 2" xfId="18760" xr:uid="{8DB6A656-4345-49C6-BACF-89D82E4C121F}"/>
    <cellStyle name="Normal 2 4 2 3 2 3 2 5" xfId="10201" xr:uid="{6D013987-3C38-4721-A9CF-C0551B11940A}"/>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16976" xr:uid="{A7B9C267-1E06-4030-88B5-4DFE68A2D046}"/>
    <cellStyle name="Normal 2 4 2 3 2 3 3 2 3" xfId="12759" xr:uid="{EA0752E5-CA0F-449C-94D9-A66C489177EB}"/>
    <cellStyle name="Normal 2 4 2 3 2 3 3 3" xfId="5505" xr:uid="{00000000-0005-0000-0000-0000C90E0000}"/>
    <cellStyle name="Normal 2 4 2 3 2 3 3 3 2" xfId="14831" xr:uid="{CAA38C75-3017-424E-89D4-3E1BEB2082DE}"/>
    <cellStyle name="Normal 2 4 2 3 2 3 3 4" xfId="10614" xr:uid="{A03E11A8-3961-4FFF-A03A-62B29F176446}"/>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17389" xr:uid="{C9CA1FAF-4C8C-43A0-80FA-47159E0BD551}"/>
    <cellStyle name="Normal 2 4 2 3 2 3 4 2 3" xfId="13172" xr:uid="{C354104E-CB59-4D4B-904E-F537D01E5949}"/>
    <cellStyle name="Normal 2 4 2 3 2 3 4 3" xfId="5918" xr:uid="{00000000-0005-0000-0000-0000CD0E0000}"/>
    <cellStyle name="Normal 2 4 2 3 2 3 4 3 2" xfId="15244" xr:uid="{61BE08BB-3747-4C6C-8FA7-AEB6DDCB1385}"/>
    <cellStyle name="Normal 2 4 2 3 2 3 4 4" xfId="11027" xr:uid="{F3A07A90-C1FA-4852-AB53-5415B803B99C}"/>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17802" xr:uid="{3ADAAEAA-3AB9-4AEA-9D2E-C19D2B9637A8}"/>
    <cellStyle name="Normal 2 4 2 3 2 3 5 2 3" xfId="13585" xr:uid="{347E0ED8-2965-4C81-8FE1-02E96F644E00}"/>
    <cellStyle name="Normal 2 4 2 3 2 3 5 3" xfId="6331" xr:uid="{00000000-0005-0000-0000-0000D10E0000}"/>
    <cellStyle name="Normal 2 4 2 3 2 3 5 3 2" xfId="15657" xr:uid="{21ABE9A2-BD2B-462C-A714-5C0E83764F31}"/>
    <cellStyle name="Normal 2 4 2 3 2 3 5 4" xfId="11440" xr:uid="{58671791-7379-4779-B9DB-A03F1747C8F1}"/>
    <cellStyle name="Normal 2 4 2 3 2 3 6" xfId="2461" xr:uid="{00000000-0005-0000-0000-0000D20E0000}"/>
    <cellStyle name="Normal 2 4 2 3 2 3 6 2" xfId="6744" xr:uid="{00000000-0005-0000-0000-0000D30E0000}"/>
    <cellStyle name="Normal 2 4 2 3 2 3 6 2 2" xfId="16070" xr:uid="{3AAA18EC-87C7-4241-B7FE-F28D5CA53476}"/>
    <cellStyle name="Normal 2 4 2 3 2 3 6 3" xfId="11853" xr:uid="{F8911D5B-1240-4132-ADA1-85C98030D2E4}"/>
    <cellStyle name="Normal 2 4 2 3 2 3 7" xfId="4678" xr:uid="{00000000-0005-0000-0000-0000D40E0000}"/>
    <cellStyle name="Normal 2 4 2 3 2 3 7 2" xfId="14004" xr:uid="{22A4D8A0-64B6-4BC4-AB07-2E4AC4C1FB2B}"/>
    <cellStyle name="Normal 2 4 2 3 2 3 8" xfId="9020" xr:uid="{5718F785-8E2C-4B45-91D1-4597173D90A6}"/>
    <cellStyle name="Normal 2 4 2 3 2 3 8 2" xfId="18344" xr:uid="{ECCA0BAA-457E-4A54-ABAA-7DF52649F598}"/>
    <cellStyle name="Normal 2 4 2 3 2 3 9" xfId="9787" xr:uid="{BC1F654B-744B-4994-B767-03DE3D3F9A91}"/>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16560" xr:uid="{53FE6EE6-25F0-42AF-8920-8A3E7B433E78}"/>
    <cellStyle name="Normal 2 4 2 3 2 4 2 3" xfId="12343" xr:uid="{CA843FBF-9C27-4CF6-855F-C84B4FCC0013}"/>
    <cellStyle name="Normal 2 4 2 3 2 4 3" xfId="5089" xr:uid="{00000000-0005-0000-0000-0000D80E0000}"/>
    <cellStyle name="Normal 2 4 2 3 2 4 3 2" xfId="14415" xr:uid="{75E50492-4713-4931-B730-7B373FB930A3}"/>
    <cellStyle name="Normal 2 4 2 3 2 4 4" xfId="9238" xr:uid="{BC6E5A3D-C256-46E9-A109-D643C24AA206}"/>
    <cellStyle name="Normal 2 4 2 3 2 4 4 2" xfId="18553" xr:uid="{2258A5B7-0698-46BA-BCFB-2878559B4418}"/>
    <cellStyle name="Normal 2 4 2 3 2 4 5" xfId="10198" xr:uid="{32A3CBB7-DFCE-4247-B607-146C1D613849}"/>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16973" xr:uid="{10ACC655-325B-4A9E-BAF8-857A59BD5DD5}"/>
    <cellStyle name="Normal 2 4 2 3 2 5 2 3" xfId="12756" xr:uid="{BD4EA0F4-0EC1-48C6-87D2-EDDF69E07854}"/>
    <cellStyle name="Normal 2 4 2 3 2 5 3" xfId="5502" xr:uid="{00000000-0005-0000-0000-0000DC0E0000}"/>
    <cellStyle name="Normal 2 4 2 3 2 5 3 2" xfId="14828" xr:uid="{24FEFC34-FAA2-44FA-8447-3FDB90357B06}"/>
    <cellStyle name="Normal 2 4 2 3 2 5 4" xfId="10611" xr:uid="{C4185428-9B65-4744-A0FE-419905B377EA}"/>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17386" xr:uid="{A201EE82-7A8A-4034-BBF1-74CC6485D9FB}"/>
    <cellStyle name="Normal 2 4 2 3 2 6 2 3" xfId="13169" xr:uid="{75271B18-1E65-4749-820A-FAE89DE177C8}"/>
    <cellStyle name="Normal 2 4 2 3 2 6 3" xfId="5915" xr:uid="{00000000-0005-0000-0000-0000E00E0000}"/>
    <cellStyle name="Normal 2 4 2 3 2 6 3 2" xfId="15241" xr:uid="{A9BFF424-3F58-42AE-8363-C8EC8E00FC8B}"/>
    <cellStyle name="Normal 2 4 2 3 2 6 4" xfId="11024" xr:uid="{713E561B-FFF9-4A96-A72C-3FA22318982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17799" xr:uid="{005522B1-F7AC-455E-8473-2A4349745767}"/>
    <cellStyle name="Normal 2 4 2 3 2 7 2 3" xfId="13582" xr:uid="{5610A88D-7705-4BDF-A096-B8EB431BE49C}"/>
    <cellStyle name="Normal 2 4 2 3 2 7 3" xfId="6328" xr:uid="{00000000-0005-0000-0000-0000E40E0000}"/>
    <cellStyle name="Normal 2 4 2 3 2 7 3 2" xfId="15654" xr:uid="{79470EFD-38FD-401F-92F8-DF36F1F66630}"/>
    <cellStyle name="Normal 2 4 2 3 2 7 4" xfId="11437" xr:uid="{CE99F2E9-75D3-4646-8792-78575C83CE94}"/>
    <cellStyle name="Normal 2 4 2 3 2 8" xfId="2458" xr:uid="{00000000-0005-0000-0000-0000E50E0000}"/>
    <cellStyle name="Normal 2 4 2 3 2 8 2" xfId="6741" xr:uid="{00000000-0005-0000-0000-0000E60E0000}"/>
    <cellStyle name="Normal 2 4 2 3 2 8 2 2" xfId="16067" xr:uid="{2CF4D299-FCF8-4C0D-9743-340EA6E1D0E1}"/>
    <cellStyle name="Normal 2 4 2 3 2 8 3" xfId="11850" xr:uid="{0CC3450E-603B-4C75-B514-4EE7C769FA42}"/>
    <cellStyle name="Normal 2 4 2 3 2 9" xfId="4675" xr:uid="{00000000-0005-0000-0000-0000E70E0000}"/>
    <cellStyle name="Normal 2 4 2 3 2 9 2" xfId="14001" xr:uid="{A177DA7D-EA55-4324-B3CE-2A2B73EA75FA}"/>
    <cellStyle name="Normal 2 4 2 3 3" xfId="286" xr:uid="{00000000-0005-0000-0000-0000E80E0000}"/>
    <cellStyle name="Normal 2 4 2 3 3 10" xfId="9788" xr:uid="{E5904F33-1B0E-4914-BCBF-D4E5BC46BF65}"/>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16565" xr:uid="{52723B7F-05E4-4521-9E82-3998189F0432}"/>
    <cellStyle name="Normal 2 4 2 3 3 2 2 2 3" xfId="12348" xr:uid="{381A9962-5710-49B7-8361-752B23C48435}"/>
    <cellStyle name="Normal 2 4 2 3 3 2 2 3" xfId="5094" xr:uid="{00000000-0005-0000-0000-0000ED0E0000}"/>
    <cellStyle name="Normal 2 4 2 3 3 2 2 3 2" xfId="14420" xr:uid="{3B87C802-F1BC-475F-95A3-C76A6A7C32E6}"/>
    <cellStyle name="Normal 2 4 2 3 3 2 2 4" xfId="9523" xr:uid="{49BCB42B-3FEB-4D87-8E20-52FE775F87DD}"/>
    <cellStyle name="Normal 2 4 2 3 3 2 2 4 2" xfId="18838" xr:uid="{7295A1A8-D4AB-4BCB-B853-85B5FE3CCE52}"/>
    <cellStyle name="Normal 2 4 2 3 3 2 2 5" xfId="10203" xr:uid="{BCB323CB-412F-4CE2-9885-31C0D0B3F5E4}"/>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16978" xr:uid="{3357676E-EAAE-4C9D-B72D-52D16B93E4F4}"/>
    <cellStyle name="Normal 2 4 2 3 3 2 3 2 3" xfId="12761" xr:uid="{50A03DC7-6B50-4ADB-A660-0405A07C5709}"/>
    <cellStyle name="Normal 2 4 2 3 3 2 3 3" xfId="5507" xr:uid="{00000000-0005-0000-0000-0000F10E0000}"/>
    <cellStyle name="Normal 2 4 2 3 3 2 3 3 2" xfId="14833" xr:uid="{11A8D7E3-1B37-4F15-90CF-BA82BD0B53F3}"/>
    <cellStyle name="Normal 2 4 2 3 3 2 3 4" xfId="10616" xr:uid="{2F0E612C-E3F0-4C10-8137-634E6DE8FC55}"/>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17391" xr:uid="{DC7E98CD-B450-4DC2-B0A2-074500C84641}"/>
    <cellStyle name="Normal 2 4 2 3 3 2 4 2 3" xfId="13174" xr:uid="{C3C7B8F5-AC4E-4F2B-A762-504D7415972A}"/>
    <cellStyle name="Normal 2 4 2 3 3 2 4 3" xfId="5920" xr:uid="{00000000-0005-0000-0000-0000F50E0000}"/>
    <cellStyle name="Normal 2 4 2 3 3 2 4 3 2" xfId="15246" xr:uid="{9FFEE4FC-33B0-4C78-841A-17C2E6FA23F6}"/>
    <cellStyle name="Normal 2 4 2 3 3 2 4 4" xfId="11029" xr:uid="{FA6B60AE-7564-43E5-97E5-83944AD4D757}"/>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17804" xr:uid="{F1470020-A3C6-4B3C-A53E-302E6CD9CDEB}"/>
    <cellStyle name="Normal 2 4 2 3 3 2 5 2 3" xfId="13587" xr:uid="{3CBDE187-7196-4879-9AA8-F5A5951BA89C}"/>
    <cellStyle name="Normal 2 4 2 3 3 2 5 3" xfId="6333" xr:uid="{00000000-0005-0000-0000-0000F90E0000}"/>
    <cellStyle name="Normal 2 4 2 3 3 2 5 3 2" xfId="15659" xr:uid="{E124D133-9AE4-4109-BBCF-B6883924F9BE}"/>
    <cellStyle name="Normal 2 4 2 3 3 2 5 4" xfId="11442" xr:uid="{B42DD747-8EC3-47E1-BDFB-5C7AD9AEAD59}"/>
    <cellStyle name="Normal 2 4 2 3 3 2 6" xfId="2463" xr:uid="{00000000-0005-0000-0000-0000FA0E0000}"/>
    <cellStyle name="Normal 2 4 2 3 3 2 6 2" xfId="6746" xr:uid="{00000000-0005-0000-0000-0000FB0E0000}"/>
    <cellStyle name="Normal 2 4 2 3 3 2 6 2 2" xfId="16072" xr:uid="{5FB013D3-F38D-48FB-A526-8E9B49D36055}"/>
    <cellStyle name="Normal 2 4 2 3 3 2 6 3" xfId="11855" xr:uid="{1FE00CE3-F48E-4ED9-A516-1042924F65B7}"/>
    <cellStyle name="Normal 2 4 2 3 3 2 7" xfId="4680" xr:uid="{00000000-0005-0000-0000-0000FC0E0000}"/>
    <cellStyle name="Normal 2 4 2 3 3 2 7 2" xfId="14006" xr:uid="{7889A61F-73E9-45E6-B346-F032C09462AE}"/>
    <cellStyle name="Normal 2 4 2 3 3 2 8" xfId="9098" xr:uid="{15335B31-FFDD-479D-88EC-FAB83DC4E6EC}"/>
    <cellStyle name="Normal 2 4 2 3 3 2 8 2" xfId="18422" xr:uid="{EA4CFB48-0375-42BB-AF99-4175BE19B696}"/>
    <cellStyle name="Normal 2 4 2 3 3 2 9" xfId="9789" xr:uid="{4833D8A6-FC31-45F1-9265-34576145866A}"/>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16564" xr:uid="{E1FDCA75-FCEE-4C7B-B88C-2D223EE5C488}"/>
    <cellStyle name="Normal 2 4 2 3 3 3 2 3" xfId="12347" xr:uid="{2D6FC0AB-D844-47D8-8BD5-134F350FF8D0}"/>
    <cellStyle name="Normal 2 4 2 3 3 3 3" xfId="5093" xr:uid="{00000000-0005-0000-0000-0000000F0000}"/>
    <cellStyle name="Normal 2 4 2 3 3 3 3 2" xfId="14419" xr:uid="{DA6E19D3-9855-419E-A373-539C30A65BE9}"/>
    <cellStyle name="Normal 2 4 2 3 3 3 4" xfId="9316" xr:uid="{C8C83D09-5A3A-4C90-8A04-9D7CD8C85B11}"/>
    <cellStyle name="Normal 2 4 2 3 3 3 4 2" xfId="18631" xr:uid="{A501D2CC-1C80-451D-80AE-98739E95E413}"/>
    <cellStyle name="Normal 2 4 2 3 3 3 5" xfId="10202" xr:uid="{AE4D1F01-F2E9-4199-A31A-139EB7AE3AA5}"/>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16977" xr:uid="{522F4192-1962-4232-801B-C555B0485062}"/>
    <cellStyle name="Normal 2 4 2 3 3 4 2 3" xfId="12760" xr:uid="{41E44F7F-7B6F-404B-942A-1E2BD4426603}"/>
    <cellStyle name="Normal 2 4 2 3 3 4 3" xfId="5506" xr:uid="{00000000-0005-0000-0000-0000040F0000}"/>
    <cellStyle name="Normal 2 4 2 3 3 4 3 2" xfId="14832" xr:uid="{4804B85D-29C0-4E4C-BF6D-CA90182B8B16}"/>
    <cellStyle name="Normal 2 4 2 3 3 4 4" xfId="10615" xr:uid="{B81C1EB9-2591-4F36-953A-56D02AC6DE58}"/>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17390" xr:uid="{CB01634F-77BA-4C6A-A034-02C3FE2F146C}"/>
    <cellStyle name="Normal 2 4 2 3 3 5 2 3" xfId="13173" xr:uid="{A9CAB9CD-7862-4C19-8598-0EED0AE005E4}"/>
    <cellStyle name="Normal 2 4 2 3 3 5 3" xfId="5919" xr:uid="{00000000-0005-0000-0000-0000080F0000}"/>
    <cellStyle name="Normal 2 4 2 3 3 5 3 2" xfId="15245" xr:uid="{9060563D-84C9-4551-875A-CA9166C5212C}"/>
    <cellStyle name="Normal 2 4 2 3 3 5 4" xfId="11028" xr:uid="{F3A59252-3024-40DF-A316-A1AFA772E1BF}"/>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17803" xr:uid="{37F6EC99-3622-4D88-9FB4-A9E6A762BE9A}"/>
    <cellStyle name="Normal 2 4 2 3 3 6 2 3" xfId="13586" xr:uid="{94D6096E-5112-49F3-834E-29B61B598E55}"/>
    <cellStyle name="Normal 2 4 2 3 3 6 3" xfId="6332" xr:uid="{00000000-0005-0000-0000-00000C0F0000}"/>
    <cellStyle name="Normal 2 4 2 3 3 6 3 2" xfId="15658" xr:uid="{A68CD691-90DC-4280-9B19-C2D80DEF3805}"/>
    <cellStyle name="Normal 2 4 2 3 3 6 4" xfId="11441" xr:uid="{62536C22-DC4F-45A1-88C2-E5C5B4C2CF7F}"/>
    <cellStyle name="Normal 2 4 2 3 3 7" xfId="2462" xr:uid="{00000000-0005-0000-0000-00000D0F0000}"/>
    <cellStyle name="Normal 2 4 2 3 3 7 2" xfId="6745" xr:uid="{00000000-0005-0000-0000-00000E0F0000}"/>
    <cellStyle name="Normal 2 4 2 3 3 7 2 2" xfId="16071" xr:uid="{B8645503-82EE-4528-8886-AADF82CB497C}"/>
    <cellStyle name="Normal 2 4 2 3 3 7 3" xfId="11854" xr:uid="{2A83C348-3611-4D63-B78B-0CA2F28F5B21}"/>
    <cellStyle name="Normal 2 4 2 3 3 8" xfId="4679" xr:uid="{00000000-0005-0000-0000-00000F0F0000}"/>
    <cellStyle name="Normal 2 4 2 3 3 8 2" xfId="14005" xr:uid="{26F6CE6D-5526-4ED3-AC2D-D1BCDBAAF624}"/>
    <cellStyle name="Normal 2 4 2 3 3 9" xfId="8891" xr:uid="{D2DF60A1-A34B-4A3F-B29E-E581EFBA8360}"/>
    <cellStyle name="Normal 2 4 2 3 3 9 2" xfId="18215" xr:uid="{C59D387F-5591-462B-A07E-583D025EA967}"/>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16566" xr:uid="{626070EA-DDFF-4498-8843-43314A730774}"/>
    <cellStyle name="Normal 2 4 2 3 4 2 2 3" xfId="12349" xr:uid="{C87B6957-44D2-4773-9CDD-C2279DDC30FF}"/>
    <cellStyle name="Normal 2 4 2 3 4 2 3" xfId="5095" xr:uid="{00000000-0005-0000-0000-0000140F0000}"/>
    <cellStyle name="Normal 2 4 2 3 4 2 3 2" xfId="14421" xr:uid="{C916CB1A-3B32-4DE0-AC68-BDE5A8C551DC}"/>
    <cellStyle name="Normal 2 4 2 3 4 2 4" xfId="9420" xr:uid="{49E252B3-99BC-416A-A0CB-FE2641ECFDE3}"/>
    <cellStyle name="Normal 2 4 2 3 4 2 4 2" xfId="18735" xr:uid="{E76140E4-E00E-4A40-98A9-282FABD64558}"/>
    <cellStyle name="Normal 2 4 2 3 4 2 5" xfId="10204" xr:uid="{285768E2-009D-4817-A2AE-BAA90E6AE81A}"/>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16979" xr:uid="{8C7802C1-ED78-40D0-BD68-BC22FED70330}"/>
    <cellStyle name="Normal 2 4 2 3 4 3 2 3" xfId="12762" xr:uid="{9FB79EDC-C33D-4EC9-886B-1B341A7F1FA6}"/>
    <cellStyle name="Normal 2 4 2 3 4 3 3" xfId="5508" xr:uid="{00000000-0005-0000-0000-0000180F0000}"/>
    <cellStyle name="Normal 2 4 2 3 4 3 3 2" xfId="14834" xr:uid="{4EF617CE-415B-413F-BB2A-3635D028AACC}"/>
    <cellStyle name="Normal 2 4 2 3 4 3 4" xfId="10617" xr:uid="{C473AB47-3A8A-4D50-B38F-6189E9DF55F7}"/>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17392" xr:uid="{402E7135-6477-42C9-B333-B2799F670B88}"/>
    <cellStyle name="Normal 2 4 2 3 4 4 2 3" xfId="13175" xr:uid="{109C1F57-5073-45BC-87F6-46D752B556D6}"/>
    <cellStyle name="Normal 2 4 2 3 4 4 3" xfId="5921" xr:uid="{00000000-0005-0000-0000-00001C0F0000}"/>
    <cellStyle name="Normal 2 4 2 3 4 4 3 2" xfId="15247" xr:uid="{0900E567-E659-4E79-A632-675B9F4C73B4}"/>
    <cellStyle name="Normal 2 4 2 3 4 4 4" xfId="11030" xr:uid="{C5540372-46D0-4262-B309-F7F676CF9EEF}"/>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17805" xr:uid="{54A16545-6FA0-482F-9FA7-A44DB3A2251D}"/>
    <cellStyle name="Normal 2 4 2 3 4 5 2 3" xfId="13588" xr:uid="{B78670E6-2762-4B22-9FAE-08B8F5A4D926}"/>
    <cellStyle name="Normal 2 4 2 3 4 5 3" xfId="6334" xr:uid="{00000000-0005-0000-0000-0000200F0000}"/>
    <cellStyle name="Normal 2 4 2 3 4 5 3 2" xfId="15660" xr:uid="{11D6E19F-C880-4AC8-8B58-6E76BB845EC2}"/>
    <cellStyle name="Normal 2 4 2 3 4 5 4" xfId="11443" xr:uid="{33582751-1755-4FE7-975C-21932894ABF2}"/>
    <cellStyle name="Normal 2 4 2 3 4 6" xfId="2464" xr:uid="{00000000-0005-0000-0000-0000210F0000}"/>
    <cellStyle name="Normal 2 4 2 3 4 6 2" xfId="6747" xr:uid="{00000000-0005-0000-0000-0000220F0000}"/>
    <cellStyle name="Normal 2 4 2 3 4 6 2 2" xfId="16073" xr:uid="{D1131574-1D13-480D-87C6-E6815C81309C}"/>
    <cellStyle name="Normal 2 4 2 3 4 6 3" xfId="11856" xr:uid="{18122F96-8637-43BF-8268-DCEA0920372B}"/>
    <cellStyle name="Normal 2 4 2 3 4 7" xfId="4681" xr:uid="{00000000-0005-0000-0000-0000230F0000}"/>
    <cellStyle name="Normal 2 4 2 3 4 7 2" xfId="14007" xr:uid="{43FF09EC-0F32-4636-953A-4F8713839056}"/>
    <cellStyle name="Normal 2 4 2 3 4 8" xfId="8995" xr:uid="{EEE25A27-4C18-4948-8341-FF27707A7A86}"/>
    <cellStyle name="Normal 2 4 2 3 4 8 2" xfId="18319" xr:uid="{5516AAD0-DFAC-4D60-9581-44ACCA5307EB}"/>
    <cellStyle name="Normal 2 4 2 3 4 9" xfId="9790" xr:uid="{059B326C-8B32-4901-A740-E81E052F7B65}"/>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16559" xr:uid="{94AE08CD-10C7-43D0-B4D1-41E645872105}"/>
    <cellStyle name="Normal 2 4 2 3 5 2 3" xfId="12342" xr:uid="{F44251D9-12F4-4BF6-85E0-A3258EA28B41}"/>
    <cellStyle name="Normal 2 4 2 3 5 3" xfId="5088" xr:uid="{00000000-0005-0000-0000-0000270F0000}"/>
    <cellStyle name="Normal 2 4 2 3 5 3 2" xfId="14414" xr:uid="{BBA0621D-F3DB-4FAE-91C4-5A73FA979F0D}"/>
    <cellStyle name="Normal 2 4 2 3 5 4" xfId="9212" xr:uid="{39F1BF9F-C79C-4226-B2D8-665EAA6F3686}"/>
    <cellStyle name="Normal 2 4 2 3 5 4 2" xfId="18528" xr:uid="{8BA17769-7F47-4CCF-9126-47DE53A5D783}"/>
    <cellStyle name="Normal 2 4 2 3 5 5" xfId="10197" xr:uid="{5C24BEA5-5EB0-4B4D-ADEF-59BAE4D005D9}"/>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16972" xr:uid="{547073D0-743C-4B8F-957E-2A69FCA1F604}"/>
    <cellStyle name="Normal 2 4 2 3 6 2 3" xfId="12755" xr:uid="{75E0659C-7372-464E-B1BE-D34A2392D6A1}"/>
    <cellStyle name="Normal 2 4 2 3 6 3" xfId="5501" xr:uid="{00000000-0005-0000-0000-00002B0F0000}"/>
    <cellStyle name="Normal 2 4 2 3 6 3 2" xfId="14827" xr:uid="{77F3CAD9-2090-4018-9970-D259DF30FF4D}"/>
    <cellStyle name="Normal 2 4 2 3 6 4" xfId="10610" xr:uid="{3D0899A5-2DEA-4775-8F13-E51E4B33AAA9}"/>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17385" xr:uid="{4A99A29E-D1B5-478D-B51F-6970C355DE2A}"/>
    <cellStyle name="Normal 2 4 2 3 7 2 3" xfId="13168" xr:uid="{44836CCA-A3DB-4793-9BBD-D927985275CA}"/>
    <cellStyle name="Normal 2 4 2 3 7 3" xfId="5914" xr:uid="{00000000-0005-0000-0000-00002F0F0000}"/>
    <cellStyle name="Normal 2 4 2 3 7 3 2" xfId="15240" xr:uid="{B929B0FD-3C94-403E-A937-0A398EE0979A}"/>
    <cellStyle name="Normal 2 4 2 3 7 4" xfId="11023" xr:uid="{01A7B8DD-0811-4B67-B87C-AAE8B21824A1}"/>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17798" xr:uid="{07F24B47-1AFA-4279-B384-4BF229F85637}"/>
    <cellStyle name="Normal 2 4 2 3 8 2 3" xfId="13581" xr:uid="{DC4542AF-9626-4982-9B7D-D1A6ED21EFAE}"/>
    <cellStyle name="Normal 2 4 2 3 8 3" xfId="6327" xr:uid="{00000000-0005-0000-0000-0000330F0000}"/>
    <cellStyle name="Normal 2 4 2 3 8 3 2" xfId="15653" xr:uid="{4CBF23BE-4BA0-42BE-9A0A-3B8A355C1B51}"/>
    <cellStyle name="Normal 2 4 2 3 8 4" xfId="11436" xr:uid="{16C68D7C-80A7-4757-9796-8CF578047969}"/>
    <cellStyle name="Normal 2 4 2 3 9" xfId="2457" xr:uid="{00000000-0005-0000-0000-0000340F0000}"/>
    <cellStyle name="Normal 2 4 2 3 9 2" xfId="6740" xr:uid="{00000000-0005-0000-0000-0000350F0000}"/>
    <cellStyle name="Normal 2 4 2 3 9 2 2" xfId="16066" xr:uid="{2B377428-2B6D-4777-87AD-D749C9ED6CE6}"/>
    <cellStyle name="Normal 2 4 2 3 9 3" xfId="11849" xr:uid="{7E638AB3-55E6-4BA5-8400-F11FE921474C}"/>
    <cellStyle name="Normal 2 4 2 4" xfId="289" xr:uid="{00000000-0005-0000-0000-0000360F0000}"/>
    <cellStyle name="Normal 2 4 2 4 10" xfId="8812" xr:uid="{C2E08BA7-2068-4F74-AFE2-E0AED0B82FE2}"/>
    <cellStyle name="Normal 2 4 2 4 10 2" xfId="18136" xr:uid="{99C74C97-6575-4DC0-9CB1-ADC08E582C00}"/>
    <cellStyle name="Normal 2 4 2 4 11" xfId="9791" xr:uid="{01012890-9701-44CF-883C-82B9241286A4}"/>
    <cellStyle name="Normal 2 4 2 4 2" xfId="290" xr:uid="{00000000-0005-0000-0000-0000370F0000}"/>
    <cellStyle name="Normal 2 4 2 4 2 10" xfId="9792" xr:uid="{536FB1D9-8BCC-4332-AD3C-4262764FC78B}"/>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16569" xr:uid="{358080A3-83FE-47EF-8DF1-3C14C7977986}"/>
    <cellStyle name="Normal 2 4 2 4 2 2 2 2 3" xfId="12352" xr:uid="{675445A9-7301-4D07-A420-1FA5EDA84ABE}"/>
    <cellStyle name="Normal 2 4 2 4 2 2 2 3" xfId="5098" xr:uid="{00000000-0005-0000-0000-00003C0F0000}"/>
    <cellStyle name="Normal 2 4 2 4 2 2 2 3 2" xfId="14424" xr:uid="{106BC3BE-ADE3-424E-BA29-A977B6BF32B6}"/>
    <cellStyle name="Normal 2 4 2 4 2 2 2 4" xfId="9547" xr:uid="{F8909421-8B16-4168-8B85-A5523C430C3C}"/>
    <cellStyle name="Normal 2 4 2 4 2 2 2 4 2" xfId="18862" xr:uid="{2D7D2349-35CF-4700-87FC-D0D76805E473}"/>
    <cellStyle name="Normal 2 4 2 4 2 2 2 5" xfId="10207" xr:uid="{3EC76A6F-2B41-4C3C-BE76-7D02897C521A}"/>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16982" xr:uid="{000FB5CF-53A7-4ED9-BF10-69545A410F82}"/>
    <cellStyle name="Normal 2 4 2 4 2 2 3 2 3" xfId="12765" xr:uid="{C5C858DB-EA63-45F6-9DC1-EAF262723CED}"/>
    <cellStyle name="Normal 2 4 2 4 2 2 3 3" xfId="5511" xr:uid="{00000000-0005-0000-0000-0000400F0000}"/>
    <cellStyle name="Normal 2 4 2 4 2 2 3 3 2" xfId="14837" xr:uid="{982D8D33-8FD6-43D1-B954-696457A6B543}"/>
    <cellStyle name="Normal 2 4 2 4 2 2 3 4" xfId="10620" xr:uid="{F5915BA0-1413-4E64-8B70-A8B1C0E54A62}"/>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17395" xr:uid="{B4B08B79-86A9-4594-A8EB-03D7E2C73485}"/>
    <cellStyle name="Normal 2 4 2 4 2 2 4 2 3" xfId="13178" xr:uid="{C91E29E9-5886-4DB9-95C9-DAED1B97E300}"/>
    <cellStyle name="Normal 2 4 2 4 2 2 4 3" xfId="5924" xr:uid="{00000000-0005-0000-0000-0000440F0000}"/>
    <cellStyle name="Normal 2 4 2 4 2 2 4 3 2" xfId="15250" xr:uid="{43EF633F-20FD-4D14-B6BD-BC00E0EDF53F}"/>
    <cellStyle name="Normal 2 4 2 4 2 2 4 4" xfId="11033" xr:uid="{3916B5FC-5A09-438F-90D5-3F976C142771}"/>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17808" xr:uid="{275ECD6C-F4DE-40C4-A9EF-D325BD86531F}"/>
    <cellStyle name="Normal 2 4 2 4 2 2 5 2 3" xfId="13591" xr:uid="{8B0D7C1A-6AFA-4551-97D9-CC64093D486E}"/>
    <cellStyle name="Normal 2 4 2 4 2 2 5 3" xfId="6337" xr:uid="{00000000-0005-0000-0000-0000480F0000}"/>
    <cellStyle name="Normal 2 4 2 4 2 2 5 3 2" xfId="15663" xr:uid="{BCDA27E7-E594-465B-B392-46CB4C2E4E06}"/>
    <cellStyle name="Normal 2 4 2 4 2 2 5 4" xfId="11446" xr:uid="{E9ECE0AC-37AE-4704-B034-C7EB61562E0D}"/>
    <cellStyle name="Normal 2 4 2 4 2 2 6" xfId="2467" xr:uid="{00000000-0005-0000-0000-0000490F0000}"/>
    <cellStyle name="Normal 2 4 2 4 2 2 6 2" xfId="6750" xr:uid="{00000000-0005-0000-0000-00004A0F0000}"/>
    <cellStyle name="Normal 2 4 2 4 2 2 6 2 2" xfId="16076" xr:uid="{08D528AB-2101-4D64-8526-DB57A3B1EB73}"/>
    <cellStyle name="Normal 2 4 2 4 2 2 6 3" xfId="11859" xr:uid="{B197E912-4213-47E8-8542-44EBAE023748}"/>
    <cellStyle name="Normal 2 4 2 4 2 2 7" xfId="4684" xr:uid="{00000000-0005-0000-0000-00004B0F0000}"/>
    <cellStyle name="Normal 2 4 2 4 2 2 7 2" xfId="14010" xr:uid="{2C14F82F-28A7-4259-A112-19A5AB409D4D}"/>
    <cellStyle name="Normal 2 4 2 4 2 2 8" xfId="9122" xr:uid="{861CB008-611F-4F3F-9D09-5BCA5A4CB255}"/>
    <cellStyle name="Normal 2 4 2 4 2 2 8 2" xfId="18446" xr:uid="{4686F7A0-2DE3-40F5-863B-CB752B620A6E}"/>
    <cellStyle name="Normal 2 4 2 4 2 2 9" xfId="9793" xr:uid="{06DADDDF-DA71-4295-81BC-6836334A701F}"/>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16568" xr:uid="{ACBEBED1-CF0B-4A15-9477-5A69BA8E9EAE}"/>
    <cellStyle name="Normal 2 4 2 4 2 3 2 3" xfId="12351" xr:uid="{57C74565-AD7F-402A-9C98-793D6EE7EFF2}"/>
    <cellStyle name="Normal 2 4 2 4 2 3 3" xfId="5097" xr:uid="{00000000-0005-0000-0000-00004F0F0000}"/>
    <cellStyle name="Normal 2 4 2 4 2 3 3 2" xfId="14423" xr:uid="{04C0923F-BF2E-4291-BCD8-B8B7B58C0CAC}"/>
    <cellStyle name="Normal 2 4 2 4 2 3 4" xfId="9340" xr:uid="{2D1F2F91-F6E8-42AC-98D0-B8667E0ECE37}"/>
    <cellStyle name="Normal 2 4 2 4 2 3 4 2" xfId="18655" xr:uid="{2128A9C9-A538-4E05-95BC-283EE8D52B8A}"/>
    <cellStyle name="Normal 2 4 2 4 2 3 5" xfId="10206" xr:uid="{8AEF1CD1-4ECA-487B-B948-91FC20CA494E}"/>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16981" xr:uid="{09C844A1-697A-46CB-B3F8-1CFA9EA11FDB}"/>
    <cellStyle name="Normal 2 4 2 4 2 4 2 3" xfId="12764" xr:uid="{FD8C6E89-3EAB-496E-9B2A-56DA8FD5B298}"/>
    <cellStyle name="Normal 2 4 2 4 2 4 3" xfId="5510" xr:uid="{00000000-0005-0000-0000-0000530F0000}"/>
    <cellStyle name="Normal 2 4 2 4 2 4 3 2" xfId="14836" xr:uid="{FB13E8E7-0BD8-4653-9824-B80E429A4C59}"/>
    <cellStyle name="Normal 2 4 2 4 2 4 4" xfId="10619" xr:uid="{6184CE50-3865-4616-B7D0-10B772A0957F}"/>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17394" xr:uid="{225729BB-BD0C-474C-8E55-E6393791CF91}"/>
    <cellStyle name="Normal 2 4 2 4 2 5 2 3" xfId="13177" xr:uid="{F58C72B0-8C5D-411C-A666-385FC0DB79D6}"/>
    <cellStyle name="Normal 2 4 2 4 2 5 3" xfId="5923" xr:uid="{00000000-0005-0000-0000-0000570F0000}"/>
    <cellStyle name="Normal 2 4 2 4 2 5 3 2" xfId="15249" xr:uid="{704899BA-932D-478F-98C7-2A57401211FA}"/>
    <cellStyle name="Normal 2 4 2 4 2 5 4" xfId="11032" xr:uid="{01467094-7F7A-4A45-A184-1EC873925E7E}"/>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17807" xr:uid="{ED09415E-7958-417D-AB78-F8C27D87D147}"/>
    <cellStyle name="Normal 2 4 2 4 2 6 2 3" xfId="13590" xr:uid="{9316F2F0-F039-4F10-91B6-FC41D80A27C9}"/>
    <cellStyle name="Normal 2 4 2 4 2 6 3" xfId="6336" xr:uid="{00000000-0005-0000-0000-00005B0F0000}"/>
    <cellStyle name="Normal 2 4 2 4 2 6 3 2" xfId="15662" xr:uid="{82B325F0-4231-46FF-BEED-7BB722538132}"/>
    <cellStyle name="Normal 2 4 2 4 2 6 4" xfId="11445" xr:uid="{B2BC4858-DCE3-477E-9A72-1ACCD653A73D}"/>
    <cellStyle name="Normal 2 4 2 4 2 7" xfId="2466" xr:uid="{00000000-0005-0000-0000-00005C0F0000}"/>
    <cellStyle name="Normal 2 4 2 4 2 7 2" xfId="6749" xr:uid="{00000000-0005-0000-0000-00005D0F0000}"/>
    <cellStyle name="Normal 2 4 2 4 2 7 2 2" xfId="16075" xr:uid="{23A59E7B-F241-46D6-B8C1-E22F0B0014AC}"/>
    <cellStyle name="Normal 2 4 2 4 2 7 3" xfId="11858" xr:uid="{9BCB937C-9D4D-4A0A-9222-F08A3F9A394D}"/>
    <cellStyle name="Normal 2 4 2 4 2 8" xfId="4683" xr:uid="{00000000-0005-0000-0000-00005E0F0000}"/>
    <cellStyle name="Normal 2 4 2 4 2 8 2" xfId="14009" xr:uid="{728A4DD3-5F27-4E37-9BEC-D69D25357417}"/>
    <cellStyle name="Normal 2 4 2 4 2 9" xfId="8915" xr:uid="{2BEB15AA-2AFA-47D4-AC0E-63DAF2CFE119}"/>
    <cellStyle name="Normal 2 4 2 4 2 9 2" xfId="18239" xr:uid="{23650ED1-933F-496E-8C03-7BF4D61CA4E8}"/>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16570" xr:uid="{368532C4-7F04-493C-B2D7-616EA5F3E54B}"/>
    <cellStyle name="Normal 2 4 2 4 3 2 2 3" xfId="12353" xr:uid="{7DA6C772-621F-47F3-839A-82CE56E724D1}"/>
    <cellStyle name="Normal 2 4 2 4 3 2 3" xfId="5099" xr:uid="{00000000-0005-0000-0000-0000630F0000}"/>
    <cellStyle name="Normal 2 4 2 4 3 2 3 2" xfId="14425" xr:uid="{0D485F29-6539-474D-BE99-BBD727FDF673}"/>
    <cellStyle name="Normal 2 4 2 4 3 2 4" xfId="9444" xr:uid="{807939DF-E7C0-4015-A3D8-AE9E56020172}"/>
    <cellStyle name="Normal 2 4 2 4 3 2 4 2" xfId="18759" xr:uid="{AC565144-9969-4B3D-A725-37B3464830E0}"/>
    <cellStyle name="Normal 2 4 2 4 3 2 5" xfId="10208" xr:uid="{2F18A6A0-DCF2-493F-8B78-85EE69883DD5}"/>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16983" xr:uid="{BF289729-13A3-4C05-875C-F6F0FAA0B0DE}"/>
    <cellStyle name="Normal 2 4 2 4 3 3 2 3" xfId="12766" xr:uid="{8E6354AF-0EAE-44F7-BEA3-A8471CE74574}"/>
    <cellStyle name="Normal 2 4 2 4 3 3 3" xfId="5512" xr:uid="{00000000-0005-0000-0000-0000670F0000}"/>
    <cellStyle name="Normal 2 4 2 4 3 3 3 2" xfId="14838" xr:uid="{2F72B3D8-8692-4575-A5B1-103F6DD21418}"/>
    <cellStyle name="Normal 2 4 2 4 3 3 4" xfId="10621" xr:uid="{9D7DA460-82EE-403D-B303-B048C6C88137}"/>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17396" xr:uid="{2038DD5F-663D-426D-B326-93409BB89033}"/>
    <cellStyle name="Normal 2 4 2 4 3 4 2 3" xfId="13179" xr:uid="{81DAC990-5AB0-48AD-ACA4-42B6FEEB2100}"/>
    <cellStyle name="Normal 2 4 2 4 3 4 3" xfId="5925" xr:uid="{00000000-0005-0000-0000-00006B0F0000}"/>
    <cellStyle name="Normal 2 4 2 4 3 4 3 2" xfId="15251" xr:uid="{B7E6673F-8D35-4A31-AACA-5DDB1814B9DB}"/>
    <cellStyle name="Normal 2 4 2 4 3 4 4" xfId="11034" xr:uid="{B1AAB23E-27B0-4716-979A-4CC4DB98FACF}"/>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17809" xr:uid="{4DAA8039-C3FA-408D-A24E-071DFBE7F1ED}"/>
    <cellStyle name="Normal 2 4 2 4 3 5 2 3" xfId="13592" xr:uid="{0B1163D3-DD2D-48A4-B27E-81C4DEE786AF}"/>
    <cellStyle name="Normal 2 4 2 4 3 5 3" xfId="6338" xr:uid="{00000000-0005-0000-0000-00006F0F0000}"/>
    <cellStyle name="Normal 2 4 2 4 3 5 3 2" xfId="15664" xr:uid="{4C974ED5-50FD-4F11-8402-EEE7BB018D54}"/>
    <cellStyle name="Normal 2 4 2 4 3 5 4" xfId="11447" xr:uid="{EB7D3E33-87C9-4893-A811-E195D1D55750}"/>
    <cellStyle name="Normal 2 4 2 4 3 6" xfId="2468" xr:uid="{00000000-0005-0000-0000-0000700F0000}"/>
    <cellStyle name="Normal 2 4 2 4 3 6 2" xfId="6751" xr:uid="{00000000-0005-0000-0000-0000710F0000}"/>
    <cellStyle name="Normal 2 4 2 4 3 6 2 2" xfId="16077" xr:uid="{6B056BBF-4DD5-4A46-8A2F-E861E1E4FCB3}"/>
    <cellStyle name="Normal 2 4 2 4 3 6 3" xfId="11860" xr:uid="{05ABC563-BECD-4543-B208-4B32A0ABB073}"/>
    <cellStyle name="Normal 2 4 2 4 3 7" xfId="4685" xr:uid="{00000000-0005-0000-0000-0000720F0000}"/>
    <cellStyle name="Normal 2 4 2 4 3 7 2" xfId="14011" xr:uid="{5AB0A51E-FB50-4D39-B323-AA5739C43686}"/>
    <cellStyle name="Normal 2 4 2 4 3 8" xfId="9019" xr:uid="{1F22810F-FF7D-4FF4-861A-F2BA8F253428}"/>
    <cellStyle name="Normal 2 4 2 4 3 8 2" xfId="18343" xr:uid="{DDF2CA39-8B68-4452-9E88-83616A6C819C}"/>
    <cellStyle name="Normal 2 4 2 4 3 9" xfId="9794" xr:uid="{A96CDFE5-56C3-44DE-8C28-0F07B15898BC}"/>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16567" xr:uid="{76749169-6C7D-4925-9EF5-F842D61F003E}"/>
    <cellStyle name="Normal 2 4 2 4 4 2 3" xfId="12350" xr:uid="{1412225B-3485-4512-9300-3602023D804D}"/>
    <cellStyle name="Normal 2 4 2 4 4 3" xfId="5096" xr:uid="{00000000-0005-0000-0000-0000760F0000}"/>
    <cellStyle name="Normal 2 4 2 4 4 3 2" xfId="14422" xr:uid="{7E10566F-719E-4F07-87F2-FDF68998719E}"/>
    <cellStyle name="Normal 2 4 2 4 4 4" xfId="9237" xr:uid="{FF4B133D-A40B-4895-9E3D-E727B18E66C8}"/>
    <cellStyle name="Normal 2 4 2 4 4 4 2" xfId="18552" xr:uid="{706463AC-F90A-4F94-AEEE-EB8D069C6E3E}"/>
    <cellStyle name="Normal 2 4 2 4 4 5" xfId="10205" xr:uid="{FCF6282A-4427-436A-ABF7-6F5ACC94224A}"/>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16980" xr:uid="{A253460F-28D9-4371-B6C7-0C22A618C5EE}"/>
    <cellStyle name="Normal 2 4 2 4 5 2 3" xfId="12763" xr:uid="{9CDA8854-B7F2-46B4-BFBA-704B787335AC}"/>
    <cellStyle name="Normal 2 4 2 4 5 3" xfId="5509" xr:uid="{00000000-0005-0000-0000-00007A0F0000}"/>
    <cellStyle name="Normal 2 4 2 4 5 3 2" xfId="14835" xr:uid="{80EA3EAB-61B5-4961-B423-B9207426BEED}"/>
    <cellStyle name="Normal 2 4 2 4 5 4" xfId="10618" xr:uid="{B20EE8F2-7298-4C9D-BCB1-635446D2F064}"/>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17393" xr:uid="{C153321C-0F9E-4D86-8E1D-D9F7D93049F7}"/>
    <cellStyle name="Normal 2 4 2 4 6 2 3" xfId="13176" xr:uid="{A749FE79-E669-4834-BB37-551754DE99F8}"/>
    <cellStyle name="Normal 2 4 2 4 6 3" xfId="5922" xr:uid="{00000000-0005-0000-0000-00007E0F0000}"/>
    <cellStyle name="Normal 2 4 2 4 6 3 2" xfId="15248" xr:uid="{AC9A3F8D-C724-446B-9094-FBE0CBEFB981}"/>
    <cellStyle name="Normal 2 4 2 4 6 4" xfId="11031" xr:uid="{7763F73D-50D0-4C00-8E3F-BA9A5E19144D}"/>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17806" xr:uid="{7B246E6E-2F02-411E-8B0A-272EE44E6D55}"/>
    <cellStyle name="Normal 2 4 2 4 7 2 3" xfId="13589" xr:uid="{32CF5842-5295-42B9-9D1F-2C761E67F84A}"/>
    <cellStyle name="Normal 2 4 2 4 7 3" xfId="6335" xr:uid="{00000000-0005-0000-0000-0000820F0000}"/>
    <cellStyle name="Normal 2 4 2 4 7 3 2" xfId="15661" xr:uid="{F2E17B7E-DA83-4509-AFA5-95745EE130A1}"/>
    <cellStyle name="Normal 2 4 2 4 7 4" xfId="11444" xr:uid="{490F5B05-0761-43E0-ABD4-60C9149A42A7}"/>
    <cellStyle name="Normal 2 4 2 4 8" xfId="2465" xr:uid="{00000000-0005-0000-0000-0000830F0000}"/>
    <cellStyle name="Normal 2 4 2 4 8 2" xfId="6748" xr:uid="{00000000-0005-0000-0000-0000840F0000}"/>
    <cellStyle name="Normal 2 4 2 4 8 2 2" xfId="16074" xr:uid="{22DFD434-1764-4660-B0E2-4092A69DB10C}"/>
    <cellStyle name="Normal 2 4 2 4 8 3" xfId="11857" xr:uid="{FC1A36EE-9184-4847-B049-7E84503E81BD}"/>
    <cellStyle name="Normal 2 4 2 4 9" xfId="4682" xr:uid="{00000000-0005-0000-0000-0000850F0000}"/>
    <cellStyle name="Normal 2 4 2 4 9 2" xfId="14008" xr:uid="{CB28B7C1-C9F4-4C4B-95D5-BE128194BD85}"/>
    <cellStyle name="Normal 2 4 2 5" xfId="293" xr:uid="{00000000-0005-0000-0000-0000860F0000}"/>
    <cellStyle name="Normal 2 4 2 5 10" xfId="9795" xr:uid="{8EF9A8C6-D1B6-409E-939D-63F00F2A6658}"/>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16572" xr:uid="{F004A1A0-ADC3-4947-B870-D86D02242D67}"/>
    <cellStyle name="Normal 2 4 2 5 2 2 2 3" xfId="12355" xr:uid="{E9951BFB-4AEC-4A58-AD5E-DB710EF57E6B}"/>
    <cellStyle name="Normal 2 4 2 5 2 2 3" xfId="5101" xr:uid="{00000000-0005-0000-0000-00008B0F0000}"/>
    <cellStyle name="Normal 2 4 2 5 2 2 3 2" xfId="14427" xr:uid="{CA32C6BE-6AE1-4B45-A12F-0EFCA12A705F}"/>
    <cellStyle name="Normal 2 4 2 5 2 2 4" xfId="9492" xr:uid="{07DC9204-2F52-408E-80EE-617A106DD9FD}"/>
    <cellStyle name="Normal 2 4 2 5 2 2 4 2" xfId="18807" xr:uid="{9AA3408F-D173-4FFE-844C-58C7513427FD}"/>
    <cellStyle name="Normal 2 4 2 5 2 2 5" xfId="10210" xr:uid="{39F38D48-5957-48B3-9AB0-0A6AAE6DABD2}"/>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16985" xr:uid="{605F8D51-D6EA-4032-A121-E50767C80CA4}"/>
    <cellStyle name="Normal 2 4 2 5 2 3 2 3" xfId="12768" xr:uid="{11F8CB1C-A69C-46A5-9E2A-B3A923F69A2F}"/>
    <cellStyle name="Normal 2 4 2 5 2 3 3" xfId="5514" xr:uid="{00000000-0005-0000-0000-00008F0F0000}"/>
    <cellStyle name="Normal 2 4 2 5 2 3 3 2" xfId="14840" xr:uid="{9F25A98F-ACB0-4F43-9FB8-1543A4354E1E}"/>
    <cellStyle name="Normal 2 4 2 5 2 3 4" xfId="10623" xr:uid="{FD49A988-6429-4D02-B4BE-4526EACF35E7}"/>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17398" xr:uid="{6D48C9F1-73E9-4557-A94E-73F727A116E8}"/>
    <cellStyle name="Normal 2 4 2 5 2 4 2 3" xfId="13181" xr:uid="{CF15CBCA-F073-4206-B986-FE0F5C5F0253}"/>
    <cellStyle name="Normal 2 4 2 5 2 4 3" xfId="5927" xr:uid="{00000000-0005-0000-0000-0000930F0000}"/>
    <cellStyle name="Normal 2 4 2 5 2 4 3 2" xfId="15253" xr:uid="{D3AEA8D1-A1F7-4DE2-B3BA-DAD92E836A88}"/>
    <cellStyle name="Normal 2 4 2 5 2 4 4" xfId="11036" xr:uid="{17999C92-EB33-4240-A225-A1606CD31358}"/>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17811" xr:uid="{6678BEF8-654D-4E8A-B13F-C5A6E3193764}"/>
    <cellStyle name="Normal 2 4 2 5 2 5 2 3" xfId="13594" xr:uid="{82B167D8-BBB9-4B3D-97C4-E440A76EE21D}"/>
    <cellStyle name="Normal 2 4 2 5 2 5 3" xfId="6340" xr:uid="{00000000-0005-0000-0000-0000970F0000}"/>
    <cellStyle name="Normal 2 4 2 5 2 5 3 2" xfId="15666" xr:uid="{3612E9D5-6878-460D-84D3-828699E843FA}"/>
    <cellStyle name="Normal 2 4 2 5 2 5 4" xfId="11449" xr:uid="{049BC9A5-65AA-4F67-B19D-858E4338A1FB}"/>
    <cellStyle name="Normal 2 4 2 5 2 6" xfId="2470" xr:uid="{00000000-0005-0000-0000-0000980F0000}"/>
    <cellStyle name="Normal 2 4 2 5 2 6 2" xfId="6753" xr:uid="{00000000-0005-0000-0000-0000990F0000}"/>
    <cellStyle name="Normal 2 4 2 5 2 6 2 2" xfId="16079" xr:uid="{CA6705B3-AF5A-4267-B020-21D009671FFB}"/>
    <cellStyle name="Normal 2 4 2 5 2 6 3" xfId="11862" xr:uid="{69774BE4-AC52-49E0-9102-AA52307569E2}"/>
    <cellStyle name="Normal 2 4 2 5 2 7" xfId="4687" xr:uid="{00000000-0005-0000-0000-00009A0F0000}"/>
    <cellStyle name="Normal 2 4 2 5 2 7 2" xfId="14013" xr:uid="{9A087110-6E57-4149-A8E1-C79AEA752C52}"/>
    <cellStyle name="Normal 2 4 2 5 2 8" xfId="9067" xr:uid="{89D5CB5A-ADE0-44B8-BC1E-FDE984B579C9}"/>
    <cellStyle name="Normal 2 4 2 5 2 8 2" xfId="18391" xr:uid="{61CB8E3F-0B2A-471D-92E1-811BF12C460F}"/>
    <cellStyle name="Normal 2 4 2 5 2 9" xfId="9796" xr:uid="{FB3FEE10-6C2C-4398-91B6-0FCD1694B78B}"/>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16571" xr:uid="{3719B21D-C902-44AA-83B4-C90058CDA44B}"/>
    <cellStyle name="Normal 2 4 2 5 3 2 3" xfId="12354" xr:uid="{55E47EF8-0D5C-4B3E-87D8-8644E2DDC781}"/>
    <cellStyle name="Normal 2 4 2 5 3 3" xfId="5100" xr:uid="{00000000-0005-0000-0000-00009E0F0000}"/>
    <cellStyle name="Normal 2 4 2 5 3 3 2" xfId="14426" xr:uid="{87BA9D2B-BE10-4BB2-8CAA-F3B3487C06BE}"/>
    <cellStyle name="Normal 2 4 2 5 3 4" xfId="9285" xr:uid="{5DA39FB9-904E-46D3-8E24-58BF2F19DA5B}"/>
    <cellStyle name="Normal 2 4 2 5 3 4 2" xfId="18600" xr:uid="{69C6C9A1-DA98-433C-8AFA-61E0290199C5}"/>
    <cellStyle name="Normal 2 4 2 5 3 5" xfId="10209" xr:uid="{526C53D7-41E7-4F02-B083-1CF9F0FC1D20}"/>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16984" xr:uid="{EEEB24B5-239F-4D3D-B5C9-763C38F53B4D}"/>
    <cellStyle name="Normal 2 4 2 5 4 2 3" xfId="12767" xr:uid="{125AE424-F9F1-48E2-A707-BD5302BDA8D3}"/>
    <cellStyle name="Normal 2 4 2 5 4 3" xfId="5513" xr:uid="{00000000-0005-0000-0000-0000A20F0000}"/>
    <cellStyle name="Normal 2 4 2 5 4 3 2" xfId="14839" xr:uid="{6C9D1DEC-B542-47ED-9AC9-05C75687D6AA}"/>
    <cellStyle name="Normal 2 4 2 5 4 4" xfId="10622" xr:uid="{4BC0B8B7-8FFA-47EB-930B-2F05B66DD9AC}"/>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17397" xr:uid="{AA3926FF-BEFE-4088-BD97-680E914D00C9}"/>
    <cellStyle name="Normal 2 4 2 5 5 2 3" xfId="13180" xr:uid="{B4ADB5C8-45BA-40F7-B907-CC9430E4EF6C}"/>
    <cellStyle name="Normal 2 4 2 5 5 3" xfId="5926" xr:uid="{00000000-0005-0000-0000-0000A60F0000}"/>
    <cellStyle name="Normal 2 4 2 5 5 3 2" xfId="15252" xr:uid="{36B913C3-D6F0-47E8-9095-7A35584BE4B1}"/>
    <cellStyle name="Normal 2 4 2 5 5 4" xfId="11035" xr:uid="{76462AB6-F48D-4C79-8C69-51CE47B586F3}"/>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17810" xr:uid="{E2AE9360-EFAD-4321-8327-6A118B1E4A7D}"/>
    <cellStyle name="Normal 2 4 2 5 6 2 3" xfId="13593" xr:uid="{DC72CC74-DB59-47B8-AD2A-EAE54D3CF14E}"/>
    <cellStyle name="Normal 2 4 2 5 6 3" xfId="6339" xr:uid="{00000000-0005-0000-0000-0000AA0F0000}"/>
    <cellStyle name="Normal 2 4 2 5 6 3 2" xfId="15665" xr:uid="{3A419883-4699-47EC-89F0-24430CADD5D6}"/>
    <cellStyle name="Normal 2 4 2 5 6 4" xfId="11448" xr:uid="{FBF73DB1-84B6-4EC7-94A7-A726F350A157}"/>
    <cellStyle name="Normal 2 4 2 5 7" xfId="2469" xr:uid="{00000000-0005-0000-0000-0000AB0F0000}"/>
    <cellStyle name="Normal 2 4 2 5 7 2" xfId="6752" xr:uid="{00000000-0005-0000-0000-0000AC0F0000}"/>
    <cellStyle name="Normal 2 4 2 5 7 2 2" xfId="16078" xr:uid="{556FBB40-6996-4726-875F-A3C846F817AF}"/>
    <cellStyle name="Normal 2 4 2 5 7 3" xfId="11861" xr:uid="{99DB50A5-4DBA-452A-B575-58D68AF2972F}"/>
    <cellStyle name="Normal 2 4 2 5 8" xfId="4686" xr:uid="{00000000-0005-0000-0000-0000AD0F0000}"/>
    <cellStyle name="Normal 2 4 2 5 8 2" xfId="14012" xr:uid="{B984A397-C66F-4053-A572-277F3FAB0DC5}"/>
    <cellStyle name="Normal 2 4 2 5 9" xfId="8860" xr:uid="{5FAFEFC0-3249-464B-9F12-2B1DA137C588}"/>
    <cellStyle name="Normal 2 4 2 5 9 2" xfId="18184" xr:uid="{CB44F6E8-0656-404A-9531-759506D65689}"/>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16573" xr:uid="{E6D54816-7883-4263-A75D-731C39F04AF8}"/>
    <cellStyle name="Normal 2 4 2 6 2 2 3" xfId="12356" xr:uid="{5C9E448B-BA32-4A0A-A6C5-FA0EDC2ACA83}"/>
    <cellStyle name="Normal 2 4 2 6 2 3" xfId="5102" xr:uid="{00000000-0005-0000-0000-0000B20F0000}"/>
    <cellStyle name="Normal 2 4 2 6 2 3 2" xfId="14428" xr:uid="{DC0D1E1B-C9C3-45A0-9F96-5D2DBA466386}"/>
    <cellStyle name="Normal 2 4 2 6 2 4" xfId="9401" xr:uid="{C89DD342-23DD-474B-84C5-F9DED42F169B}"/>
    <cellStyle name="Normal 2 4 2 6 2 4 2" xfId="18716" xr:uid="{C8B9B461-9D8B-431C-A734-4CC27D86EFD7}"/>
    <cellStyle name="Normal 2 4 2 6 2 5" xfId="10211" xr:uid="{4EC2D43C-6F80-46A3-BC78-4CB7A8A0E514}"/>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16986" xr:uid="{3725FD1F-889E-4E91-B753-8324B01DA51A}"/>
    <cellStyle name="Normal 2 4 2 6 3 2 3" xfId="12769" xr:uid="{8A397F9D-7566-4554-B3C6-033BDAD0CA43}"/>
    <cellStyle name="Normal 2 4 2 6 3 3" xfId="5515" xr:uid="{00000000-0005-0000-0000-0000B60F0000}"/>
    <cellStyle name="Normal 2 4 2 6 3 3 2" xfId="14841" xr:uid="{4BAB2F81-F6DE-4D86-84BF-21A9554CF7AC}"/>
    <cellStyle name="Normal 2 4 2 6 3 4" xfId="10624" xr:uid="{6739282F-30FD-44AC-BADB-35FE0AFA8202}"/>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17399" xr:uid="{BABEB7EF-4B67-47C5-9BBD-12F0BA2E6F5F}"/>
    <cellStyle name="Normal 2 4 2 6 4 2 3" xfId="13182" xr:uid="{DCBA79BD-34AD-4F9A-9316-98B73FBC89A6}"/>
    <cellStyle name="Normal 2 4 2 6 4 3" xfId="5928" xr:uid="{00000000-0005-0000-0000-0000BA0F0000}"/>
    <cellStyle name="Normal 2 4 2 6 4 3 2" xfId="15254" xr:uid="{325CB4D0-416D-447D-BDA1-76F342644830}"/>
    <cellStyle name="Normal 2 4 2 6 4 4" xfId="11037" xr:uid="{193E9B27-8676-4899-8C25-A0BBA99D83CA}"/>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17812" xr:uid="{B6A89FC6-C64C-4490-9920-39DF54527CEE}"/>
    <cellStyle name="Normal 2 4 2 6 5 2 3" xfId="13595" xr:uid="{EB4E2ACF-752D-452E-B1DF-5AE425DE6124}"/>
    <cellStyle name="Normal 2 4 2 6 5 3" xfId="6341" xr:uid="{00000000-0005-0000-0000-0000BE0F0000}"/>
    <cellStyle name="Normal 2 4 2 6 5 3 2" xfId="15667" xr:uid="{6655E756-34BE-4EA5-AA68-48E42634373C}"/>
    <cellStyle name="Normal 2 4 2 6 5 4" xfId="11450" xr:uid="{C2B6CF5F-F3E6-4ADE-9597-6D43C8519D57}"/>
    <cellStyle name="Normal 2 4 2 6 6" xfId="2471" xr:uid="{00000000-0005-0000-0000-0000BF0F0000}"/>
    <cellStyle name="Normal 2 4 2 6 6 2" xfId="6754" xr:uid="{00000000-0005-0000-0000-0000C00F0000}"/>
    <cellStyle name="Normal 2 4 2 6 6 2 2" xfId="16080" xr:uid="{AE9ECFD8-EB34-4526-AE5E-57CB9547DF8D}"/>
    <cellStyle name="Normal 2 4 2 6 6 3" xfId="11863" xr:uid="{3AC84E05-EB10-4220-85B5-3B1256370288}"/>
    <cellStyle name="Normal 2 4 2 6 7" xfId="4688" xr:uid="{00000000-0005-0000-0000-0000C10F0000}"/>
    <cellStyle name="Normal 2 4 2 6 7 2" xfId="14014" xr:uid="{2469506A-F334-4E7D-A784-F51484F69E2A}"/>
    <cellStyle name="Normal 2 4 2 6 8" xfId="8976" xr:uid="{6DEAFF8C-68CB-4364-A161-479509F453AE}"/>
    <cellStyle name="Normal 2 4 2 6 8 2" xfId="18300" xr:uid="{F9665481-59CF-48F3-AA9F-B33572A512F3}"/>
    <cellStyle name="Normal 2 4 2 6 9" xfId="9797" xr:uid="{4C4D27F9-A4C7-4826-B30A-E9B1B0F789BF}"/>
    <cellStyle name="Normal 2 4 2 7" xfId="771" xr:uid="{00000000-0005-0000-0000-0000C20F0000}"/>
    <cellStyle name="Normal 2 4 2 7 2" xfId="3010" xr:uid="{00000000-0005-0000-0000-0000C30F0000}"/>
    <cellStyle name="Normal 2 4 2 7 2 2" xfId="7232" xr:uid="{00000000-0005-0000-0000-0000C40F0000}"/>
    <cellStyle name="Normal 2 4 2 7 2 2 2" xfId="16558" xr:uid="{729C3B8E-BDBA-4D6F-9B57-5BF3A48D97FE}"/>
    <cellStyle name="Normal 2 4 2 7 2 3" xfId="12341" xr:uid="{DFD807BF-9BAA-420C-A934-E6E2D12A6A7B}"/>
    <cellStyle name="Normal 2 4 2 7 3" xfId="5087" xr:uid="{00000000-0005-0000-0000-0000C50F0000}"/>
    <cellStyle name="Normal 2 4 2 7 3 2" xfId="14413" xr:uid="{CFDEB73F-EA9A-4417-87A5-37BB0F41F118}"/>
    <cellStyle name="Normal 2 4 2 7 4" xfId="9179" xr:uid="{D1C44CED-398E-43B3-AFA3-1E7DC60C5D92}"/>
    <cellStyle name="Normal 2 4 2 7 4 2" xfId="18497" xr:uid="{A1CF1AD9-20C1-4201-9AAD-46D9544506C9}"/>
    <cellStyle name="Normal 2 4 2 7 5" xfId="10196" xr:uid="{9818807B-B6EE-4DBE-A494-AF542BB08B88}"/>
    <cellStyle name="Normal 2 4 2 8" xfId="1193" xr:uid="{00000000-0005-0000-0000-0000C60F0000}"/>
    <cellStyle name="Normal 2 4 2 8 2" xfId="3423" xr:uid="{00000000-0005-0000-0000-0000C70F0000}"/>
    <cellStyle name="Normal 2 4 2 8 2 2" xfId="7645" xr:uid="{00000000-0005-0000-0000-0000C80F0000}"/>
    <cellStyle name="Normal 2 4 2 8 2 2 2" xfId="16971" xr:uid="{5823AAEF-4A6A-4978-8373-4053D7EA65B0}"/>
    <cellStyle name="Normal 2 4 2 8 2 3" xfId="12754" xr:uid="{06349B0C-3FC7-42A9-992E-19938D5CECAB}"/>
    <cellStyle name="Normal 2 4 2 8 3" xfId="5500" xr:uid="{00000000-0005-0000-0000-0000C90F0000}"/>
    <cellStyle name="Normal 2 4 2 8 3 2" xfId="14826" xr:uid="{35D8C2DA-D0AD-4313-9345-D66ABE805962}"/>
    <cellStyle name="Normal 2 4 2 8 4" xfId="10609" xr:uid="{410F8A40-4C11-4B16-B8F9-3ACD8EFA1FB1}"/>
    <cellStyle name="Normal 2 4 2 9" xfId="1606" xr:uid="{00000000-0005-0000-0000-0000CA0F0000}"/>
    <cellStyle name="Normal 2 4 2 9 2" xfId="3836" xr:uid="{00000000-0005-0000-0000-0000CB0F0000}"/>
    <cellStyle name="Normal 2 4 2 9 2 2" xfId="8058" xr:uid="{00000000-0005-0000-0000-0000CC0F0000}"/>
    <cellStyle name="Normal 2 4 2 9 2 2 2" xfId="17384" xr:uid="{92D1C3EC-06AD-445F-BA35-74898C3109DC}"/>
    <cellStyle name="Normal 2 4 2 9 2 3" xfId="13167" xr:uid="{871E7E80-32E6-4119-8E4F-01B6CE50D251}"/>
    <cellStyle name="Normal 2 4 2 9 3" xfId="5913" xr:uid="{00000000-0005-0000-0000-0000CD0F0000}"/>
    <cellStyle name="Normal 2 4 2 9 3 2" xfId="15239" xr:uid="{675DB53D-C760-4495-AFE1-42EE28AC57EB}"/>
    <cellStyle name="Normal 2 4 2 9 4" xfId="11022" xr:uid="{8C7DFDC5-DAF3-47AF-87C6-89F470FADA7B}"/>
    <cellStyle name="Normal 2 4 3" xfId="296" xr:uid="{00000000-0005-0000-0000-0000CE0F0000}"/>
    <cellStyle name="Normal 2 4 3 10" xfId="9798" xr:uid="{C142666D-DD53-4B8F-8451-F02DCDE208A9}"/>
    <cellStyle name="Normal 2 4 3 2" xfId="297" xr:uid="{00000000-0005-0000-0000-0000CF0F0000}"/>
    <cellStyle name="Normal 2 4 3 3" xfId="298" xr:uid="{00000000-0005-0000-0000-0000D00F0000}"/>
    <cellStyle name="Normal 2 4 3 3 10" xfId="8814" xr:uid="{F78EFD99-FCC5-4915-ACA3-DFC3FC0D45A5}"/>
    <cellStyle name="Normal 2 4 3 3 10 2" xfId="18138" xr:uid="{F4B8BDFE-0CC5-4F9D-B1DB-EA6AAEAF5307}"/>
    <cellStyle name="Normal 2 4 3 3 11" xfId="9799" xr:uid="{07CB40BD-F5A2-4819-AD39-77688810AE21}"/>
    <cellStyle name="Normal 2 4 3 3 2" xfId="299" xr:uid="{00000000-0005-0000-0000-0000D10F0000}"/>
    <cellStyle name="Normal 2 4 3 3 2 10" xfId="9800" xr:uid="{C36DB404-54F7-455D-A9FD-032305ED5815}"/>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16577" xr:uid="{6DD18B30-F0F8-46C0-BB25-BD7BE2AFA7CA}"/>
    <cellStyle name="Normal 2 4 3 3 2 2 2 2 3" xfId="12360" xr:uid="{C1C7C490-F1C3-468B-86D6-893F2E61EB45}"/>
    <cellStyle name="Normal 2 4 3 3 2 2 2 3" xfId="5106" xr:uid="{00000000-0005-0000-0000-0000D60F0000}"/>
    <cellStyle name="Normal 2 4 3 3 2 2 2 3 2" xfId="14432" xr:uid="{067A2103-E108-487F-B5C0-6BD70E7DF593}"/>
    <cellStyle name="Normal 2 4 3 3 2 2 2 4" xfId="9549" xr:uid="{EA88B7BC-E37D-4688-A768-0D7FE5EF9F42}"/>
    <cellStyle name="Normal 2 4 3 3 2 2 2 4 2" xfId="18864" xr:uid="{2C21534B-F897-454B-B9B6-F105CB0577E8}"/>
    <cellStyle name="Normal 2 4 3 3 2 2 2 5" xfId="10215" xr:uid="{07049C71-F949-4788-8234-DD318FA66C35}"/>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16990" xr:uid="{6B2AD5F2-0217-4A9B-B435-565823D0AA49}"/>
    <cellStyle name="Normal 2 4 3 3 2 2 3 2 3" xfId="12773" xr:uid="{FF8ABB5E-4D4A-41F3-822D-92914A9D1D48}"/>
    <cellStyle name="Normal 2 4 3 3 2 2 3 3" xfId="5519" xr:uid="{00000000-0005-0000-0000-0000DA0F0000}"/>
    <cellStyle name="Normal 2 4 3 3 2 2 3 3 2" xfId="14845" xr:uid="{F6FABAD4-A950-49C1-9E12-A11684FC4383}"/>
    <cellStyle name="Normal 2 4 3 3 2 2 3 4" xfId="10628" xr:uid="{298F0E1F-435A-42FB-A842-1F1AC77FBFE3}"/>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17403" xr:uid="{B8B9A2C5-4CDC-4EBA-AF43-78DD09D2A3F7}"/>
    <cellStyle name="Normal 2 4 3 3 2 2 4 2 3" xfId="13186" xr:uid="{C925A4B6-D16F-4A65-B82D-DC2F580D5724}"/>
    <cellStyle name="Normal 2 4 3 3 2 2 4 3" xfId="5932" xr:uid="{00000000-0005-0000-0000-0000DE0F0000}"/>
    <cellStyle name="Normal 2 4 3 3 2 2 4 3 2" xfId="15258" xr:uid="{C935216F-EA85-4184-9679-2F2E0C9B3009}"/>
    <cellStyle name="Normal 2 4 3 3 2 2 4 4" xfId="11041" xr:uid="{9444438B-7055-41D7-A179-C277A685B723}"/>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17816" xr:uid="{940C3C7E-C946-4871-81BF-A1F421D899C5}"/>
    <cellStyle name="Normal 2 4 3 3 2 2 5 2 3" xfId="13599" xr:uid="{7EBCB4AF-FF8D-4195-9294-A30AF1639A52}"/>
    <cellStyle name="Normal 2 4 3 3 2 2 5 3" xfId="6345" xr:uid="{00000000-0005-0000-0000-0000E20F0000}"/>
    <cellStyle name="Normal 2 4 3 3 2 2 5 3 2" xfId="15671" xr:uid="{96AED597-EC1E-406E-AF12-B9336621C1D4}"/>
    <cellStyle name="Normal 2 4 3 3 2 2 5 4" xfId="11454" xr:uid="{54F8CD7A-74AE-40C7-93A7-E57011D36D53}"/>
    <cellStyle name="Normal 2 4 3 3 2 2 6" xfId="2475" xr:uid="{00000000-0005-0000-0000-0000E30F0000}"/>
    <cellStyle name="Normal 2 4 3 3 2 2 6 2" xfId="6758" xr:uid="{00000000-0005-0000-0000-0000E40F0000}"/>
    <cellStyle name="Normal 2 4 3 3 2 2 6 2 2" xfId="16084" xr:uid="{DA268361-EA14-4FD3-87AA-C809F2886437}"/>
    <cellStyle name="Normal 2 4 3 3 2 2 6 3" xfId="11867" xr:uid="{9D44DC28-C31F-44F7-AD1B-30AF1A0012D9}"/>
    <cellStyle name="Normal 2 4 3 3 2 2 7" xfId="4692" xr:uid="{00000000-0005-0000-0000-0000E50F0000}"/>
    <cellStyle name="Normal 2 4 3 3 2 2 7 2" xfId="14018" xr:uid="{5BBF83E8-C3DE-4805-8FEF-9C9300D4FC93}"/>
    <cellStyle name="Normal 2 4 3 3 2 2 8" xfId="9124" xr:uid="{1FF2B195-09C8-4D7B-A363-E8AF809A669B}"/>
    <cellStyle name="Normal 2 4 3 3 2 2 8 2" xfId="18448" xr:uid="{A83FAE95-05DF-4269-AA30-36C46281115A}"/>
    <cellStyle name="Normal 2 4 3 3 2 2 9" xfId="9801" xr:uid="{D19C9EFB-B5A9-4F5B-A947-36245D02A54A}"/>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16576" xr:uid="{63CABC83-B842-4804-9B1F-83CCBB7D7B78}"/>
    <cellStyle name="Normal 2 4 3 3 2 3 2 3" xfId="12359" xr:uid="{D6CD7847-6663-47C3-9288-1D7015CF67E6}"/>
    <cellStyle name="Normal 2 4 3 3 2 3 3" xfId="5105" xr:uid="{00000000-0005-0000-0000-0000E90F0000}"/>
    <cellStyle name="Normal 2 4 3 3 2 3 3 2" xfId="14431" xr:uid="{7F2DACF2-EC47-4EBD-8443-9FDD31D82156}"/>
    <cellStyle name="Normal 2 4 3 3 2 3 4" xfId="9342" xr:uid="{41454CF9-47C1-4E8A-868A-8F39341308EB}"/>
    <cellStyle name="Normal 2 4 3 3 2 3 4 2" xfId="18657" xr:uid="{5E6EC7B8-E746-4C85-A8F8-AC9046758EB8}"/>
    <cellStyle name="Normal 2 4 3 3 2 3 5" xfId="10214" xr:uid="{0AC0D5FF-D01C-42C6-B015-2C63D1DE4ABE}"/>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16989" xr:uid="{816BA5C9-5C0E-4CBF-B3E2-A6016DFBF3C1}"/>
    <cellStyle name="Normal 2 4 3 3 2 4 2 3" xfId="12772" xr:uid="{B9888959-12FF-4E3B-B771-F30AF9120E34}"/>
    <cellStyle name="Normal 2 4 3 3 2 4 3" xfId="5518" xr:uid="{00000000-0005-0000-0000-0000ED0F0000}"/>
    <cellStyle name="Normal 2 4 3 3 2 4 3 2" xfId="14844" xr:uid="{00478699-9AFC-4B73-9524-76C923558EDE}"/>
    <cellStyle name="Normal 2 4 3 3 2 4 4" xfId="10627" xr:uid="{565FF463-2225-4D72-818F-DCF6AE01E982}"/>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17402" xr:uid="{BB0B0A5C-2E8E-4EDD-9FC7-2F922D99EDB5}"/>
    <cellStyle name="Normal 2 4 3 3 2 5 2 3" xfId="13185" xr:uid="{FA3C7DF2-A3B5-446A-B8CC-9B54B26F9EE4}"/>
    <cellStyle name="Normal 2 4 3 3 2 5 3" xfId="5931" xr:uid="{00000000-0005-0000-0000-0000F10F0000}"/>
    <cellStyle name="Normal 2 4 3 3 2 5 3 2" xfId="15257" xr:uid="{22B79299-E7B5-4D9D-A025-533CD91343B6}"/>
    <cellStyle name="Normal 2 4 3 3 2 5 4" xfId="11040" xr:uid="{6074E35B-927C-4A82-8AEF-0C55504B0636}"/>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17815" xr:uid="{ABAA6E7D-33EE-44E2-B40C-56E24B776E0E}"/>
    <cellStyle name="Normal 2 4 3 3 2 6 2 3" xfId="13598" xr:uid="{43C4C583-A719-45D1-B055-7C1A152CF236}"/>
    <cellStyle name="Normal 2 4 3 3 2 6 3" xfId="6344" xr:uid="{00000000-0005-0000-0000-0000F50F0000}"/>
    <cellStyle name="Normal 2 4 3 3 2 6 3 2" xfId="15670" xr:uid="{0A807EB1-54A7-4C4C-A05D-F45BB14D075A}"/>
    <cellStyle name="Normal 2 4 3 3 2 6 4" xfId="11453" xr:uid="{C5305FB8-BDC2-4862-8332-BC92741BC5F6}"/>
    <cellStyle name="Normal 2 4 3 3 2 7" xfId="2474" xr:uid="{00000000-0005-0000-0000-0000F60F0000}"/>
    <cellStyle name="Normal 2 4 3 3 2 7 2" xfId="6757" xr:uid="{00000000-0005-0000-0000-0000F70F0000}"/>
    <cellStyle name="Normal 2 4 3 3 2 7 2 2" xfId="16083" xr:uid="{BE8F537A-3680-4EE9-89A0-574EF25D6E65}"/>
    <cellStyle name="Normal 2 4 3 3 2 7 3" xfId="11866" xr:uid="{89EB3FB2-0041-4E88-9729-6354C2DF7CEF}"/>
    <cellStyle name="Normal 2 4 3 3 2 8" xfId="4691" xr:uid="{00000000-0005-0000-0000-0000F80F0000}"/>
    <cellStyle name="Normal 2 4 3 3 2 8 2" xfId="14017" xr:uid="{5C6EB031-AE72-481E-BDD4-337B04EFEBCF}"/>
    <cellStyle name="Normal 2 4 3 3 2 9" xfId="8917" xr:uid="{1E22693C-F4B1-4678-80B0-65CF6DC31586}"/>
    <cellStyle name="Normal 2 4 3 3 2 9 2" xfId="18241" xr:uid="{1FC21746-0F28-4650-939C-4019EE2A37C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16578" xr:uid="{748CDE48-3E9C-46ED-AD66-FBFB3B0CB493}"/>
    <cellStyle name="Normal 2 4 3 3 3 2 2 3" xfId="12361" xr:uid="{54DDE19B-DF05-4378-82BF-64CCD710FFC0}"/>
    <cellStyle name="Normal 2 4 3 3 3 2 3" xfId="5107" xr:uid="{00000000-0005-0000-0000-0000FD0F0000}"/>
    <cellStyle name="Normal 2 4 3 3 3 2 3 2" xfId="14433" xr:uid="{FAA23886-1322-4552-9DFB-21CB1E0CF093}"/>
    <cellStyle name="Normal 2 4 3 3 3 2 4" xfId="9446" xr:uid="{7ACDBBC8-943F-41CF-9832-96F56BCB3985}"/>
    <cellStyle name="Normal 2 4 3 3 3 2 4 2" xfId="18761" xr:uid="{08DC25A9-573B-43ED-B7BF-D75B40E55B4D}"/>
    <cellStyle name="Normal 2 4 3 3 3 2 5" xfId="10216" xr:uid="{81CFF476-DCC7-447C-92F9-B48E007325C9}"/>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16991" xr:uid="{8810455D-21C2-462A-B575-9CA82B7A67E9}"/>
    <cellStyle name="Normal 2 4 3 3 3 3 2 3" xfId="12774" xr:uid="{250BA2AB-1C3D-4E29-864C-45B5213B20B0}"/>
    <cellStyle name="Normal 2 4 3 3 3 3 3" xfId="5520" xr:uid="{00000000-0005-0000-0000-000001100000}"/>
    <cellStyle name="Normal 2 4 3 3 3 3 3 2" xfId="14846" xr:uid="{808268EF-E68A-492B-A4E2-05EBE2A13381}"/>
    <cellStyle name="Normal 2 4 3 3 3 3 4" xfId="10629" xr:uid="{4CE9AFD9-7931-49E0-8551-354E525DA586}"/>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17404" xr:uid="{C422532E-1059-418E-B2C8-65B99A4D6F47}"/>
    <cellStyle name="Normal 2 4 3 3 3 4 2 3" xfId="13187" xr:uid="{EDEC704B-86F8-4F71-B08C-F88ECDD4C12E}"/>
    <cellStyle name="Normal 2 4 3 3 3 4 3" xfId="5933" xr:uid="{00000000-0005-0000-0000-000005100000}"/>
    <cellStyle name="Normal 2 4 3 3 3 4 3 2" xfId="15259" xr:uid="{08D80089-860C-4E70-BEBF-1939E15045E7}"/>
    <cellStyle name="Normal 2 4 3 3 3 4 4" xfId="11042" xr:uid="{3C8D17BF-7BAE-41AA-A627-8EAD98DE7BFE}"/>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17817" xr:uid="{D5F50417-D954-4C80-B9C6-05F0ECE43888}"/>
    <cellStyle name="Normal 2 4 3 3 3 5 2 3" xfId="13600" xr:uid="{9B38883E-4084-4286-9547-60467B7D9E5A}"/>
    <cellStyle name="Normal 2 4 3 3 3 5 3" xfId="6346" xr:uid="{00000000-0005-0000-0000-000009100000}"/>
    <cellStyle name="Normal 2 4 3 3 3 5 3 2" xfId="15672" xr:uid="{374C8516-CA28-4770-B890-C8F0AD8362A2}"/>
    <cellStyle name="Normal 2 4 3 3 3 5 4" xfId="11455" xr:uid="{7BD9A980-E22F-4563-8CCB-52D692987A69}"/>
    <cellStyle name="Normal 2 4 3 3 3 6" xfId="2476" xr:uid="{00000000-0005-0000-0000-00000A100000}"/>
    <cellStyle name="Normal 2 4 3 3 3 6 2" xfId="6759" xr:uid="{00000000-0005-0000-0000-00000B100000}"/>
    <cellStyle name="Normal 2 4 3 3 3 6 2 2" xfId="16085" xr:uid="{1A24EEAD-DDAF-46D4-BEC5-31532B9ECB19}"/>
    <cellStyle name="Normal 2 4 3 3 3 6 3" xfId="11868" xr:uid="{4589FF83-AD41-42FA-8878-0047374811DD}"/>
    <cellStyle name="Normal 2 4 3 3 3 7" xfId="4693" xr:uid="{00000000-0005-0000-0000-00000C100000}"/>
    <cellStyle name="Normal 2 4 3 3 3 7 2" xfId="14019" xr:uid="{BDC73178-D1D4-48CE-AA35-302FD663917B}"/>
    <cellStyle name="Normal 2 4 3 3 3 8" xfId="9021" xr:uid="{4EC0F035-DC07-4262-9C58-7142AC357944}"/>
    <cellStyle name="Normal 2 4 3 3 3 8 2" xfId="18345" xr:uid="{E24EB59F-EF64-40DC-B262-59DD4CE607E9}"/>
    <cellStyle name="Normal 2 4 3 3 3 9" xfId="9802" xr:uid="{FEC8D6EF-CCE6-48C0-B4F4-3C4D18090E21}"/>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16575" xr:uid="{4A8FD214-636A-41A0-A2FD-F79F7E7B91F1}"/>
    <cellStyle name="Normal 2 4 3 3 4 2 3" xfId="12358" xr:uid="{ADBBD75F-55E9-4FF8-9B5F-594DAD1E375A}"/>
    <cellStyle name="Normal 2 4 3 3 4 3" xfId="5104" xr:uid="{00000000-0005-0000-0000-000010100000}"/>
    <cellStyle name="Normal 2 4 3 3 4 3 2" xfId="14430" xr:uid="{C536DC61-544B-4049-9408-45CD84E356C6}"/>
    <cellStyle name="Normal 2 4 3 3 4 4" xfId="9239" xr:uid="{3DCBA9AF-C63D-4CA9-81B6-AC7CB7B67292}"/>
    <cellStyle name="Normal 2 4 3 3 4 4 2" xfId="18554" xr:uid="{41CD8CF2-E508-4BD4-ADB3-ED29CC33B873}"/>
    <cellStyle name="Normal 2 4 3 3 4 5" xfId="10213" xr:uid="{5C37C7AE-3271-4D08-B20E-50B2556E83DB}"/>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16988" xr:uid="{952A2D97-CB74-42E8-8B41-7AED8C48BB43}"/>
    <cellStyle name="Normal 2 4 3 3 5 2 3" xfId="12771" xr:uid="{74E47878-B280-4782-8B6C-F8C05CF117AF}"/>
    <cellStyle name="Normal 2 4 3 3 5 3" xfId="5517" xr:uid="{00000000-0005-0000-0000-000014100000}"/>
    <cellStyle name="Normal 2 4 3 3 5 3 2" xfId="14843" xr:uid="{5338925D-D9B4-429C-8739-C03C6681BDF6}"/>
    <cellStyle name="Normal 2 4 3 3 5 4" xfId="10626" xr:uid="{50CF9EF7-A858-465C-8E39-E859189AF058}"/>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17401" xr:uid="{14626547-9FF2-4FA5-8F31-1840CE4C463D}"/>
    <cellStyle name="Normal 2 4 3 3 6 2 3" xfId="13184" xr:uid="{F15B96FA-DE98-455B-BD8D-A4FB3B9A12FF}"/>
    <cellStyle name="Normal 2 4 3 3 6 3" xfId="5930" xr:uid="{00000000-0005-0000-0000-000018100000}"/>
    <cellStyle name="Normal 2 4 3 3 6 3 2" xfId="15256" xr:uid="{FB6211FE-9D10-4288-A3BD-6BF424989218}"/>
    <cellStyle name="Normal 2 4 3 3 6 4" xfId="11039" xr:uid="{13E28368-37E5-4FD9-B396-1849A16C025E}"/>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17814" xr:uid="{BCE4DEE8-B173-4F12-AE1B-ECEF9E3E8EC8}"/>
    <cellStyle name="Normal 2 4 3 3 7 2 3" xfId="13597" xr:uid="{86A8D3B7-B93C-4758-8735-731200296F13}"/>
    <cellStyle name="Normal 2 4 3 3 7 3" xfId="6343" xr:uid="{00000000-0005-0000-0000-00001C100000}"/>
    <cellStyle name="Normal 2 4 3 3 7 3 2" xfId="15669" xr:uid="{1A13709D-5AF7-4476-B568-71EEAC4E0368}"/>
    <cellStyle name="Normal 2 4 3 3 7 4" xfId="11452" xr:uid="{D1D186ED-0FD5-4BD7-9916-D6A10BD68A1D}"/>
    <cellStyle name="Normal 2 4 3 3 8" xfId="2473" xr:uid="{00000000-0005-0000-0000-00001D100000}"/>
    <cellStyle name="Normal 2 4 3 3 8 2" xfId="6756" xr:uid="{00000000-0005-0000-0000-00001E100000}"/>
    <cellStyle name="Normal 2 4 3 3 8 2 2" xfId="16082" xr:uid="{D7B4F82A-FDE3-4A54-8634-E5C8B4CCEF80}"/>
    <cellStyle name="Normal 2 4 3 3 8 3" xfId="11865" xr:uid="{0663782A-7BF6-4AD8-A3AA-7AFE51DCE764}"/>
    <cellStyle name="Normal 2 4 3 3 9" xfId="4690" xr:uid="{00000000-0005-0000-0000-00001F100000}"/>
    <cellStyle name="Normal 2 4 3 3 9 2" xfId="14016" xr:uid="{FECF0E4B-0C68-4C0A-AA66-FC65E5FD6323}"/>
    <cellStyle name="Normal 2 4 3 4" xfId="787" xr:uid="{00000000-0005-0000-0000-000020100000}"/>
    <cellStyle name="Normal 2 4 3 4 2" xfId="3026" xr:uid="{00000000-0005-0000-0000-000021100000}"/>
    <cellStyle name="Normal 2 4 3 4 2 2" xfId="7248" xr:uid="{00000000-0005-0000-0000-000022100000}"/>
    <cellStyle name="Normal 2 4 3 4 2 2 2" xfId="16574" xr:uid="{12D4D699-5765-40C0-A7E7-CED7481D6128}"/>
    <cellStyle name="Normal 2 4 3 4 2 3" xfId="12357" xr:uid="{9475155B-1CC8-4B05-B9A0-D491B478B997}"/>
    <cellStyle name="Normal 2 4 3 4 3" xfId="5103" xr:uid="{00000000-0005-0000-0000-000023100000}"/>
    <cellStyle name="Normal 2 4 3 4 3 2" xfId="14429" xr:uid="{126D4179-4B56-432F-B02A-667E4C13C786}"/>
    <cellStyle name="Normal 2 4 3 4 4" xfId="9605" xr:uid="{31B075F0-6828-4EC6-AC77-4B4B0626A722}"/>
    <cellStyle name="Normal 2 4 3 4 4 2" xfId="18906" xr:uid="{4DBF60F7-7280-42FB-B2BF-5F79385121DD}"/>
    <cellStyle name="Normal 2 4 3 4 5" xfId="10212" xr:uid="{5F1FF721-8BEA-4692-A49C-9347134CB777}"/>
    <cellStyle name="Normal 2 4 3 5" xfId="1209" xr:uid="{00000000-0005-0000-0000-000024100000}"/>
    <cellStyle name="Normal 2 4 3 5 2" xfId="3439" xr:uid="{00000000-0005-0000-0000-000025100000}"/>
    <cellStyle name="Normal 2 4 3 5 2 2" xfId="7661" xr:uid="{00000000-0005-0000-0000-000026100000}"/>
    <cellStyle name="Normal 2 4 3 5 2 2 2" xfId="16987" xr:uid="{B10980A9-D283-406E-8974-41D5D6BF23D7}"/>
    <cellStyle name="Normal 2 4 3 5 2 3" xfId="12770" xr:uid="{CBFD4904-B1FB-4B25-80F6-D41830BDA4A6}"/>
    <cellStyle name="Normal 2 4 3 5 3" xfId="5516" xr:uid="{00000000-0005-0000-0000-000027100000}"/>
    <cellStyle name="Normal 2 4 3 5 3 2" xfId="14842" xr:uid="{15407D3A-F7B0-4826-90C7-21CB31F405FE}"/>
    <cellStyle name="Normal 2 4 3 5 4" xfId="10625" xr:uid="{1299FDA1-2DFC-415B-ABB2-4D847BB3BC93}"/>
    <cellStyle name="Normal 2 4 3 6" xfId="1622" xr:uid="{00000000-0005-0000-0000-000028100000}"/>
    <cellStyle name="Normal 2 4 3 6 2" xfId="3852" xr:uid="{00000000-0005-0000-0000-000029100000}"/>
    <cellStyle name="Normal 2 4 3 6 2 2" xfId="8074" xr:uid="{00000000-0005-0000-0000-00002A100000}"/>
    <cellStyle name="Normal 2 4 3 6 2 2 2" xfId="17400" xr:uid="{384C7003-4908-4C09-9CCB-4CF91077ED9D}"/>
    <cellStyle name="Normal 2 4 3 6 2 3" xfId="13183" xr:uid="{4229A7F8-3E81-40A3-A61F-12AED6CD2BCF}"/>
    <cellStyle name="Normal 2 4 3 6 3" xfId="5929" xr:uid="{00000000-0005-0000-0000-00002B100000}"/>
    <cellStyle name="Normal 2 4 3 6 3 2" xfId="15255" xr:uid="{18C82A9D-2A62-4F23-B06F-DF36280DED01}"/>
    <cellStyle name="Normal 2 4 3 6 4" xfId="11038" xr:uid="{D0758147-349D-4218-96E2-4FA64DFC7660}"/>
    <cellStyle name="Normal 2 4 3 7" xfId="2036" xr:uid="{00000000-0005-0000-0000-00002C100000}"/>
    <cellStyle name="Normal 2 4 3 7 2" xfId="4265" xr:uid="{00000000-0005-0000-0000-00002D100000}"/>
    <cellStyle name="Normal 2 4 3 7 2 2" xfId="8487" xr:uid="{00000000-0005-0000-0000-00002E100000}"/>
    <cellStyle name="Normal 2 4 3 7 2 2 2" xfId="17813" xr:uid="{CD800012-C312-4F30-A91D-76A86393832B}"/>
    <cellStyle name="Normal 2 4 3 7 2 3" xfId="13596" xr:uid="{388B68C5-1AE4-45B2-9F70-C36BDB894FC4}"/>
    <cellStyle name="Normal 2 4 3 7 3" xfId="6342" xr:uid="{00000000-0005-0000-0000-00002F100000}"/>
    <cellStyle name="Normal 2 4 3 7 3 2" xfId="15668" xr:uid="{43E40BAA-D5B5-4E3E-9AB5-96EF1E41FB19}"/>
    <cellStyle name="Normal 2 4 3 7 4" xfId="11451" xr:uid="{EB3A11E9-AD5A-40E4-AEA5-9B7268238D15}"/>
    <cellStyle name="Normal 2 4 3 8" xfId="2472" xr:uid="{00000000-0005-0000-0000-000030100000}"/>
    <cellStyle name="Normal 2 4 3 8 2" xfId="6755" xr:uid="{00000000-0005-0000-0000-000031100000}"/>
    <cellStyle name="Normal 2 4 3 8 2 2" xfId="16081" xr:uid="{AF94C416-3FE8-4DCC-AB92-7EC3F314E100}"/>
    <cellStyle name="Normal 2 4 3 8 3" xfId="11864" xr:uid="{AB61D39F-55A0-4853-88DE-03B83487A149}"/>
    <cellStyle name="Normal 2 4 3 9" xfId="4689" xr:uid="{00000000-0005-0000-0000-000032100000}"/>
    <cellStyle name="Normal 2 4 3 9 2" xfId="14015" xr:uid="{106ADD60-7FDD-4526-980C-0ADDDF03D923}"/>
    <cellStyle name="Normal 2 4 4" xfId="302" xr:uid="{00000000-0005-0000-0000-000033100000}"/>
    <cellStyle name="Normal 2 4 5" xfId="303" xr:uid="{00000000-0005-0000-0000-000034100000}"/>
    <cellStyle name="Normal 2 4 5 10" xfId="4694" xr:uid="{00000000-0005-0000-0000-000035100000}"/>
    <cellStyle name="Normal 2 4 5 10 2" xfId="14020" xr:uid="{4E56E691-AE5D-4DED-97A8-2E78CBAD8836}"/>
    <cellStyle name="Normal 2 4 5 11" xfId="8780" xr:uid="{7650B30D-5C17-47F0-B17B-A5E27258C29E}"/>
    <cellStyle name="Normal 2 4 5 11 2" xfId="18104" xr:uid="{E8B203C0-3B11-44D9-802E-7DD1FBF49F75}"/>
    <cellStyle name="Normal 2 4 5 12" xfId="9803" xr:uid="{2F952634-85B6-411E-AF47-F63A1E00CCB0}"/>
    <cellStyle name="Normal 2 4 5 2" xfId="304" xr:uid="{00000000-0005-0000-0000-000036100000}"/>
    <cellStyle name="Normal 2 4 5 2 10" xfId="8815" xr:uid="{40A5EFE5-2EC9-4F25-B9EC-CAF9321E00F7}"/>
    <cellStyle name="Normal 2 4 5 2 10 2" xfId="18139" xr:uid="{4B9653EF-D242-4F02-B55C-FA099E706706}"/>
    <cellStyle name="Normal 2 4 5 2 11" xfId="9804" xr:uid="{A98BE8C6-1DF3-489C-8521-1DD07CA27068}"/>
    <cellStyle name="Normal 2 4 5 2 2" xfId="305" xr:uid="{00000000-0005-0000-0000-000037100000}"/>
    <cellStyle name="Normal 2 4 5 2 2 10" xfId="9805" xr:uid="{F459ECDE-D484-43FA-8CF8-E2490C2606DC}"/>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16582" xr:uid="{4355B9DE-6DCE-4C17-8E17-A3B300165E54}"/>
    <cellStyle name="Normal 2 4 5 2 2 2 2 2 3" xfId="12365" xr:uid="{CF505677-DC8D-4871-9BD0-4E1973B1169F}"/>
    <cellStyle name="Normal 2 4 5 2 2 2 2 3" xfId="5111" xr:uid="{00000000-0005-0000-0000-00003C100000}"/>
    <cellStyle name="Normal 2 4 5 2 2 2 2 3 2" xfId="14437" xr:uid="{2955EFFD-57DE-44E2-8CE1-713C2B2B1440}"/>
    <cellStyle name="Normal 2 4 5 2 2 2 2 4" xfId="9550" xr:uid="{8A7671EC-AB7E-4F51-9B1B-FE1F0FDC42A9}"/>
    <cellStyle name="Normal 2 4 5 2 2 2 2 4 2" xfId="18865" xr:uid="{A787B91E-2D9D-4638-9CC3-84C757FED4F6}"/>
    <cellStyle name="Normal 2 4 5 2 2 2 2 5" xfId="10220" xr:uid="{A7337935-3B92-412A-B6D6-6984841290FD}"/>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16995" xr:uid="{D34FBF27-7AAD-4FDD-B50E-4EB3E95CC7DF}"/>
    <cellStyle name="Normal 2 4 5 2 2 2 3 2 3" xfId="12778" xr:uid="{84761825-DB1A-4EE5-B476-EFAA74A93863}"/>
    <cellStyle name="Normal 2 4 5 2 2 2 3 3" xfId="5524" xr:uid="{00000000-0005-0000-0000-000040100000}"/>
    <cellStyle name="Normal 2 4 5 2 2 2 3 3 2" xfId="14850" xr:uid="{12E68E44-C2B9-4A52-A1D3-CE4C3149C7B9}"/>
    <cellStyle name="Normal 2 4 5 2 2 2 3 4" xfId="10633" xr:uid="{F7258C32-718B-44B2-B615-4A21A14E0E01}"/>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17408" xr:uid="{C95AE41A-A391-4BA4-A97D-7B0B167CF8CC}"/>
    <cellStyle name="Normal 2 4 5 2 2 2 4 2 3" xfId="13191" xr:uid="{5F13AAA7-BAE4-4D3D-9131-16FD552AA2F2}"/>
    <cellStyle name="Normal 2 4 5 2 2 2 4 3" xfId="5937" xr:uid="{00000000-0005-0000-0000-000044100000}"/>
    <cellStyle name="Normal 2 4 5 2 2 2 4 3 2" xfId="15263" xr:uid="{029B7E5E-12E5-4EBE-9312-1A4B3D7333A8}"/>
    <cellStyle name="Normal 2 4 5 2 2 2 4 4" xfId="11046" xr:uid="{908C7E9F-9A18-4352-B319-E14C6306D73F}"/>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17821" xr:uid="{9CF00B17-B72B-4C38-9FAC-51DC1082124E}"/>
    <cellStyle name="Normal 2 4 5 2 2 2 5 2 3" xfId="13604" xr:uid="{263430C4-5AD9-4460-BD4D-19D3D62C7708}"/>
    <cellStyle name="Normal 2 4 5 2 2 2 5 3" xfId="6350" xr:uid="{00000000-0005-0000-0000-000048100000}"/>
    <cellStyle name="Normal 2 4 5 2 2 2 5 3 2" xfId="15676" xr:uid="{B4631167-DDBF-48A1-A8C7-26768BC6E570}"/>
    <cellStyle name="Normal 2 4 5 2 2 2 5 4" xfId="11459" xr:uid="{EFE8C52C-BE38-4382-8E2F-4007C1D35D8A}"/>
    <cellStyle name="Normal 2 4 5 2 2 2 6" xfId="2480" xr:uid="{00000000-0005-0000-0000-000049100000}"/>
    <cellStyle name="Normal 2 4 5 2 2 2 6 2" xfId="6763" xr:uid="{00000000-0005-0000-0000-00004A100000}"/>
    <cellStyle name="Normal 2 4 5 2 2 2 6 2 2" xfId="16089" xr:uid="{616E9509-2DE4-4C24-B8C4-75B6192272DA}"/>
    <cellStyle name="Normal 2 4 5 2 2 2 6 3" xfId="11872" xr:uid="{D4B705E0-C33A-423D-88FC-8EA8065E9FC0}"/>
    <cellStyle name="Normal 2 4 5 2 2 2 7" xfId="4697" xr:uid="{00000000-0005-0000-0000-00004B100000}"/>
    <cellStyle name="Normal 2 4 5 2 2 2 7 2" xfId="14023" xr:uid="{1F8DFE2C-5217-402F-9B12-34C77D89CE72}"/>
    <cellStyle name="Normal 2 4 5 2 2 2 8" xfId="9125" xr:uid="{AE6B93A1-5C0B-49F1-AF15-6FC3FAFFE3B2}"/>
    <cellStyle name="Normal 2 4 5 2 2 2 8 2" xfId="18449" xr:uid="{BA571755-2A39-41D2-9E3E-9BE6B7562231}"/>
    <cellStyle name="Normal 2 4 5 2 2 2 9" xfId="9806" xr:uid="{15979C0B-6B51-4985-A83B-3EF42AF03FB4}"/>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16581" xr:uid="{4B46C255-1E6C-4C00-ADFF-1418CDD5471D}"/>
    <cellStyle name="Normal 2 4 5 2 2 3 2 3" xfId="12364" xr:uid="{0C1112C8-C276-4660-BA42-BEAA39AB77A6}"/>
    <cellStyle name="Normal 2 4 5 2 2 3 3" xfId="5110" xr:uid="{00000000-0005-0000-0000-00004F100000}"/>
    <cellStyle name="Normal 2 4 5 2 2 3 3 2" xfId="14436" xr:uid="{ABDB2586-9A6D-4CE6-8FDB-0CBDDD52820E}"/>
    <cellStyle name="Normal 2 4 5 2 2 3 4" xfId="9343" xr:uid="{FC4CD386-4202-45E2-8021-2A85CACF4E8B}"/>
    <cellStyle name="Normal 2 4 5 2 2 3 4 2" xfId="18658" xr:uid="{0183B910-7940-44B0-B6A5-50C90D8E7C7D}"/>
    <cellStyle name="Normal 2 4 5 2 2 3 5" xfId="10219" xr:uid="{BEBA770E-3D6F-4D63-997A-20126621753F}"/>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16994" xr:uid="{5F00BD2A-68C6-4469-8FFC-CDB37895CBE6}"/>
    <cellStyle name="Normal 2 4 5 2 2 4 2 3" xfId="12777" xr:uid="{9AA483F9-AFA1-4867-8573-33B8481396A2}"/>
    <cellStyle name="Normal 2 4 5 2 2 4 3" xfId="5523" xr:uid="{00000000-0005-0000-0000-000053100000}"/>
    <cellStyle name="Normal 2 4 5 2 2 4 3 2" xfId="14849" xr:uid="{120DB600-58CB-4461-83A2-75FA5C990283}"/>
    <cellStyle name="Normal 2 4 5 2 2 4 4" xfId="10632" xr:uid="{7162BAF5-D1C2-4842-8B6C-FBF095B6F667}"/>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17407" xr:uid="{04BF85BB-74E4-4F6B-9F8A-A60574424E0C}"/>
    <cellStyle name="Normal 2 4 5 2 2 5 2 3" xfId="13190" xr:uid="{A9F5FF07-B36E-4E8B-9436-BFDD3E952491}"/>
    <cellStyle name="Normal 2 4 5 2 2 5 3" xfId="5936" xr:uid="{00000000-0005-0000-0000-000057100000}"/>
    <cellStyle name="Normal 2 4 5 2 2 5 3 2" xfId="15262" xr:uid="{87C17FE6-38EB-4EA2-82AF-1441257AD354}"/>
    <cellStyle name="Normal 2 4 5 2 2 5 4" xfId="11045" xr:uid="{86F8DBAB-5FA8-4E5F-A4A1-AB1AF68179A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17820" xr:uid="{6A3A15FB-CAE5-41ED-B763-D52DFC9196C3}"/>
    <cellStyle name="Normal 2 4 5 2 2 6 2 3" xfId="13603" xr:uid="{850AC4CD-E437-4879-B45D-E31E7006B510}"/>
    <cellStyle name="Normal 2 4 5 2 2 6 3" xfId="6349" xr:uid="{00000000-0005-0000-0000-00005B100000}"/>
    <cellStyle name="Normal 2 4 5 2 2 6 3 2" xfId="15675" xr:uid="{D6CEC739-29A2-4934-9B0A-A2BC3F4F6478}"/>
    <cellStyle name="Normal 2 4 5 2 2 6 4" xfId="11458" xr:uid="{C30734AC-2E23-4CED-9446-1A49ED5532F8}"/>
    <cellStyle name="Normal 2 4 5 2 2 7" xfId="2479" xr:uid="{00000000-0005-0000-0000-00005C100000}"/>
    <cellStyle name="Normal 2 4 5 2 2 7 2" xfId="6762" xr:uid="{00000000-0005-0000-0000-00005D100000}"/>
    <cellStyle name="Normal 2 4 5 2 2 7 2 2" xfId="16088" xr:uid="{64817FD6-9F69-480D-9BDC-FC5300AF94FB}"/>
    <cellStyle name="Normal 2 4 5 2 2 7 3" xfId="11871" xr:uid="{C5C25CD4-19FE-4896-BA1F-134186638960}"/>
    <cellStyle name="Normal 2 4 5 2 2 8" xfId="4696" xr:uid="{00000000-0005-0000-0000-00005E100000}"/>
    <cellStyle name="Normal 2 4 5 2 2 8 2" xfId="14022" xr:uid="{010EA5B2-5FDF-4768-A84A-625AA172B093}"/>
    <cellStyle name="Normal 2 4 5 2 2 9" xfId="8918" xr:uid="{C191AFB9-5B9B-45BF-8589-0BB68E370D0F}"/>
    <cellStyle name="Normal 2 4 5 2 2 9 2" xfId="18242" xr:uid="{CFBFD946-1AB0-4BF6-859C-52A70EDBFCD9}"/>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16583" xr:uid="{B29AF721-C19D-4737-B86C-AA9EE62D4573}"/>
    <cellStyle name="Normal 2 4 5 2 3 2 2 3" xfId="12366" xr:uid="{4FEDD1C8-F403-441A-84F6-732957188283}"/>
    <cellStyle name="Normal 2 4 5 2 3 2 3" xfId="5112" xr:uid="{00000000-0005-0000-0000-000063100000}"/>
    <cellStyle name="Normal 2 4 5 2 3 2 3 2" xfId="14438" xr:uid="{53A77CD4-79C2-4741-B932-E5C6FC812621}"/>
    <cellStyle name="Normal 2 4 5 2 3 2 4" xfId="9447" xr:uid="{5DAE67B2-15F6-4C7F-9310-B9C816D42F72}"/>
    <cellStyle name="Normal 2 4 5 2 3 2 4 2" xfId="18762" xr:uid="{FE6F7368-F806-4263-A65D-11C0C4CE996E}"/>
    <cellStyle name="Normal 2 4 5 2 3 2 5" xfId="10221" xr:uid="{E8A5D4B1-CF13-4284-8D4E-00965BDD4E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16996" xr:uid="{D75C1723-E21D-4B40-9C64-E2E9A2D02F99}"/>
    <cellStyle name="Normal 2 4 5 2 3 3 2 3" xfId="12779" xr:uid="{4D1F62B0-DF96-4936-906E-4A7B084691ED}"/>
    <cellStyle name="Normal 2 4 5 2 3 3 3" xfId="5525" xr:uid="{00000000-0005-0000-0000-000067100000}"/>
    <cellStyle name="Normal 2 4 5 2 3 3 3 2" xfId="14851" xr:uid="{B969D737-183F-4DD8-8EE8-17A16B5A38A5}"/>
    <cellStyle name="Normal 2 4 5 2 3 3 4" xfId="10634" xr:uid="{D736430F-9897-4FD3-9FB1-3851D67FF7E7}"/>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17409" xr:uid="{027FC512-157E-4B6C-A551-FAD617A96A18}"/>
    <cellStyle name="Normal 2 4 5 2 3 4 2 3" xfId="13192" xr:uid="{5E037951-3835-43FD-8A9B-D4C39CF38CB0}"/>
    <cellStyle name="Normal 2 4 5 2 3 4 3" xfId="5938" xr:uid="{00000000-0005-0000-0000-00006B100000}"/>
    <cellStyle name="Normal 2 4 5 2 3 4 3 2" xfId="15264" xr:uid="{6EDFCB6F-5FB6-4659-B8E4-3ABC44A6FE28}"/>
    <cellStyle name="Normal 2 4 5 2 3 4 4" xfId="11047" xr:uid="{FE2038DE-F03E-47E2-92E3-89D8227EEF5C}"/>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17822" xr:uid="{92099959-CE97-4552-BF1B-368864BEA827}"/>
    <cellStyle name="Normal 2 4 5 2 3 5 2 3" xfId="13605" xr:uid="{BF78E4CE-3EBE-4092-9241-17D5724E981D}"/>
    <cellStyle name="Normal 2 4 5 2 3 5 3" xfId="6351" xr:uid="{00000000-0005-0000-0000-00006F100000}"/>
    <cellStyle name="Normal 2 4 5 2 3 5 3 2" xfId="15677" xr:uid="{0184A106-A38C-498A-9C9B-2933C0C9AB3D}"/>
    <cellStyle name="Normal 2 4 5 2 3 5 4" xfId="11460" xr:uid="{532ADF55-E874-4149-9DF0-2DD765169339}"/>
    <cellStyle name="Normal 2 4 5 2 3 6" xfId="2481" xr:uid="{00000000-0005-0000-0000-000070100000}"/>
    <cellStyle name="Normal 2 4 5 2 3 6 2" xfId="6764" xr:uid="{00000000-0005-0000-0000-000071100000}"/>
    <cellStyle name="Normal 2 4 5 2 3 6 2 2" xfId="16090" xr:uid="{0F6B1D8A-CBF9-4FB8-B360-4853132D11C9}"/>
    <cellStyle name="Normal 2 4 5 2 3 6 3" xfId="11873" xr:uid="{1803983A-E4A3-4955-8982-464CFF75A84E}"/>
    <cellStyle name="Normal 2 4 5 2 3 7" xfId="4698" xr:uid="{00000000-0005-0000-0000-000072100000}"/>
    <cellStyle name="Normal 2 4 5 2 3 7 2" xfId="14024" xr:uid="{1DC0A1A9-A02E-46E6-A069-14E9550F0BD8}"/>
    <cellStyle name="Normal 2 4 5 2 3 8" xfId="9022" xr:uid="{B979F5DF-A88B-437D-B1B4-B92D08856DC7}"/>
    <cellStyle name="Normal 2 4 5 2 3 8 2" xfId="18346" xr:uid="{EE062D5A-BD0B-4B28-B8E9-F3D2DB7EF70B}"/>
    <cellStyle name="Normal 2 4 5 2 3 9" xfId="9807" xr:uid="{1F6B60F3-5E52-46FC-9FFC-D196776E3B5E}"/>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16580" xr:uid="{5788CED6-3422-4905-AB65-14AE0891F167}"/>
    <cellStyle name="Normal 2 4 5 2 4 2 3" xfId="12363" xr:uid="{CB526D1E-5F0B-4DD6-A918-59EE620BC27D}"/>
    <cellStyle name="Normal 2 4 5 2 4 3" xfId="5109" xr:uid="{00000000-0005-0000-0000-000076100000}"/>
    <cellStyle name="Normal 2 4 5 2 4 3 2" xfId="14435" xr:uid="{B3630965-FC77-43E5-9CC6-697772661329}"/>
    <cellStyle name="Normal 2 4 5 2 4 4" xfId="9240" xr:uid="{16FBE981-4867-4157-8C0D-9C1339DB5B3F}"/>
    <cellStyle name="Normal 2 4 5 2 4 4 2" xfId="18555" xr:uid="{F46E193C-6D61-4325-ABE1-E811DE123FCD}"/>
    <cellStyle name="Normal 2 4 5 2 4 5" xfId="10218" xr:uid="{F65FD590-8344-41CA-BCBD-85498B27C501}"/>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16993" xr:uid="{3FCBB605-8946-4016-A21B-AFE92B673B74}"/>
    <cellStyle name="Normal 2 4 5 2 5 2 3" xfId="12776" xr:uid="{46D9650C-B033-490C-897A-790AA6E82949}"/>
    <cellStyle name="Normal 2 4 5 2 5 3" xfId="5522" xr:uid="{00000000-0005-0000-0000-00007A100000}"/>
    <cellStyle name="Normal 2 4 5 2 5 3 2" xfId="14848" xr:uid="{645B93C3-A076-493E-9459-300B2C99AF55}"/>
    <cellStyle name="Normal 2 4 5 2 5 4" xfId="10631" xr:uid="{55FA0010-CA93-47FE-BB6D-C6888521B2D2}"/>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17406" xr:uid="{B31253DB-B4A4-4500-A516-79FE2AC8FE34}"/>
    <cellStyle name="Normal 2 4 5 2 6 2 3" xfId="13189" xr:uid="{6A45DF08-9DAD-431F-8D96-18C4298139EC}"/>
    <cellStyle name="Normal 2 4 5 2 6 3" xfId="5935" xr:uid="{00000000-0005-0000-0000-00007E100000}"/>
    <cellStyle name="Normal 2 4 5 2 6 3 2" xfId="15261" xr:uid="{7FC18C71-09F3-4647-8CAE-CAA137467D7E}"/>
    <cellStyle name="Normal 2 4 5 2 6 4" xfId="11044" xr:uid="{A84642A4-CBC8-4454-B87B-F86DD7284035}"/>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17819" xr:uid="{2D720037-FE5A-4F31-9DBC-349F13F2E690}"/>
    <cellStyle name="Normal 2 4 5 2 7 2 3" xfId="13602" xr:uid="{8ACFFC47-E813-4C40-96E2-615558C4D594}"/>
    <cellStyle name="Normal 2 4 5 2 7 3" xfId="6348" xr:uid="{00000000-0005-0000-0000-000082100000}"/>
    <cellStyle name="Normal 2 4 5 2 7 3 2" xfId="15674" xr:uid="{295CBD3F-CAD4-4515-8E7F-4897A429E875}"/>
    <cellStyle name="Normal 2 4 5 2 7 4" xfId="11457" xr:uid="{F477F9C1-ED73-409A-9E1A-46A13E015A41}"/>
    <cellStyle name="Normal 2 4 5 2 8" xfId="2478" xr:uid="{00000000-0005-0000-0000-000083100000}"/>
    <cellStyle name="Normal 2 4 5 2 8 2" xfId="6761" xr:uid="{00000000-0005-0000-0000-000084100000}"/>
    <cellStyle name="Normal 2 4 5 2 8 2 2" xfId="16087" xr:uid="{7A4B32EF-A19A-439D-AC18-F239EFC92593}"/>
    <cellStyle name="Normal 2 4 5 2 8 3" xfId="11870" xr:uid="{A41C0DF6-7AAF-4F49-9D97-D94D3DF9F7E9}"/>
    <cellStyle name="Normal 2 4 5 2 9" xfId="4695" xr:uid="{00000000-0005-0000-0000-000085100000}"/>
    <cellStyle name="Normal 2 4 5 2 9 2" xfId="14021" xr:uid="{4C76D62B-D57F-4490-997C-B3EBFC267755}"/>
    <cellStyle name="Normal 2 4 5 3" xfId="308" xr:uid="{00000000-0005-0000-0000-000086100000}"/>
    <cellStyle name="Normal 2 4 5 3 10" xfId="9808" xr:uid="{831221F0-6EE3-4C59-ABAE-3FBA72416576}"/>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16585" xr:uid="{D49B70DC-E51B-4B95-B4E5-9892CC0AB5D1}"/>
    <cellStyle name="Normal 2 4 5 3 2 2 2 3" xfId="12368" xr:uid="{B5832A5A-A34B-4BD0-B8DB-634C8B11AA21}"/>
    <cellStyle name="Normal 2 4 5 3 2 2 3" xfId="5114" xr:uid="{00000000-0005-0000-0000-00008B100000}"/>
    <cellStyle name="Normal 2 4 5 3 2 2 3 2" xfId="14440" xr:uid="{5DA26174-91A2-4D1F-BB07-2E3F9BE20EC0}"/>
    <cellStyle name="Normal 2 4 5 3 2 2 4" xfId="9515" xr:uid="{A1D6949C-773D-44DB-B26F-4DD01D24FF00}"/>
    <cellStyle name="Normal 2 4 5 3 2 2 4 2" xfId="18830" xr:uid="{5A55CA1C-9596-42AA-B5C5-35C82B69A099}"/>
    <cellStyle name="Normal 2 4 5 3 2 2 5" xfId="10223" xr:uid="{5227EAB9-FED4-4DA0-A625-5CBD8D3E0272}"/>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16998" xr:uid="{E82822EB-AD38-40D9-932E-02B089EAA411}"/>
    <cellStyle name="Normal 2 4 5 3 2 3 2 3" xfId="12781" xr:uid="{181540E8-99A8-4621-AEE7-8E69F2C3B6DF}"/>
    <cellStyle name="Normal 2 4 5 3 2 3 3" xfId="5527" xr:uid="{00000000-0005-0000-0000-00008F100000}"/>
    <cellStyle name="Normal 2 4 5 3 2 3 3 2" xfId="14853" xr:uid="{A8094097-8A52-499A-96ED-678F84FDB493}"/>
    <cellStyle name="Normal 2 4 5 3 2 3 4" xfId="10636" xr:uid="{449F778B-E3EE-44F7-8E7F-6D615667B6C3}"/>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17411" xr:uid="{35696BEB-7270-49C1-A416-0D4ACC82233A}"/>
    <cellStyle name="Normal 2 4 5 3 2 4 2 3" xfId="13194" xr:uid="{71CC954D-8CBD-4C20-AD23-24EDEA0CA358}"/>
    <cellStyle name="Normal 2 4 5 3 2 4 3" xfId="5940" xr:uid="{00000000-0005-0000-0000-000093100000}"/>
    <cellStyle name="Normal 2 4 5 3 2 4 3 2" xfId="15266" xr:uid="{D6D89E92-9DE9-4D98-8433-34B72CC413D2}"/>
    <cellStyle name="Normal 2 4 5 3 2 4 4" xfId="11049" xr:uid="{1784D36D-40B2-4364-BE98-6B35AF86E837}"/>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17824" xr:uid="{FFF25978-8472-4619-B171-CF3B1DADAD8D}"/>
    <cellStyle name="Normal 2 4 5 3 2 5 2 3" xfId="13607" xr:uid="{34D178B7-95BA-47F4-83BF-174E0935EA9F}"/>
    <cellStyle name="Normal 2 4 5 3 2 5 3" xfId="6353" xr:uid="{00000000-0005-0000-0000-000097100000}"/>
    <cellStyle name="Normal 2 4 5 3 2 5 3 2" xfId="15679" xr:uid="{54AF686F-2889-4F1B-A4D3-9864E4C33E31}"/>
    <cellStyle name="Normal 2 4 5 3 2 5 4" xfId="11462" xr:uid="{BC16D845-529A-402E-812A-36C103CFA5C5}"/>
    <cellStyle name="Normal 2 4 5 3 2 6" xfId="2483" xr:uid="{00000000-0005-0000-0000-000098100000}"/>
    <cellStyle name="Normal 2 4 5 3 2 6 2" xfId="6766" xr:uid="{00000000-0005-0000-0000-000099100000}"/>
    <cellStyle name="Normal 2 4 5 3 2 6 2 2" xfId="16092" xr:uid="{8E76ED3B-BC0F-4B53-B3E0-801CF238BBDA}"/>
    <cellStyle name="Normal 2 4 5 3 2 6 3" xfId="11875" xr:uid="{1315CE6A-CA84-4D09-8D2A-226506ECBC4B}"/>
    <cellStyle name="Normal 2 4 5 3 2 7" xfId="4700" xr:uid="{00000000-0005-0000-0000-00009A100000}"/>
    <cellStyle name="Normal 2 4 5 3 2 7 2" xfId="14026" xr:uid="{2BA49E13-F870-4C08-9AE7-B183004892BF}"/>
    <cellStyle name="Normal 2 4 5 3 2 8" xfId="9090" xr:uid="{4B64C5F8-5AC3-43D3-B94A-46850BBF79A5}"/>
    <cellStyle name="Normal 2 4 5 3 2 8 2" xfId="18414" xr:uid="{8F999DD1-C768-48FE-840A-4C3A5C542D3D}"/>
    <cellStyle name="Normal 2 4 5 3 2 9" xfId="9809" xr:uid="{7B50E767-369A-485A-BF0C-E48AB5CD7477}"/>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16584" xr:uid="{EEF1DE74-4922-4E4F-8714-E9D6225160FA}"/>
    <cellStyle name="Normal 2 4 5 3 3 2 3" xfId="12367" xr:uid="{4CABA960-531B-47D5-9069-354CA6070BD2}"/>
    <cellStyle name="Normal 2 4 5 3 3 3" xfId="5113" xr:uid="{00000000-0005-0000-0000-00009E100000}"/>
    <cellStyle name="Normal 2 4 5 3 3 3 2" xfId="14439" xr:uid="{0756B6F6-FD66-4CD7-8634-4F2910E4A5AD}"/>
    <cellStyle name="Normal 2 4 5 3 3 4" xfId="9308" xr:uid="{40198FFA-4C90-42BE-90C8-42459F1A2A1C}"/>
    <cellStyle name="Normal 2 4 5 3 3 4 2" xfId="18623" xr:uid="{1EB364BB-544E-4F85-80BF-39BDD41B118D}"/>
    <cellStyle name="Normal 2 4 5 3 3 5" xfId="10222" xr:uid="{10A30542-5C62-4E38-BA00-F2D234F28469}"/>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16997" xr:uid="{AF94965A-2394-4299-B332-EA4E3FE36568}"/>
    <cellStyle name="Normal 2 4 5 3 4 2 3" xfId="12780" xr:uid="{826746BB-8284-479F-95E0-2F407E3DAE2E}"/>
    <cellStyle name="Normal 2 4 5 3 4 3" xfId="5526" xr:uid="{00000000-0005-0000-0000-0000A2100000}"/>
    <cellStyle name="Normal 2 4 5 3 4 3 2" xfId="14852" xr:uid="{F8C1B2E2-26BF-4518-9623-97A6F13FF10F}"/>
    <cellStyle name="Normal 2 4 5 3 4 4" xfId="10635" xr:uid="{2DE22395-F9FB-4A4E-87E3-B21F0FA55285}"/>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17410" xr:uid="{B77DDA1C-03DA-4C95-BE57-59B85D2DBDE3}"/>
    <cellStyle name="Normal 2 4 5 3 5 2 3" xfId="13193" xr:uid="{8B3A83B5-C5AD-4275-9EE7-712CAF58B87A}"/>
    <cellStyle name="Normal 2 4 5 3 5 3" xfId="5939" xr:uid="{00000000-0005-0000-0000-0000A6100000}"/>
    <cellStyle name="Normal 2 4 5 3 5 3 2" xfId="15265" xr:uid="{C2FEABDF-EE13-43DC-9C86-CF0B85AC1B5E}"/>
    <cellStyle name="Normal 2 4 5 3 5 4" xfId="11048" xr:uid="{877B411E-B39E-44E1-9C54-99DDF389B879}"/>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17823" xr:uid="{F258A773-AE4B-438F-A34D-42ECB2036D8D}"/>
    <cellStyle name="Normal 2 4 5 3 6 2 3" xfId="13606" xr:uid="{DB103785-10F3-4F85-94C2-F8AB926F531B}"/>
    <cellStyle name="Normal 2 4 5 3 6 3" xfId="6352" xr:uid="{00000000-0005-0000-0000-0000AA100000}"/>
    <cellStyle name="Normal 2 4 5 3 6 3 2" xfId="15678" xr:uid="{B66D5F44-F7A5-4635-98B4-F5EA3EA67D71}"/>
    <cellStyle name="Normal 2 4 5 3 6 4" xfId="11461" xr:uid="{8704642E-2EA6-464E-81FF-AB9912EEC67E}"/>
    <cellStyle name="Normal 2 4 5 3 7" xfId="2482" xr:uid="{00000000-0005-0000-0000-0000AB100000}"/>
    <cellStyle name="Normal 2 4 5 3 7 2" xfId="6765" xr:uid="{00000000-0005-0000-0000-0000AC100000}"/>
    <cellStyle name="Normal 2 4 5 3 7 2 2" xfId="16091" xr:uid="{A28EA717-C614-44D2-A36C-50D0517E908D}"/>
    <cellStyle name="Normal 2 4 5 3 7 3" xfId="11874" xr:uid="{92C323F8-5DC3-421C-9776-97B5139517E7}"/>
    <cellStyle name="Normal 2 4 5 3 8" xfId="4699" xr:uid="{00000000-0005-0000-0000-0000AD100000}"/>
    <cellStyle name="Normal 2 4 5 3 8 2" xfId="14025" xr:uid="{2547A2F9-6FD7-40C3-A23C-F09EB8296DA7}"/>
    <cellStyle name="Normal 2 4 5 3 9" xfId="8883" xr:uid="{0A470B75-873E-4D74-A257-113E3E343E18}"/>
    <cellStyle name="Normal 2 4 5 3 9 2" xfId="18207" xr:uid="{3BF86A4C-F4AA-4560-986D-78080EBEAB5B}"/>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16586" xr:uid="{BB7745C9-5319-4C3C-88EF-24E9DF894D4F}"/>
    <cellStyle name="Normal 2 4 5 4 2 2 3" xfId="12369" xr:uid="{AC1FB0A7-F8A6-4201-A2ED-EA0D5D9BE1DC}"/>
    <cellStyle name="Normal 2 4 5 4 2 3" xfId="5115" xr:uid="{00000000-0005-0000-0000-0000B2100000}"/>
    <cellStyle name="Normal 2 4 5 4 2 3 2" xfId="14441" xr:uid="{F45A4A0C-7B7D-4E99-AC64-C7EB6E40438B}"/>
    <cellStyle name="Normal 2 4 5 4 2 4" xfId="9412" xr:uid="{0ECAC303-3EA0-4623-AA0F-854157CA32E5}"/>
    <cellStyle name="Normal 2 4 5 4 2 4 2" xfId="18727" xr:uid="{B6B238C9-212E-40EA-8B65-77BB623CEE5A}"/>
    <cellStyle name="Normal 2 4 5 4 2 5" xfId="10224" xr:uid="{50CDA598-90D8-42B7-AFA5-8254958CEC92}"/>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16999" xr:uid="{B6D97FA2-DE5B-4FE2-B8DB-4FDEA05001F3}"/>
    <cellStyle name="Normal 2 4 5 4 3 2 3" xfId="12782" xr:uid="{1E312F86-A6EF-49A8-95BB-3CD01578C989}"/>
    <cellStyle name="Normal 2 4 5 4 3 3" xfId="5528" xr:uid="{00000000-0005-0000-0000-0000B6100000}"/>
    <cellStyle name="Normal 2 4 5 4 3 3 2" xfId="14854" xr:uid="{6A6028BA-8988-4C27-90D8-D203A2402CEF}"/>
    <cellStyle name="Normal 2 4 5 4 3 4" xfId="10637" xr:uid="{4DBBB033-8CCB-443B-A318-609D9A032EB2}"/>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17412" xr:uid="{61F0F2DC-F80E-4148-B532-3CF345926FE5}"/>
    <cellStyle name="Normal 2 4 5 4 4 2 3" xfId="13195" xr:uid="{87360148-D670-4FB9-ABC8-9AC38D0F9893}"/>
    <cellStyle name="Normal 2 4 5 4 4 3" xfId="5941" xr:uid="{00000000-0005-0000-0000-0000BA100000}"/>
    <cellStyle name="Normal 2 4 5 4 4 3 2" xfId="15267" xr:uid="{3B540F5B-EC29-44AD-B90C-AD1C0D7F6D6A}"/>
    <cellStyle name="Normal 2 4 5 4 4 4" xfId="11050" xr:uid="{C371BD8B-519B-498B-9AAB-0E4F65E1CD54}"/>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17825" xr:uid="{953B060B-20BE-415C-B4AD-12A7E1A42A29}"/>
    <cellStyle name="Normal 2 4 5 4 5 2 3" xfId="13608" xr:uid="{8C0B89D7-8183-45FC-942F-936AF02D0D38}"/>
    <cellStyle name="Normal 2 4 5 4 5 3" xfId="6354" xr:uid="{00000000-0005-0000-0000-0000BE100000}"/>
    <cellStyle name="Normal 2 4 5 4 5 3 2" xfId="15680" xr:uid="{D1D38AB9-B56B-4C62-A5ED-F1280626F016}"/>
    <cellStyle name="Normal 2 4 5 4 5 4" xfId="11463" xr:uid="{867C5992-FD55-4A9D-8C3A-21D01044F603}"/>
    <cellStyle name="Normal 2 4 5 4 6" xfId="2484" xr:uid="{00000000-0005-0000-0000-0000BF100000}"/>
    <cellStyle name="Normal 2 4 5 4 6 2" xfId="6767" xr:uid="{00000000-0005-0000-0000-0000C0100000}"/>
    <cellStyle name="Normal 2 4 5 4 6 2 2" xfId="16093" xr:uid="{B8F7A09A-01A4-43B0-8713-DEFCBC2AC84B}"/>
    <cellStyle name="Normal 2 4 5 4 6 3" xfId="11876" xr:uid="{4C6A7AA3-80FC-424D-BB2A-ABBE201ECE5B}"/>
    <cellStyle name="Normal 2 4 5 4 7" xfId="4701" xr:uid="{00000000-0005-0000-0000-0000C1100000}"/>
    <cellStyle name="Normal 2 4 5 4 7 2" xfId="14027" xr:uid="{786DAF20-C11F-488F-9F4D-0085F2FB39A6}"/>
    <cellStyle name="Normal 2 4 5 4 8" xfId="8987" xr:uid="{8DC2C01A-3078-41AD-BCFB-AA1CA8EE9C0A}"/>
    <cellStyle name="Normal 2 4 5 4 8 2" xfId="18311" xr:uid="{8AE9103A-E7E5-4F52-B3FA-1A6F8EBAF787}"/>
    <cellStyle name="Normal 2 4 5 4 9" xfId="9810" xr:uid="{03039720-EF01-461D-B083-B9970B73B44C}"/>
    <cellStyle name="Normal 2 4 5 5" xfId="792" xr:uid="{00000000-0005-0000-0000-0000C2100000}"/>
    <cellStyle name="Normal 2 4 5 5 2" xfId="3031" xr:uid="{00000000-0005-0000-0000-0000C3100000}"/>
    <cellStyle name="Normal 2 4 5 5 2 2" xfId="7253" xr:uid="{00000000-0005-0000-0000-0000C4100000}"/>
    <cellStyle name="Normal 2 4 5 5 2 2 2" xfId="16579" xr:uid="{6A74E4D9-4E3D-4620-BD72-94480BCC9450}"/>
    <cellStyle name="Normal 2 4 5 5 2 3" xfId="12362" xr:uid="{1DA2C05E-8649-44C1-8BB6-E82DFF6B4901}"/>
    <cellStyle name="Normal 2 4 5 5 3" xfId="5108" xr:uid="{00000000-0005-0000-0000-0000C5100000}"/>
    <cellStyle name="Normal 2 4 5 5 3 2" xfId="14434" xr:uid="{43A770C3-1867-46CB-A5B4-B37BF1875FD0}"/>
    <cellStyle name="Normal 2 4 5 5 4" xfId="9204" xr:uid="{BE34B337-03EE-47D8-9E35-2EE6FAB30236}"/>
    <cellStyle name="Normal 2 4 5 5 4 2" xfId="18520" xr:uid="{B0E5A9C2-CF65-4EF7-9403-7DEC925A64BD}"/>
    <cellStyle name="Normal 2 4 5 5 5" xfId="10217" xr:uid="{E583D2CB-78F2-4835-9694-20008B4861A4}"/>
    <cellStyle name="Normal 2 4 5 6" xfId="1214" xr:uid="{00000000-0005-0000-0000-0000C6100000}"/>
    <cellStyle name="Normal 2 4 5 6 2" xfId="3444" xr:uid="{00000000-0005-0000-0000-0000C7100000}"/>
    <cellStyle name="Normal 2 4 5 6 2 2" xfId="7666" xr:uid="{00000000-0005-0000-0000-0000C8100000}"/>
    <cellStyle name="Normal 2 4 5 6 2 2 2" xfId="16992" xr:uid="{425A16C8-EE5A-49DC-B8FE-179E10F2BBCF}"/>
    <cellStyle name="Normal 2 4 5 6 2 3" xfId="12775" xr:uid="{D76156C0-263B-47DA-B9C0-3213B1B743F7}"/>
    <cellStyle name="Normal 2 4 5 6 3" xfId="5521" xr:uid="{00000000-0005-0000-0000-0000C9100000}"/>
    <cellStyle name="Normal 2 4 5 6 3 2" xfId="14847" xr:uid="{135F447B-46A9-4106-91D6-1834111062D5}"/>
    <cellStyle name="Normal 2 4 5 6 4" xfId="10630" xr:uid="{03F6DC70-5DE7-4B5F-9027-524BF20BCF02}"/>
    <cellStyle name="Normal 2 4 5 7" xfId="1627" xr:uid="{00000000-0005-0000-0000-0000CA100000}"/>
    <cellStyle name="Normal 2 4 5 7 2" xfId="3857" xr:uid="{00000000-0005-0000-0000-0000CB100000}"/>
    <cellStyle name="Normal 2 4 5 7 2 2" xfId="8079" xr:uid="{00000000-0005-0000-0000-0000CC100000}"/>
    <cellStyle name="Normal 2 4 5 7 2 2 2" xfId="17405" xr:uid="{3C0D286D-167A-4C00-B514-7842E2A9ED91}"/>
    <cellStyle name="Normal 2 4 5 7 2 3" xfId="13188" xr:uid="{51074553-9046-4C2E-9956-077C5632F305}"/>
    <cellStyle name="Normal 2 4 5 7 3" xfId="5934" xr:uid="{00000000-0005-0000-0000-0000CD100000}"/>
    <cellStyle name="Normal 2 4 5 7 3 2" xfId="15260" xr:uid="{465490F6-54F2-4526-B23C-26AA4035A438}"/>
    <cellStyle name="Normal 2 4 5 7 4" xfId="11043" xr:uid="{E914E2CF-8B9C-4B07-97B4-167B3885E20E}"/>
    <cellStyle name="Normal 2 4 5 8" xfId="2041" xr:uid="{00000000-0005-0000-0000-0000CE100000}"/>
    <cellStyle name="Normal 2 4 5 8 2" xfId="4270" xr:uid="{00000000-0005-0000-0000-0000CF100000}"/>
    <cellStyle name="Normal 2 4 5 8 2 2" xfId="8492" xr:uid="{00000000-0005-0000-0000-0000D0100000}"/>
    <cellStyle name="Normal 2 4 5 8 2 2 2" xfId="17818" xr:uid="{DA95332F-4FF3-435A-B06B-798857EF81CB}"/>
    <cellStyle name="Normal 2 4 5 8 2 3" xfId="13601" xr:uid="{4E4A671E-C181-4FB4-BCE9-43F112A5C567}"/>
    <cellStyle name="Normal 2 4 5 8 3" xfId="6347" xr:uid="{00000000-0005-0000-0000-0000D1100000}"/>
    <cellStyle name="Normal 2 4 5 8 3 2" xfId="15673" xr:uid="{5675FC2C-25D0-48AE-8890-03FFC513A2B9}"/>
    <cellStyle name="Normal 2 4 5 8 4" xfId="11456" xr:uid="{7DFA3D19-C521-4D10-9ACD-9DBE4269C063}"/>
    <cellStyle name="Normal 2 4 5 9" xfId="2477" xr:uid="{00000000-0005-0000-0000-0000D2100000}"/>
    <cellStyle name="Normal 2 4 5 9 2" xfId="6760" xr:uid="{00000000-0005-0000-0000-0000D3100000}"/>
    <cellStyle name="Normal 2 4 5 9 2 2" xfId="16086" xr:uid="{85A086D5-04FD-4EE2-B9F4-E76661FC4269}"/>
    <cellStyle name="Normal 2 4 5 9 3" xfId="11869" xr:uid="{18B43CD5-6961-49D6-ABC8-F862C868E5A4}"/>
    <cellStyle name="Normal 2 4 6" xfId="311" xr:uid="{00000000-0005-0000-0000-0000D4100000}"/>
    <cellStyle name="Normal 2 4 7" xfId="312" xr:uid="{00000000-0005-0000-0000-0000D5100000}"/>
    <cellStyle name="Normal 2 4 7 10" xfId="9811" xr:uid="{46B522A0-6821-410F-8A55-96A6A182DFF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16588" xr:uid="{26F55A6C-4B75-42E5-8E80-1798AAF5724D}"/>
    <cellStyle name="Normal 2 4 7 2 2 2 3" xfId="12371" xr:uid="{67394938-62F7-4500-BA9A-0CB755EA7F4B}"/>
    <cellStyle name="Normal 2 4 7 2 2 3" xfId="5117" xr:uid="{00000000-0005-0000-0000-0000DA100000}"/>
    <cellStyle name="Normal 2 4 7 2 2 3 2" xfId="14443" xr:uid="{23112CD9-AA58-4CB7-87BB-E488CF6BB9A5}"/>
    <cellStyle name="Normal 2 4 7 2 2 4" xfId="9483" xr:uid="{3D7EFF6F-050D-4214-91CB-DF2673F23584}"/>
    <cellStyle name="Normal 2 4 7 2 2 4 2" xfId="18798" xr:uid="{6073D02C-9014-48BA-A27A-6106E2CA2D40}"/>
    <cellStyle name="Normal 2 4 7 2 2 5" xfId="10226" xr:uid="{C416BF25-1B13-4EFA-8D34-FCE978B8E853}"/>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17001" xr:uid="{F713EB72-8FD1-488F-8B7A-D718C0F24402}"/>
    <cellStyle name="Normal 2 4 7 2 3 2 3" xfId="12784" xr:uid="{87499E1B-D702-4A15-8E46-EC68D04B171C}"/>
    <cellStyle name="Normal 2 4 7 2 3 3" xfId="5530" xr:uid="{00000000-0005-0000-0000-0000DE100000}"/>
    <cellStyle name="Normal 2 4 7 2 3 3 2" xfId="14856" xr:uid="{79B89959-E74A-46E9-A0DD-6C3CF22AD588}"/>
    <cellStyle name="Normal 2 4 7 2 3 4" xfId="10639" xr:uid="{4C3D8FF9-6A1E-43EA-B6CE-5D424EEB7C31}"/>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17414" xr:uid="{211FC6F1-47B2-4123-8DCB-E493BA452861}"/>
    <cellStyle name="Normal 2 4 7 2 4 2 3" xfId="13197" xr:uid="{E7BF7D5B-4450-4A07-B365-A4FA866CF503}"/>
    <cellStyle name="Normal 2 4 7 2 4 3" xfId="5943" xr:uid="{00000000-0005-0000-0000-0000E2100000}"/>
    <cellStyle name="Normal 2 4 7 2 4 3 2" xfId="15269" xr:uid="{520349A4-D1FB-4F76-9451-28D4DD605CDB}"/>
    <cellStyle name="Normal 2 4 7 2 4 4" xfId="11052" xr:uid="{EAD77A7D-FD2F-4B4B-B504-3FAC9D483AA7}"/>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17827" xr:uid="{E6B07020-408F-4B0D-81F9-9BEA6B076132}"/>
    <cellStyle name="Normal 2 4 7 2 5 2 3" xfId="13610" xr:uid="{2D4E7926-2B32-46B4-B95E-A56DE910A2EB}"/>
    <cellStyle name="Normal 2 4 7 2 5 3" xfId="6356" xr:uid="{00000000-0005-0000-0000-0000E6100000}"/>
    <cellStyle name="Normal 2 4 7 2 5 3 2" xfId="15682" xr:uid="{F849E903-33C5-43F0-B7C6-91B818C3C753}"/>
    <cellStyle name="Normal 2 4 7 2 5 4" xfId="11465" xr:uid="{84EC6D67-EA4D-4E53-95AC-58C7D7582228}"/>
    <cellStyle name="Normal 2 4 7 2 6" xfId="2486" xr:uid="{00000000-0005-0000-0000-0000E7100000}"/>
    <cellStyle name="Normal 2 4 7 2 6 2" xfId="6769" xr:uid="{00000000-0005-0000-0000-0000E8100000}"/>
    <cellStyle name="Normal 2 4 7 2 6 2 2" xfId="16095" xr:uid="{70BAE19C-D0D0-411D-8865-79DDD90028A7}"/>
    <cellStyle name="Normal 2 4 7 2 6 3" xfId="11878" xr:uid="{F11E01F4-CF81-4E5F-9EE1-FD8141AB0205}"/>
    <cellStyle name="Normal 2 4 7 2 7" xfId="4703" xr:uid="{00000000-0005-0000-0000-0000E9100000}"/>
    <cellStyle name="Normal 2 4 7 2 7 2" xfId="14029" xr:uid="{41F34102-B238-4555-A79E-8C69B5F48AF3}"/>
    <cellStyle name="Normal 2 4 7 2 8" xfId="9058" xr:uid="{FCEC438E-EF6A-4A00-BFE3-0DA309169A82}"/>
    <cellStyle name="Normal 2 4 7 2 8 2" xfId="18382" xr:uid="{FA6E4A16-C37F-4D71-A10E-5817A022DDDF}"/>
    <cellStyle name="Normal 2 4 7 2 9" xfId="9812" xr:uid="{9C216300-3EA0-48FC-AE5A-48A17E0CC811}"/>
    <cellStyle name="Normal 2 4 7 3" xfId="800" xr:uid="{00000000-0005-0000-0000-0000EA100000}"/>
    <cellStyle name="Normal 2 4 7 3 2" xfId="3039" xr:uid="{00000000-0005-0000-0000-0000EB100000}"/>
    <cellStyle name="Normal 2 4 7 3 2 2" xfId="7261" xr:uid="{00000000-0005-0000-0000-0000EC100000}"/>
    <cellStyle name="Normal 2 4 7 3 2 2 2" xfId="16587" xr:uid="{51C64607-A046-4FA9-B913-4BAE0122582F}"/>
    <cellStyle name="Normal 2 4 7 3 2 3" xfId="12370" xr:uid="{E08811B6-3816-4F10-9CD9-94ACBF5155C7}"/>
    <cellStyle name="Normal 2 4 7 3 3" xfId="5116" xr:uid="{00000000-0005-0000-0000-0000ED100000}"/>
    <cellStyle name="Normal 2 4 7 3 3 2" xfId="14442" xr:uid="{CB9B39AF-B781-4237-9A2D-04879E869064}"/>
    <cellStyle name="Normal 2 4 7 3 4" xfId="9276" xr:uid="{90A81E61-1719-41E4-8673-7681E805C2E0}"/>
    <cellStyle name="Normal 2 4 7 3 4 2" xfId="18591" xr:uid="{699BE8DF-4EF1-4934-90E9-3490D29742E5}"/>
    <cellStyle name="Normal 2 4 7 3 5" xfId="10225" xr:uid="{14D4CB19-4A10-4555-A01F-8AED7B92A515}"/>
    <cellStyle name="Normal 2 4 7 4" xfId="1222" xr:uid="{00000000-0005-0000-0000-0000EE100000}"/>
    <cellStyle name="Normal 2 4 7 4 2" xfId="3452" xr:uid="{00000000-0005-0000-0000-0000EF100000}"/>
    <cellStyle name="Normal 2 4 7 4 2 2" xfId="7674" xr:uid="{00000000-0005-0000-0000-0000F0100000}"/>
    <cellStyle name="Normal 2 4 7 4 2 2 2" xfId="17000" xr:uid="{D9F6FE41-A114-4AA1-8777-3E4043ED1456}"/>
    <cellStyle name="Normal 2 4 7 4 2 3" xfId="12783" xr:uid="{2D9EA552-557E-4696-93F0-34382DECC06A}"/>
    <cellStyle name="Normal 2 4 7 4 3" xfId="5529" xr:uid="{00000000-0005-0000-0000-0000F1100000}"/>
    <cellStyle name="Normal 2 4 7 4 3 2" xfId="14855" xr:uid="{56B6EEDD-D00B-4B03-A942-1FCB82490B13}"/>
    <cellStyle name="Normal 2 4 7 4 4" xfId="10638" xr:uid="{51C69471-3365-4B1D-890B-332C8961BF60}"/>
    <cellStyle name="Normal 2 4 7 5" xfId="1635" xr:uid="{00000000-0005-0000-0000-0000F2100000}"/>
    <cellStyle name="Normal 2 4 7 5 2" xfId="3865" xr:uid="{00000000-0005-0000-0000-0000F3100000}"/>
    <cellStyle name="Normal 2 4 7 5 2 2" xfId="8087" xr:uid="{00000000-0005-0000-0000-0000F4100000}"/>
    <cellStyle name="Normal 2 4 7 5 2 2 2" xfId="17413" xr:uid="{6754F4CC-0C5B-4A13-90B9-0D300D8AEF84}"/>
    <cellStyle name="Normal 2 4 7 5 2 3" xfId="13196" xr:uid="{22E898D0-B589-4F77-9E84-65201834FA99}"/>
    <cellStyle name="Normal 2 4 7 5 3" xfId="5942" xr:uid="{00000000-0005-0000-0000-0000F5100000}"/>
    <cellStyle name="Normal 2 4 7 5 3 2" xfId="15268" xr:uid="{DF48BD42-B1C5-450C-A247-9DE81AB622DC}"/>
    <cellStyle name="Normal 2 4 7 5 4" xfId="11051" xr:uid="{5F14F30F-AA98-42D9-ACA8-DEC941BE2982}"/>
    <cellStyle name="Normal 2 4 7 6" xfId="2049" xr:uid="{00000000-0005-0000-0000-0000F6100000}"/>
    <cellStyle name="Normal 2 4 7 6 2" xfId="4278" xr:uid="{00000000-0005-0000-0000-0000F7100000}"/>
    <cellStyle name="Normal 2 4 7 6 2 2" xfId="8500" xr:uid="{00000000-0005-0000-0000-0000F8100000}"/>
    <cellStyle name="Normal 2 4 7 6 2 2 2" xfId="17826" xr:uid="{E40322D4-8636-43BD-A3AF-4C973E92F271}"/>
    <cellStyle name="Normal 2 4 7 6 2 3" xfId="13609" xr:uid="{D005A7A7-919D-49FC-A52E-A8B8E6811F71}"/>
    <cellStyle name="Normal 2 4 7 6 3" xfId="6355" xr:uid="{00000000-0005-0000-0000-0000F9100000}"/>
    <cellStyle name="Normal 2 4 7 6 3 2" xfId="15681" xr:uid="{F34D8EF0-A74D-457A-B81B-55A70BE6F355}"/>
    <cellStyle name="Normal 2 4 7 6 4" xfId="11464" xr:uid="{99DD26FC-77A6-45B6-8041-B8D7A4348D32}"/>
    <cellStyle name="Normal 2 4 7 7" xfId="2485" xr:uid="{00000000-0005-0000-0000-0000FA100000}"/>
    <cellStyle name="Normal 2 4 7 7 2" xfId="6768" xr:uid="{00000000-0005-0000-0000-0000FB100000}"/>
    <cellStyle name="Normal 2 4 7 7 2 2" xfId="16094" xr:uid="{9BD8E7D5-FFA9-40AB-9C9D-3AAC0993F438}"/>
    <cellStyle name="Normal 2 4 7 7 3" xfId="11877" xr:uid="{D9DEBE27-21FC-425F-AABB-FC33559CFFF0}"/>
    <cellStyle name="Normal 2 4 7 8" xfId="4702" xr:uid="{00000000-0005-0000-0000-0000FC100000}"/>
    <cellStyle name="Normal 2 4 7 8 2" xfId="14028" xr:uid="{46FBED48-9183-4CA8-B8AA-B1B1C1E87526}"/>
    <cellStyle name="Normal 2 4 7 9" xfId="8851" xr:uid="{6946A6C1-9296-4D8F-B36F-8F7964FD7AC6}"/>
    <cellStyle name="Normal 2 4 7 9 2" xfId="18175" xr:uid="{6D0814F5-93E7-43A7-938C-68631D9DF263}"/>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2 2 2" xfId="16589" xr:uid="{F32A5E6E-00F3-48A2-84E4-3A50752726FF}"/>
    <cellStyle name="Normal 2 4 8 2 2 3" xfId="12372" xr:uid="{EAF4320D-B0EC-46AC-BDC4-0C075553A9B8}"/>
    <cellStyle name="Normal 2 4 8 2 3" xfId="5118" xr:uid="{00000000-0005-0000-0000-000001110000}"/>
    <cellStyle name="Normal 2 4 8 2 3 2" xfId="14444" xr:uid="{A9B57E1D-9F82-4F3D-BF11-6A41FC95751E}"/>
    <cellStyle name="Normal 2 4 8 2 4" xfId="9392" xr:uid="{812B973E-E5C9-43CD-85B0-C8CA30BD9BF3}"/>
    <cellStyle name="Normal 2 4 8 2 4 2" xfId="18707" xr:uid="{D20C018B-1737-4D33-ACB7-64FECAF5B3F0}"/>
    <cellStyle name="Normal 2 4 8 2 5" xfId="10227" xr:uid="{2C674702-099C-45A8-B6D9-0BEE3DDF213A}"/>
    <cellStyle name="Normal 2 4 8 3" xfId="1224" xr:uid="{00000000-0005-0000-0000-000002110000}"/>
    <cellStyle name="Normal 2 4 8 3 2" xfId="3454" xr:uid="{00000000-0005-0000-0000-000003110000}"/>
    <cellStyle name="Normal 2 4 8 3 2 2" xfId="7676" xr:uid="{00000000-0005-0000-0000-000004110000}"/>
    <cellStyle name="Normal 2 4 8 3 2 2 2" xfId="17002" xr:uid="{0AFCBFA3-DAA8-4070-8426-F5BC0BDDDAAE}"/>
    <cellStyle name="Normal 2 4 8 3 2 3" xfId="12785" xr:uid="{B96A14F3-B1FD-4AF5-A716-AAC12457F6CD}"/>
    <cellStyle name="Normal 2 4 8 3 3" xfId="5531" xr:uid="{00000000-0005-0000-0000-000005110000}"/>
    <cellStyle name="Normal 2 4 8 3 3 2" xfId="14857" xr:uid="{A85B2DE7-9862-4D5D-8C46-DBA0075C8A7B}"/>
    <cellStyle name="Normal 2 4 8 3 4" xfId="10640" xr:uid="{C494B839-F66C-4DE1-B5AC-AE426A0B8673}"/>
    <cellStyle name="Normal 2 4 8 4" xfId="1637" xr:uid="{00000000-0005-0000-0000-000006110000}"/>
    <cellStyle name="Normal 2 4 8 4 2" xfId="3867" xr:uid="{00000000-0005-0000-0000-000007110000}"/>
    <cellStyle name="Normal 2 4 8 4 2 2" xfId="8089" xr:uid="{00000000-0005-0000-0000-000008110000}"/>
    <cellStyle name="Normal 2 4 8 4 2 2 2" xfId="17415" xr:uid="{392FDFAF-93D0-4784-9332-0A8DA47BB5BC}"/>
    <cellStyle name="Normal 2 4 8 4 2 3" xfId="13198" xr:uid="{8D1F2F56-CFF2-40D9-9ECE-0C217FF764AF}"/>
    <cellStyle name="Normal 2 4 8 4 3" xfId="5944" xr:uid="{00000000-0005-0000-0000-000009110000}"/>
    <cellStyle name="Normal 2 4 8 4 3 2" xfId="15270" xr:uid="{3B594244-5526-44A4-8E14-EE078B62E9F5}"/>
    <cellStyle name="Normal 2 4 8 4 4" xfId="11053" xr:uid="{3EDFA977-760E-49A7-BECE-8CD8AB1CD015}"/>
    <cellStyle name="Normal 2 4 8 5" xfId="2051" xr:uid="{00000000-0005-0000-0000-00000A110000}"/>
    <cellStyle name="Normal 2 4 8 5 2" xfId="4280" xr:uid="{00000000-0005-0000-0000-00000B110000}"/>
    <cellStyle name="Normal 2 4 8 5 2 2" xfId="8502" xr:uid="{00000000-0005-0000-0000-00000C110000}"/>
    <cellStyle name="Normal 2 4 8 5 2 2 2" xfId="17828" xr:uid="{E5F2F9B7-01B4-4051-9AD4-267CCA7E60C4}"/>
    <cellStyle name="Normal 2 4 8 5 2 3" xfId="13611" xr:uid="{10EEF8C2-CFD7-4605-B135-215A5886EE83}"/>
    <cellStyle name="Normal 2 4 8 5 3" xfId="6357" xr:uid="{00000000-0005-0000-0000-00000D110000}"/>
    <cellStyle name="Normal 2 4 8 5 3 2" xfId="15683" xr:uid="{5666B175-40E5-4B4B-AA3C-76D5E9BC23FE}"/>
    <cellStyle name="Normal 2 4 8 5 4" xfId="11466" xr:uid="{BAFF1D3D-B7AD-4423-A0AF-4BA98D273077}"/>
    <cellStyle name="Normal 2 4 8 6" xfId="2487" xr:uid="{00000000-0005-0000-0000-00000E110000}"/>
    <cellStyle name="Normal 2 4 8 6 2" xfId="6770" xr:uid="{00000000-0005-0000-0000-00000F110000}"/>
    <cellStyle name="Normal 2 4 8 6 2 2" xfId="16096" xr:uid="{EE7C912A-A10E-480C-9E02-C425B854FCCC}"/>
    <cellStyle name="Normal 2 4 8 6 3" xfId="11879" xr:uid="{2CCC9A1F-64E6-4BB0-915C-909D60862372}"/>
    <cellStyle name="Normal 2 4 8 7" xfId="4704" xr:uid="{00000000-0005-0000-0000-000010110000}"/>
    <cellStyle name="Normal 2 4 8 7 2" xfId="14030" xr:uid="{2F4E10F4-ED38-475A-B9D4-4D6E0009928D}"/>
    <cellStyle name="Normal 2 4 8 8" xfId="8967" xr:uid="{32AC97CD-D3FD-4AE1-A8B2-07BEA9D5DE52}"/>
    <cellStyle name="Normal 2 4 8 8 2" xfId="18291" xr:uid="{7209A7C9-827C-4060-98B2-509B1FA65AF3}"/>
    <cellStyle name="Normal 2 4 8 9" xfId="9813" xr:uid="{E826AEC1-00F2-495B-9E1C-E823D7A2745C}"/>
    <cellStyle name="Normal 2 4 9" xfId="9170" xr:uid="{5569C060-E090-4551-A44D-517EC3FD1834}"/>
    <cellStyle name="Normal 2 4 9 2" xfId="18488" xr:uid="{BDD2F1A4-58B1-484D-BA53-324DEE66731C}"/>
    <cellStyle name="Normal 2 5" xfId="315" xr:uid="{00000000-0005-0000-0000-000011110000}"/>
    <cellStyle name="Normal 2 5 10" xfId="4705" xr:uid="{00000000-0005-0000-0000-000012110000}"/>
    <cellStyle name="Normal 2 5 10 2" xfId="14031" xr:uid="{BE213B8D-DB5B-4299-9B09-70BAB0A45017}"/>
    <cellStyle name="Normal 2 5 11" xfId="9814" xr:uid="{D0F30D0D-AF9E-400B-94FD-1A4DBB01C9FE}"/>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10 2" xfId="18140" xr:uid="{2AFD5EEF-DB78-4688-A481-74BEC87F66A5}"/>
    <cellStyle name="Normal 2 5 4 11" xfId="9815" xr:uid="{6129AA9B-0E0A-4DF7-8C3A-766ABEC90419}"/>
    <cellStyle name="Normal 2 5 4 2" xfId="319" xr:uid="{00000000-0005-0000-0000-000016110000}"/>
    <cellStyle name="Normal 2 5 4 2 10" xfId="9816" xr:uid="{F2E3B4F2-F20D-4BED-A18F-9C1CE572FED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16593" xr:uid="{FD73DD88-CFBA-4FFF-A38B-7C7160AEFCDD}"/>
    <cellStyle name="Normal 2 5 4 2 2 2 2 3" xfId="12376" xr:uid="{0EC3A870-9310-409A-8CED-E797080BBCA2}"/>
    <cellStyle name="Normal 2 5 4 2 2 2 3" xfId="5122" xr:uid="{00000000-0005-0000-0000-00001B110000}"/>
    <cellStyle name="Normal 2 5 4 2 2 2 3 2" xfId="14448" xr:uid="{8A242868-22F9-4609-9C39-4B1244C95823}"/>
    <cellStyle name="Normal 2 5 4 2 2 2 4" xfId="9551" xr:uid="{392D7741-6781-4EA5-9C28-040053C1B05B}"/>
    <cellStyle name="Normal 2 5 4 2 2 2 4 2" xfId="18866" xr:uid="{13BEAB7F-D9C9-424D-B868-51FA3337669A}"/>
    <cellStyle name="Normal 2 5 4 2 2 2 5" xfId="10231" xr:uid="{11D29CB7-AF40-421F-AA84-20AEBAB21A26}"/>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17006" xr:uid="{F5A6329A-ED34-4EB8-BB7D-29B81F008C98}"/>
    <cellStyle name="Normal 2 5 4 2 2 3 2 3" xfId="12789" xr:uid="{8B06BD3C-4D44-4334-A6C1-E5ED0578F302}"/>
    <cellStyle name="Normal 2 5 4 2 2 3 3" xfId="5535" xr:uid="{00000000-0005-0000-0000-00001F110000}"/>
    <cellStyle name="Normal 2 5 4 2 2 3 3 2" xfId="14861" xr:uid="{8B7BF6C8-CA72-4BBD-8113-E5E01742A1FA}"/>
    <cellStyle name="Normal 2 5 4 2 2 3 4" xfId="10644" xr:uid="{B2987C9D-CB5B-4732-888E-2869978A60A1}"/>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17419" xr:uid="{CC32592C-5162-4289-AA3D-75CE9DDB5E36}"/>
    <cellStyle name="Normal 2 5 4 2 2 4 2 3" xfId="13202" xr:uid="{685D06EA-D8EB-4DE6-9CF2-449634C35150}"/>
    <cellStyle name="Normal 2 5 4 2 2 4 3" xfId="5948" xr:uid="{00000000-0005-0000-0000-000023110000}"/>
    <cellStyle name="Normal 2 5 4 2 2 4 3 2" xfId="15274" xr:uid="{8CE10903-9515-494A-952E-C8B13900D416}"/>
    <cellStyle name="Normal 2 5 4 2 2 4 4" xfId="11057" xr:uid="{A853FFE0-5C59-4FCC-956F-A74B115101C8}"/>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17832" xr:uid="{22042F1D-3EA1-4AFA-B3B3-FB2A801E8C98}"/>
    <cellStyle name="Normal 2 5 4 2 2 5 2 3" xfId="13615" xr:uid="{545D5A74-0D31-4969-9F5B-0DFF25774C85}"/>
    <cellStyle name="Normal 2 5 4 2 2 5 3" xfId="6361" xr:uid="{00000000-0005-0000-0000-000027110000}"/>
    <cellStyle name="Normal 2 5 4 2 2 5 3 2" xfId="15687" xr:uid="{FE68DCF8-8A07-474F-9225-5DF5F93FF711}"/>
    <cellStyle name="Normal 2 5 4 2 2 5 4" xfId="11470" xr:uid="{CF95D46A-EA88-40B4-8FA3-6EEC8BEFAE7A}"/>
    <cellStyle name="Normal 2 5 4 2 2 6" xfId="2491" xr:uid="{00000000-0005-0000-0000-000028110000}"/>
    <cellStyle name="Normal 2 5 4 2 2 6 2" xfId="6774" xr:uid="{00000000-0005-0000-0000-000029110000}"/>
    <cellStyle name="Normal 2 5 4 2 2 6 2 2" xfId="16100" xr:uid="{D25D682E-7DC0-40D4-B23E-F379154271BF}"/>
    <cellStyle name="Normal 2 5 4 2 2 6 3" xfId="11883" xr:uid="{315A22A6-B0FC-46C6-997F-AB19D85DDEDB}"/>
    <cellStyle name="Normal 2 5 4 2 2 7" xfId="4708" xr:uid="{00000000-0005-0000-0000-00002A110000}"/>
    <cellStyle name="Normal 2 5 4 2 2 7 2" xfId="14034" xr:uid="{4CDBCCFF-5704-4530-8D1D-97F6740052B2}"/>
    <cellStyle name="Normal 2 5 4 2 2 8" xfId="9126" xr:uid="{C2CF4AFD-4082-4555-941B-6E9759C32D63}"/>
    <cellStyle name="Normal 2 5 4 2 2 8 2" xfId="18450" xr:uid="{E0EFEF87-DA2A-46A4-B23D-7BDDB7C219B3}"/>
    <cellStyle name="Normal 2 5 4 2 2 9" xfId="9817" xr:uid="{C43BB75E-8EA4-46F5-AF3E-0FC0F6E0C712}"/>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16592" xr:uid="{90A7DC47-3C37-49B0-BA5C-92BC9AF6866D}"/>
    <cellStyle name="Normal 2 5 4 2 3 2 3" xfId="12375" xr:uid="{6AD06CBB-22EC-48C5-B5B3-FC6C72AFC880}"/>
    <cellStyle name="Normal 2 5 4 2 3 3" xfId="5121" xr:uid="{00000000-0005-0000-0000-00002E110000}"/>
    <cellStyle name="Normal 2 5 4 2 3 3 2" xfId="14447" xr:uid="{38DB8F3C-A2AC-458C-8E40-3B5DE909A1E7}"/>
    <cellStyle name="Normal 2 5 4 2 3 4" xfId="9344" xr:uid="{207B8A34-09D9-4349-A9C7-5A5A998C6B6F}"/>
    <cellStyle name="Normal 2 5 4 2 3 4 2" xfId="18659" xr:uid="{BB809183-DD46-4A89-A0A0-D739D371016A}"/>
    <cellStyle name="Normal 2 5 4 2 3 5" xfId="10230" xr:uid="{31418E64-C79D-4776-B823-56FC14303265}"/>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17005" xr:uid="{B811F154-773A-4E3D-BB32-1C168C68DF2B}"/>
    <cellStyle name="Normal 2 5 4 2 4 2 3" xfId="12788" xr:uid="{D3301B8D-AF2B-48C9-AE38-7214F082C4E7}"/>
    <cellStyle name="Normal 2 5 4 2 4 3" xfId="5534" xr:uid="{00000000-0005-0000-0000-000032110000}"/>
    <cellStyle name="Normal 2 5 4 2 4 3 2" xfId="14860" xr:uid="{B71A2037-1FAB-439F-99EB-F5FAC04A6BC7}"/>
    <cellStyle name="Normal 2 5 4 2 4 4" xfId="10643" xr:uid="{843E6C84-245C-4056-98DC-0621E3718765}"/>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17418" xr:uid="{080A99F3-1275-443C-9EEE-EF230CCA461D}"/>
    <cellStyle name="Normal 2 5 4 2 5 2 3" xfId="13201" xr:uid="{5DBECE95-1BBE-472F-AF7D-F69912C48BA7}"/>
    <cellStyle name="Normal 2 5 4 2 5 3" xfId="5947" xr:uid="{00000000-0005-0000-0000-000036110000}"/>
    <cellStyle name="Normal 2 5 4 2 5 3 2" xfId="15273" xr:uid="{D59C78CC-3C37-426B-B7B8-AA4331D66DC9}"/>
    <cellStyle name="Normal 2 5 4 2 5 4" xfId="11056" xr:uid="{51FF3606-08A8-435D-8F6C-6C5F80096504}"/>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17831" xr:uid="{42B22360-D06D-4BC1-A11F-E4907D69FC5F}"/>
    <cellStyle name="Normal 2 5 4 2 6 2 3" xfId="13614" xr:uid="{F39B9ECD-0994-4501-B7F8-7FF49C947B03}"/>
    <cellStyle name="Normal 2 5 4 2 6 3" xfId="6360" xr:uid="{00000000-0005-0000-0000-00003A110000}"/>
    <cellStyle name="Normal 2 5 4 2 6 3 2" xfId="15686" xr:uid="{FF733FAF-F230-47A8-AB16-DF9F8A164758}"/>
    <cellStyle name="Normal 2 5 4 2 6 4" xfId="11469" xr:uid="{C8C358AE-77C0-4245-8BF9-B80F0009150F}"/>
    <cellStyle name="Normal 2 5 4 2 7" xfId="2490" xr:uid="{00000000-0005-0000-0000-00003B110000}"/>
    <cellStyle name="Normal 2 5 4 2 7 2" xfId="6773" xr:uid="{00000000-0005-0000-0000-00003C110000}"/>
    <cellStyle name="Normal 2 5 4 2 7 2 2" xfId="16099" xr:uid="{F614D6D5-08DE-483C-B82C-351B696D3AE4}"/>
    <cellStyle name="Normal 2 5 4 2 7 3" xfId="11882" xr:uid="{70AFB28B-3917-429C-BB17-1F8B1F8FE850}"/>
    <cellStyle name="Normal 2 5 4 2 8" xfId="4707" xr:uid="{00000000-0005-0000-0000-00003D110000}"/>
    <cellStyle name="Normal 2 5 4 2 8 2" xfId="14033" xr:uid="{80146B3E-E1EF-48D0-B2F5-D173A33AF697}"/>
    <cellStyle name="Normal 2 5 4 2 9" xfId="8919" xr:uid="{2A8C96F6-0F22-4271-BCA3-7E5B2E35A54F}"/>
    <cellStyle name="Normal 2 5 4 2 9 2" xfId="18243" xr:uid="{0F655497-2976-4D57-B38F-4183059BF25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16594" xr:uid="{B88D0F9B-0446-46D8-ACA8-8965C173DD1E}"/>
    <cellStyle name="Normal 2 5 4 3 2 2 3" xfId="12377" xr:uid="{AE8C17B2-41EF-4A74-B57F-C90B726C73C1}"/>
    <cellStyle name="Normal 2 5 4 3 2 3" xfId="5123" xr:uid="{00000000-0005-0000-0000-000042110000}"/>
    <cellStyle name="Normal 2 5 4 3 2 3 2" xfId="14449" xr:uid="{78708524-72A7-4350-9E0C-5EDCB451DB5D}"/>
    <cellStyle name="Normal 2 5 4 3 2 4" xfId="9448" xr:uid="{0C1738F2-697E-4430-8A3F-E67747B3EDB0}"/>
    <cellStyle name="Normal 2 5 4 3 2 4 2" xfId="18763" xr:uid="{2AF4E18C-4061-426A-B064-D189912F9F3F}"/>
    <cellStyle name="Normal 2 5 4 3 2 5" xfId="10232" xr:uid="{770DD040-7C9B-49F7-89B1-F8D771C08B6A}"/>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17007" xr:uid="{F3EC5804-49FA-4C9D-AEA4-3A9210E237FD}"/>
    <cellStyle name="Normal 2 5 4 3 3 2 3" xfId="12790" xr:uid="{AA5C7AEE-8328-47D2-8A69-678CADC3C896}"/>
    <cellStyle name="Normal 2 5 4 3 3 3" xfId="5536" xr:uid="{00000000-0005-0000-0000-000046110000}"/>
    <cellStyle name="Normal 2 5 4 3 3 3 2" xfId="14862" xr:uid="{1FDDFCA3-D2CE-476A-8AE2-7E37D3000C2A}"/>
    <cellStyle name="Normal 2 5 4 3 3 4" xfId="10645" xr:uid="{4697CCB7-1277-4D9C-8BB3-52C32E109150}"/>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17420" xr:uid="{222FD559-490B-44C6-AF95-B0DB2B20D5DE}"/>
    <cellStyle name="Normal 2 5 4 3 4 2 3" xfId="13203" xr:uid="{E3EF07E2-77AD-4970-803D-F00ADD8B4716}"/>
    <cellStyle name="Normal 2 5 4 3 4 3" xfId="5949" xr:uid="{00000000-0005-0000-0000-00004A110000}"/>
    <cellStyle name="Normal 2 5 4 3 4 3 2" xfId="15275" xr:uid="{39536032-DD92-4021-AC84-B176D829AE53}"/>
    <cellStyle name="Normal 2 5 4 3 4 4" xfId="11058" xr:uid="{35328A6F-AFA8-43FB-B936-159FCDACB547}"/>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17833" xr:uid="{6375A933-76E5-4953-9C87-B88D9E66411F}"/>
    <cellStyle name="Normal 2 5 4 3 5 2 3" xfId="13616" xr:uid="{7E54B803-E7E6-42B2-B55B-D515DE61485B}"/>
    <cellStyle name="Normal 2 5 4 3 5 3" xfId="6362" xr:uid="{00000000-0005-0000-0000-00004E110000}"/>
    <cellStyle name="Normal 2 5 4 3 5 3 2" xfId="15688" xr:uid="{153EB55A-572B-47D7-A21D-3D91BD619D92}"/>
    <cellStyle name="Normal 2 5 4 3 5 4" xfId="11471" xr:uid="{084F73DE-53BC-46B6-8655-138BF7F31809}"/>
    <cellStyle name="Normal 2 5 4 3 6" xfId="2492" xr:uid="{00000000-0005-0000-0000-00004F110000}"/>
    <cellStyle name="Normal 2 5 4 3 6 2" xfId="6775" xr:uid="{00000000-0005-0000-0000-000050110000}"/>
    <cellStyle name="Normal 2 5 4 3 6 2 2" xfId="16101" xr:uid="{D20B22E8-5710-4655-8533-B195708BFB4D}"/>
    <cellStyle name="Normal 2 5 4 3 6 3" xfId="11884" xr:uid="{5D7FAEFE-7513-48FC-9FDA-0AD20CD91A89}"/>
    <cellStyle name="Normal 2 5 4 3 7" xfId="4709" xr:uid="{00000000-0005-0000-0000-000051110000}"/>
    <cellStyle name="Normal 2 5 4 3 7 2" xfId="14035" xr:uid="{E4A5CDF0-7A11-49C4-9CF8-6518064EB410}"/>
    <cellStyle name="Normal 2 5 4 3 8" xfId="9023" xr:uid="{9B869639-3DD4-4511-AD70-D5125D34938F}"/>
    <cellStyle name="Normal 2 5 4 3 8 2" xfId="18347" xr:uid="{D1690C80-16C8-4AD5-8970-C3FFA7DA3D49}"/>
    <cellStyle name="Normal 2 5 4 3 9" xfId="9818" xr:uid="{B9E8C2D9-9ED8-4A57-A309-368E1A6CC994}"/>
    <cellStyle name="Normal 2 5 4 4" xfId="804" xr:uid="{00000000-0005-0000-0000-000052110000}"/>
    <cellStyle name="Normal 2 5 4 4 2" xfId="3043" xr:uid="{00000000-0005-0000-0000-000053110000}"/>
    <cellStyle name="Normal 2 5 4 4 2 2" xfId="7265" xr:uid="{00000000-0005-0000-0000-000054110000}"/>
    <cellStyle name="Normal 2 5 4 4 2 2 2" xfId="16591" xr:uid="{4563CF57-CABF-4D1C-A215-BBA1DDD45354}"/>
    <cellStyle name="Normal 2 5 4 4 2 3" xfId="12374" xr:uid="{96D20F9B-51CF-410E-99BB-33CB4B985363}"/>
    <cellStyle name="Normal 2 5 4 4 3" xfId="5120" xr:uid="{00000000-0005-0000-0000-000055110000}"/>
    <cellStyle name="Normal 2 5 4 4 3 2" xfId="14446" xr:uid="{13EA42A2-1340-468B-80D3-8783ABFF3D3D}"/>
    <cellStyle name="Normal 2 5 4 4 4" xfId="9241" xr:uid="{2BD2F05F-E4C9-46B4-B3C9-F0D081C1F38F}"/>
    <cellStyle name="Normal 2 5 4 4 4 2" xfId="18556" xr:uid="{7C4D042C-EBC5-4846-BE9B-D86955A69E81}"/>
    <cellStyle name="Normal 2 5 4 4 5" xfId="10229" xr:uid="{5A33A4D9-B21E-4621-A9E1-C867D496FFB7}"/>
    <cellStyle name="Normal 2 5 4 5" xfId="1226" xr:uid="{00000000-0005-0000-0000-000056110000}"/>
    <cellStyle name="Normal 2 5 4 5 2" xfId="3456" xr:uid="{00000000-0005-0000-0000-000057110000}"/>
    <cellStyle name="Normal 2 5 4 5 2 2" xfId="7678" xr:uid="{00000000-0005-0000-0000-000058110000}"/>
    <cellStyle name="Normal 2 5 4 5 2 2 2" xfId="17004" xr:uid="{C3F5EB61-23F7-4F4A-A97A-927280BC12B4}"/>
    <cellStyle name="Normal 2 5 4 5 2 3" xfId="12787" xr:uid="{ECE69933-FECE-495C-91E1-9F1C830B421E}"/>
    <cellStyle name="Normal 2 5 4 5 3" xfId="5533" xr:uid="{00000000-0005-0000-0000-000059110000}"/>
    <cellStyle name="Normal 2 5 4 5 3 2" xfId="14859" xr:uid="{1EBCDF50-484F-499B-ADE0-C1DD073F08E4}"/>
    <cellStyle name="Normal 2 5 4 5 4" xfId="10642" xr:uid="{DFADBF17-F1A5-4023-BC2D-F779BF2B4944}"/>
    <cellStyle name="Normal 2 5 4 6" xfId="1639" xr:uid="{00000000-0005-0000-0000-00005A110000}"/>
    <cellStyle name="Normal 2 5 4 6 2" xfId="3869" xr:uid="{00000000-0005-0000-0000-00005B110000}"/>
    <cellStyle name="Normal 2 5 4 6 2 2" xfId="8091" xr:uid="{00000000-0005-0000-0000-00005C110000}"/>
    <cellStyle name="Normal 2 5 4 6 2 2 2" xfId="17417" xr:uid="{442E1F08-CC41-41F6-B2FA-145B784D848A}"/>
    <cellStyle name="Normal 2 5 4 6 2 3" xfId="13200" xr:uid="{92459A2A-9E40-42A8-B2D4-8BA7986E9401}"/>
    <cellStyle name="Normal 2 5 4 6 3" xfId="5946" xr:uid="{00000000-0005-0000-0000-00005D110000}"/>
    <cellStyle name="Normal 2 5 4 6 3 2" xfId="15272" xr:uid="{15ED0210-E1D2-484E-BA72-CB6A0B8424EC}"/>
    <cellStyle name="Normal 2 5 4 6 4" xfId="11055" xr:uid="{D54E5C25-5ADD-49A5-800E-7F51519BA08C}"/>
    <cellStyle name="Normal 2 5 4 7" xfId="2053" xr:uid="{00000000-0005-0000-0000-00005E110000}"/>
    <cellStyle name="Normal 2 5 4 7 2" xfId="4282" xr:uid="{00000000-0005-0000-0000-00005F110000}"/>
    <cellStyle name="Normal 2 5 4 7 2 2" xfId="8504" xr:uid="{00000000-0005-0000-0000-000060110000}"/>
    <cellStyle name="Normal 2 5 4 7 2 2 2" xfId="17830" xr:uid="{3FD618B0-5141-494F-B784-D7B163BF2A77}"/>
    <cellStyle name="Normal 2 5 4 7 2 3" xfId="13613" xr:uid="{9A69C532-C5C4-48A5-9F48-287D841A9D1A}"/>
    <cellStyle name="Normal 2 5 4 7 3" xfId="6359" xr:uid="{00000000-0005-0000-0000-000061110000}"/>
    <cellStyle name="Normal 2 5 4 7 3 2" xfId="15685" xr:uid="{0A8C7279-F496-42CC-AB75-190B20905729}"/>
    <cellStyle name="Normal 2 5 4 7 4" xfId="11468" xr:uid="{CE0FD753-5B2E-4DF6-AF28-4BFDD994F1D4}"/>
    <cellStyle name="Normal 2 5 4 8" xfId="2489" xr:uid="{00000000-0005-0000-0000-000062110000}"/>
    <cellStyle name="Normal 2 5 4 8 2" xfId="6772" xr:uid="{00000000-0005-0000-0000-000063110000}"/>
    <cellStyle name="Normal 2 5 4 8 2 2" xfId="16098" xr:uid="{BF53EAED-3FF6-41E8-972D-28AD4EC12D6C}"/>
    <cellStyle name="Normal 2 5 4 8 3" xfId="11881" xr:uid="{EF3A2259-9E6E-47E3-9B16-8A2332DB8E38}"/>
    <cellStyle name="Normal 2 5 4 9" xfId="4706" xr:uid="{00000000-0005-0000-0000-000064110000}"/>
    <cellStyle name="Normal 2 5 4 9 2" xfId="14032" xr:uid="{E1818C14-2B47-45E5-B209-8B3638B36903}"/>
    <cellStyle name="Normal 2 5 5" xfId="803" xr:uid="{00000000-0005-0000-0000-000065110000}"/>
    <cellStyle name="Normal 2 5 5 2" xfId="3042" xr:uid="{00000000-0005-0000-0000-000066110000}"/>
    <cellStyle name="Normal 2 5 5 2 2" xfId="7264" xr:uid="{00000000-0005-0000-0000-000067110000}"/>
    <cellStyle name="Normal 2 5 5 2 2 2" xfId="16590" xr:uid="{D6A69431-A218-4A1F-A73E-5D8FD337170A}"/>
    <cellStyle name="Normal 2 5 5 2 3" xfId="12373" xr:uid="{277FDECA-D1AA-4D2E-BDF2-4928ACD82FFE}"/>
    <cellStyle name="Normal 2 5 5 3" xfId="5119" xr:uid="{00000000-0005-0000-0000-000068110000}"/>
    <cellStyle name="Normal 2 5 5 3 2" xfId="14445" xr:uid="{E5CCBFED-4391-44A3-AEBB-F4212C98328F}"/>
    <cellStyle name="Normal 2 5 5 4" xfId="9606" xr:uid="{3AE4D77A-44EE-40C2-9F71-05FBDE2746B2}"/>
    <cellStyle name="Normal 2 5 5 4 2" xfId="18907" xr:uid="{8175CEED-041A-402D-8E66-CB2DEA0E443B}"/>
    <cellStyle name="Normal 2 5 5 5" xfId="10228" xr:uid="{5DA62FEF-27A5-4D8E-926F-11433C936D76}"/>
    <cellStyle name="Normal 2 5 6" xfId="1225" xr:uid="{00000000-0005-0000-0000-000069110000}"/>
    <cellStyle name="Normal 2 5 6 2" xfId="3455" xr:uid="{00000000-0005-0000-0000-00006A110000}"/>
    <cellStyle name="Normal 2 5 6 2 2" xfId="7677" xr:uid="{00000000-0005-0000-0000-00006B110000}"/>
    <cellStyle name="Normal 2 5 6 2 2 2" xfId="17003" xr:uid="{1A9BBDAE-1A51-4DA5-BFAD-E225C2C780A9}"/>
    <cellStyle name="Normal 2 5 6 2 3" xfId="12786" xr:uid="{1DC42022-F8EA-4FB9-8588-38E12F2388AD}"/>
    <cellStyle name="Normal 2 5 6 3" xfId="5532" xr:uid="{00000000-0005-0000-0000-00006C110000}"/>
    <cellStyle name="Normal 2 5 6 3 2" xfId="14858" xr:uid="{EDF1C306-1A87-46A1-9241-329F0111DE88}"/>
    <cellStyle name="Normal 2 5 6 4" xfId="10641" xr:uid="{C4A826B8-9092-4465-86B5-BF586CC2D97F}"/>
    <cellStyle name="Normal 2 5 7" xfId="1638" xr:uid="{00000000-0005-0000-0000-00006D110000}"/>
    <cellStyle name="Normal 2 5 7 2" xfId="3868" xr:uid="{00000000-0005-0000-0000-00006E110000}"/>
    <cellStyle name="Normal 2 5 7 2 2" xfId="8090" xr:uid="{00000000-0005-0000-0000-00006F110000}"/>
    <cellStyle name="Normal 2 5 7 2 2 2" xfId="17416" xr:uid="{EE9572EA-35A9-43F4-95E0-8884F15E1115}"/>
    <cellStyle name="Normal 2 5 7 2 3" xfId="13199" xr:uid="{E31A67B7-2B7B-4B11-94FA-68C854830D52}"/>
    <cellStyle name="Normal 2 5 7 3" xfId="5945" xr:uid="{00000000-0005-0000-0000-000070110000}"/>
    <cellStyle name="Normal 2 5 7 3 2" xfId="15271" xr:uid="{77EF026C-B631-4406-BDFB-96816E403CF7}"/>
    <cellStyle name="Normal 2 5 7 4" xfId="11054" xr:uid="{08888E1B-726A-40AD-A5C8-ABD708924B05}"/>
    <cellStyle name="Normal 2 5 8" xfId="2052" xr:uid="{00000000-0005-0000-0000-000071110000}"/>
    <cellStyle name="Normal 2 5 8 2" xfId="4281" xr:uid="{00000000-0005-0000-0000-000072110000}"/>
    <cellStyle name="Normal 2 5 8 2 2" xfId="8503" xr:uid="{00000000-0005-0000-0000-000073110000}"/>
    <cellStyle name="Normal 2 5 8 2 2 2" xfId="17829" xr:uid="{0B2884BA-EF0F-47EE-9D11-B4EAB273BC9F}"/>
    <cellStyle name="Normal 2 5 8 2 3" xfId="13612" xr:uid="{392997F0-ED18-45BB-9B11-B872267EDFB9}"/>
    <cellStyle name="Normal 2 5 8 3" xfId="6358" xr:uid="{00000000-0005-0000-0000-000074110000}"/>
    <cellStyle name="Normal 2 5 8 3 2" xfId="15684" xr:uid="{6D72ECDF-98CB-45DC-9B12-E8F0A3F6BA73}"/>
    <cellStyle name="Normal 2 5 8 4" xfId="11467" xr:uid="{9A2FD01F-766A-4A93-AC8E-D759BECFE7C3}"/>
    <cellStyle name="Normal 2 5 9" xfId="2488" xr:uid="{00000000-0005-0000-0000-000075110000}"/>
    <cellStyle name="Normal 2 5 9 2" xfId="6771" xr:uid="{00000000-0005-0000-0000-000076110000}"/>
    <cellStyle name="Normal 2 5 9 2 2" xfId="16097" xr:uid="{56BBA019-B169-4D6F-A63D-0D2D58BB029E}"/>
    <cellStyle name="Normal 2 5 9 3" xfId="11880" xr:uid="{D4EE0835-B040-4441-8E0A-04AEB58C3C9E}"/>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7 3 2" xfId="18479" xr:uid="{F9C685C7-B09B-4792-8592-99F9769727A3}"/>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10" xfId="9819" xr:uid="{C065101F-7A0C-45D5-B863-BBA175BA5558}"/>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10 2" xfId="18141" xr:uid="{3F81B845-A568-43D2-9457-B08ECEBC44BF}"/>
    <cellStyle name="Normal 3 2 3 11" xfId="9820" xr:uid="{821E3EAA-9CC9-42BC-9977-8AAA6A10CA17}"/>
    <cellStyle name="Normal 3 2 3 2" xfId="327" xr:uid="{00000000-0005-0000-0000-00007F110000}"/>
    <cellStyle name="Normal 3 2 3 2 10" xfId="9821" xr:uid="{8B870D55-A5EE-42CF-9F0C-3CDECA00BDC7}"/>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16598" xr:uid="{9AFBFD7D-DC1F-449C-9DBA-0218D27796EE}"/>
    <cellStyle name="Normal 3 2 3 2 2 2 2 3" xfId="12381" xr:uid="{6E8FE2C3-83D4-444F-A704-42457C401A91}"/>
    <cellStyle name="Normal 3 2 3 2 2 2 3" xfId="5127" xr:uid="{00000000-0005-0000-0000-000084110000}"/>
    <cellStyle name="Normal 3 2 3 2 2 2 3 2" xfId="14453" xr:uid="{46BD22C2-BB7F-4A1A-A7C3-FB24D726ADE6}"/>
    <cellStyle name="Normal 3 2 3 2 2 2 4" xfId="9552" xr:uid="{54198C1B-8B77-4C07-BFED-28C4D4E00A0C}"/>
    <cellStyle name="Normal 3 2 3 2 2 2 4 2" xfId="18867" xr:uid="{20B7D07E-8D7B-47B0-9B50-EC692BECAB8C}"/>
    <cellStyle name="Normal 3 2 3 2 2 2 5" xfId="10236" xr:uid="{53391782-F42D-4AFA-A622-BEBC3CC322FA}"/>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17011" xr:uid="{D5099A64-D7FC-4E15-AB1F-359DC81FAC20}"/>
    <cellStyle name="Normal 3 2 3 2 2 3 2 3" xfId="12794" xr:uid="{985C245F-F852-4868-920A-CEEF57105493}"/>
    <cellStyle name="Normal 3 2 3 2 2 3 3" xfId="5540" xr:uid="{00000000-0005-0000-0000-000088110000}"/>
    <cellStyle name="Normal 3 2 3 2 2 3 3 2" xfId="14866" xr:uid="{A4DA705F-C0A2-4FB0-97F7-EE3143644E05}"/>
    <cellStyle name="Normal 3 2 3 2 2 3 4" xfId="10649" xr:uid="{5CDD047D-4D38-49F1-B275-B81C07C9E48F}"/>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17424" xr:uid="{99B4B293-4A5D-4171-871E-316397850DC6}"/>
    <cellStyle name="Normal 3 2 3 2 2 4 2 3" xfId="13207" xr:uid="{331EE871-4EFC-4875-9D9E-5258A34FD170}"/>
    <cellStyle name="Normal 3 2 3 2 2 4 3" xfId="5953" xr:uid="{00000000-0005-0000-0000-00008C110000}"/>
    <cellStyle name="Normal 3 2 3 2 2 4 3 2" xfId="15279" xr:uid="{68BC6F35-B820-4DEC-969A-7B9F401DCC30}"/>
    <cellStyle name="Normal 3 2 3 2 2 4 4" xfId="11062" xr:uid="{E3AC677E-8070-45A0-8316-CAD72BB687BB}"/>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17837" xr:uid="{404BBAF5-0DB3-4F7F-95D9-E90200EF00D6}"/>
    <cellStyle name="Normal 3 2 3 2 2 5 2 3" xfId="13620" xr:uid="{A00A1DFA-A71E-4E8A-9320-97FD2BF8E810}"/>
    <cellStyle name="Normal 3 2 3 2 2 5 3" xfId="6366" xr:uid="{00000000-0005-0000-0000-000090110000}"/>
    <cellStyle name="Normal 3 2 3 2 2 5 3 2" xfId="15692" xr:uid="{44FC1C96-D19D-4A03-86A7-BF431F4FA16C}"/>
    <cellStyle name="Normal 3 2 3 2 2 5 4" xfId="11475" xr:uid="{C282E5AE-9834-4FE9-8DA1-A604C43E2C2A}"/>
    <cellStyle name="Normal 3 2 3 2 2 6" xfId="2496" xr:uid="{00000000-0005-0000-0000-000091110000}"/>
    <cellStyle name="Normal 3 2 3 2 2 6 2" xfId="6779" xr:uid="{00000000-0005-0000-0000-000092110000}"/>
    <cellStyle name="Normal 3 2 3 2 2 6 2 2" xfId="16105" xr:uid="{81716E17-E311-4918-AFEA-535CB6BF12A5}"/>
    <cellStyle name="Normal 3 2 3 2 2 6 3" xfId="11888" xr:uid="{107E7F67-CE7F-496F-8EFD-A625F58825D4}"/>
    <cellStyle name="Normal 3 2 3 2 2 7" xfId="4713" xr:uid="{00000000-0005-0000-0000-000093110000}"/>
    <cellStyle name="Normal 3 2 3 2 2 7 2" xfId="14039" xr:uid="{5E9FF600-6CCF-476B-B801-C0C5E76591C8}"/>
    <cellStyle name="Normal 3 2 3 2 2 8" xfId="9127" xr:uid="{0583B12A-AAD6-4358-9C0C-42D6EBC3DFD8}"/>
    <cellStyle name="Normal 3 2 3 2 2 8 2" xfId="18451" xr:uid="{5B13DBEE-EF6E-4B4E-B262-A945807FE7CE}"/>
    <cellStyle name="Normal 3 2 3 2 2 9" xfId="9822" xr:uid="{12AAB708-E230-44A8-88EE-E1BC0579BF2D}"/>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16597" xr:uid="{F38C4DD6-3135-469F-A368-28987BA82145}"/>
    <cellStyle name="Normal 3 2 3 2 3 2 3" xfId="12380" xr:uid="{27472A17-D8A1-46E0-87EC-2755CFAD8433}"/>
    <cellStyle name="Normal 3 2 3 2 3 3" xfId="5126" xr:uid="{00000000-0005-0000-0000-000097110000}"/>
    <cellStyle name="Normal 3 2 3 2 3 3 2" xfId="14452" xr:uid="{7161E931-2D69-4958-A3DB-5C1E620D41EC}"/>
    <cellStyle name="Normal 3 2 3 2 3 4" xfId="9345" xr:uid="{C34A3811-3C7F-4E99-A17A-CCF74A426C86}"/>
    <cellStyle name="Normal 3 2 3 2 3 4 2" xfId="18660" xr:uid="{79D087D7-7473-4E70-842E-FE90DFBEFA0A}"/>
    <cellStyle name="Normal 3 2 3 2 3 5" xfId="10235" xr:uid="{5409C05E-1C5D-425B-ADEA-789768D9C524}"/>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17010" xr:uid="{C2777F74-4471-4432-8906-A2C52908B344}"/>
    <cellStyle name="Normal 3 2 3 2 4 2 3" xfId="12793" xr:uid="{29EFF1F5-B6EB-4385-BAB2-F0777B665D67}"/>
    <cellStyle name="Normal 3 2 3 2 4 3" xfId="5539" xr:uid="{00000000-0005-0000-0000-00009B110000}"/>
    <cellStyle name="Normal 3 2 3 2 4 3 2" xfId="14865" xr:uid="{3496857D-37A7-4C95-94B5-B742B1A18A9F}"/>
    <cellStyle name="Normal 3 2 3 2 4 4" xfId="10648" xr:uid="{78BFA6EA-14C6-4AFF-9460-A0C7D3987F39}"/>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17423" xr:uid="{22F6E4B6-A816-4428-A0C6-64FD12C13211}"/>
    <cellStyle name="Normal 3 2 3 2 5 2 3" xfId="13206" xr:uid="{0AE5CEBB-5FB5-4746-96AD-0BDA436EC3D0}"/>
    <cellStyle name="Normal 3 2 3 2 5 3" xfId="5952" xr:uid="{00000000-0005-0000-0000-00009F110000}"/>
    <cellStyle name="Normal 3 2 3 2 5 3 2" xfId="15278" xr:uid="{60731C61-53FD-42B5-A094-3610B699279D}"/>
    <cellStyle name="Normal 3 2 3 2 5 4" xfId="11061" xr:uid="{A8063CAC-AB81-40F0-8A46-03E776EEF834}"/>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17836" xr:uid="{868BC873-81BC-4468-8AF3-09860D03775E}"/>
    <cellStyle name="Normal 3 2 3 2 6 2 3" xfId="13619" xr:uid="{F69536CE-1C65-44C1-889C-714D09430232}"/>
    <cellStyle name="Normal 3 2 3 2 6 3" xfId="6365" xr:uid="{00000000-0005-0000-0000-0000A3110000}"/>
    <cellStyle name="Normal 3 2 3 2 6 3 2" xfId="15691" xr:uid="{4704141D-28CF-4E1A-8320-22F52B8BCBC9}"/>
    <cellStyle name="Normal 3 2 3 2 6 4" xfId="11474" xr:uid="{6189122F-A571-4AD3-97F5-26834C8AEC0D}"/>
    <cellStyle name="Normal 3 2 3 2 7" xfId="2495" xr:uid="{00000000-0005-0000-0000-0000A4110000}"/>
    <cellStyle name="Normal 3 2 3 2 7 2" xfId="6778" xr:uid="{00000000-0005-0000-0000-0000A5110000}"/>
    <cellStyle name="Normal 3 2 3 2 7 2 2" xfId="16104" xr:uid="{A124EB32-B71E-4720-B178-2687556CF2E7}"/>
    <cellStyle name="Normal 3 2 3 2 7 3" xfId="11887" xr:uid="{40E4979F-328A-4A7F-B431-829B467F732E}"/>
    <cellStyle name="Normal 3 2 3 2 8" xfId="4712" xr:uid="{00000000-0005-0000-0000-0000A6110000}"/>
    <cellStyle name="Normal 3 2 3 2 8 2" xfId="14038" xr:uid="{0FE4FBE6-EBBF-4356-B182-F5D5FCDBAD06}"/>
    <cellStyle name="Normal 3 2 3 2 9" xfId="8920" xr:uid="{D9E0825A-068A-435C-BDBE-2C0571A11FAF}"/>
    <cellStyle name="Normal 3 2 3 2 9 2" xfId="18244" xr:uid="{DEB4C564-B1B2-4A1F-8150-61CCDA6373BA}"/>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16599" xr:uid="{6EC18324-780F-4A01-9496-473B1CE2EA00}"/>
    <cellStyle name="Normal 3 2 3 3 2 2 3" xfId="12382" xr:uid="{57E1B6FB-4CD5-47E9-A11D-745430BAFAAB}"/>
    <cellStyle name="Normal 3 2 3 3 2 3" xfId="5128" xr:uid="{00000000-0005-0000-0000-0000AB110000}"/>
    <cellStyle name="Normal 3 2 3 3 2 3 2" xfId="14454" xr:uid="{6D5E0AE3-0B82-434C-8803-21E39FEE2D3B}"/>
    <cellStyle name="Normal 3 2 3 3 2 4" xfId="9449" xr:uid="{7F58A2DC-DF16-44D1-8D09-04DD41EF4468}"/>
    <cellStyle name="Normal 3 2 3 3 2 4 2" xfId="18764" xr:uid="{46AFEF7F-1125-4459-A83D-FBB2BAABE835}"/>
    <cellStyle name="Normal 3 2 3 3 2 5" xfId="10237" xr:uid="{13C410BD-3BCC-41AB-8F2A-D5B53CB7BA20}"/>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17012" xr:uid="{7A44E34A-92FF-4C4C-AD8A-9D163B82A0E1}"/>
    <cellStyle name="Normal 3 2 3 3 3 2 3" xfId="12795" xr:uid="{7A0799CD-BE31-4D7E-B29E-A4D3DCD7E99E}"/>
    <cellStyle name="Normal 3 2 3 3 3 3" xfId="5541" xr:uid="{00000000-0005-0000-0000-0000AF110000}"/>
    <cellStyle name="Normal 3 2 3 3 3 3 2" xfId="14867" xr:uid="{8BE09C42-5932-4E15-B186-122235E505DB}"/>
    <cellStyle name="Normal 3 2 3 3 3 4" xfId="10650" xr:uid="{80D90235-CEE4-40F4-9587-0E0FB4342FC5}"/>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17425" xr:uid="{C0C20444-039E-46AC-9B6D-67EA1984F284}"/>
    <cellStyle name="Normal 3 2 3 3 4 2 3" xfId="13208" xr:uid="{08A508C9-E6BF-42E1-BEA1-8396ACE1CA21}"/>
    <cellStyle name="Normal 3 2 3 3 4 3" xfId="5954" xr:uid="{00000000-0005-0000-0000-0000B3110000}"/>
    <cellStyle name="Normal 3 2 3 3 4 3 2" xfId="15280" xr:uid="{4CDA7E5B-492D-4608-876D-54DE60023ABE}"/>
    <cellStyle name="Normal 3 2 3 3 4 4" xfId="11063" xr:uid="{D3C4C5EC-D98C-4842-99B0-C76A2E3D646F}"/>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17838" xr:uid="{5AF6B57A-0AF1-4E26-9577-651BD238169C}"/>
    <cellStyle name="Normal 3 2 3 3 5 2 3" xfId="13621" xr:uid="{73CFABE0-586A-40E4-A169-F2FFDB570E23}"/>
    <cellStyle name="Normal 3 2 3 3 5 3" xfId="6367" xr:uid="{00000000-0005-0000-0000-0000B7110000}"/>
    <cellStyle name="Normal 3 2 3 3 5 3 2" xfId="15693" xr:uid="{6CF5060A-2BA7-414E-82BC-3BE5DE514C7D}"/>
    <cellStyle name="Normal 3 2 3 3 5 4" xfId="11476" xr:uid="{CF374CA4-2646-48A5-AED6-3274C8507B89}"/>
    <cellStyle name="Normal 3 2 3 3 6" xfId="2497" xr:uid="{00000000-0005-0000-0000-0000B8110000}"/>
    <cellStyle name="Normal 3 2 3 3 6 2" xfId="6780" xr:uid="{00000000-0005-0000-0000-0000B9110000}"/>
    <cellStyle name="Normal 3 2 3 3 6 2 2" xfId="16106" xr:uid="{920E8F02-4475-4E2C-AA66-C54B4890AB5E}"/>
    <cellStyle name="Normal 3 2 3 3 6 3" xfId="11889" xr:uid="{545260A1-ADF3-4929-85E8-752484818F49}"/>
    <cellStyle name="Normal 3 2 3 3 7" xfId="4714" xr:uid="{00000000-0005-0000-0000-0000BA110000}"/>
    <cellStyle name="Normal 3 2 3 3 7 2" xfId="14040" xr:uid="{04F4D5C5-7438-4990-8423-390ADCCF583D}"/>
    <cellStyle name="Normal 3 2 3 3 8" xfId="9024" xr:uid="{AE2F680F-18A3-47B5-ADCF-6BEAD71D50CE}"/>
    <cellStyle name="Normal 3 2 3 3 8 2" xfId="18348" xr:uid="{FB2D9B51-696C-457C-A14D-000CD12D63A9}"/>
    <cellStyle name="Normal 3 2 3 3 9" xfId="9823" xr:uid="{087B6EF1-FB38-41C5-BD3B-EC89541CD3F8}"/>
    <cellStyle name="Normal 3 2 3 4" xfId="811" xr:uid="{00000000-0005-0000-0000-0000BB110000}"/>
    <cellStyle name="Normal 3 2 3 4 2" xfId="3048" xr:uid="{00000000-0005-0000-0000-0000BC110000}"/>
    <cellStyle name="Normal 3 2 3 4 2 2" xfId="7270" xr:uid="{00000000-0005-0000-0000-0000BD110000}"/>
    <cellStyle name="Normal 3 2 3 4 2 2 2" xfId="16596" xr:uid="{B750D40B-683B-4C59-9BF0-48517378BDE1}"/>
    <cellStyle name="Normal 3 2 3 4 2 3" xfId="12379" xr:uid="{CB454E23-A009-4F33-8E4F-249F7A1DAB8F}"/>
    <cellStyle name="Normal 3 2 3 4 3" xfId="5125" xr:uid="{00000000-0005-0000-0000-0000BE110000}"/>
    <cellStyle name="Normal 3 2 3 4 3 2" xfId="14451" xr:uid="{1A540975-D688-4B02-BA2C-80C5D5DA2C66}"/>
    <cellStyle name="Normal 3 2 3 4 4" xfId="9242" xr:uid="{05AEEDFF-7EEB-40DB-B13D-145C971A771B}"/>
    <cellStyle name="Normal 3 2 3 4 4 2" xfId="18557" xr:uid="{9E271D65-377C-435F-A96F-5DAE4F435530}"/>
    <cellStyle name="Normal 3 2 3 4 5" xfId="10234" xr:uid="{25F80920-28B1-47AC-8BDE-79D8AF0B0C86}"/>
    <cellStyle name="Normal 3 2 3 5" xfId="1231" xr:uid="{00000000-0005-0000-0000-0000BF110000}"/>
    <cellStyle name="Normal 3 2 3 5 2" xfId="3461" xr:uid="{00000000-0005-0000-0000-0000C0110000}"/>
    <cellStyle name="Normal 3 2 3 5 2 2" xfId="7683" xr:uid="{00000000-0005-0000-0000-0000C1110000}"/>
    <cellStyle name="Normal 3 2 3 5 2 2 2" xfId="17009" xr:uid="{F831B372-18CD-4B72-A413-588718A546EE}"/>
    <cellStyle name="Normal 3 2 3 5 2 3" xfId="12792" xr:uid="{AE876EDF-C238-463D-A07C-6E175F107692}"/>
    <cellStyle name="Normal 3 2 3 5 3" xfId="5538" xr:uid="{00000000-0005-0000-0000-0000C2110000}"/>
    <cellStyle name="Normal 3 2 3 5 3 2" xfId="14864" xr:uid="{CBF13687-B1B6-4F75-921B-5CCA4E5F7094}"/>
    <cellStyle name="Normal 3 2 3 5 4" xfId="10647" xr:uid="{BEC33151-ACB3-476A-8517-17798E041118}"/>
    <cellStyle name="Normal 3 2 3 6" xfId="1644" xr:uid="{00000000-0005-0000-0000-0000C3110000}"/>
    <cellStyle name="Normal 3 2 3 6 2" xfId="3874" xr:uid="{00000000-0005-0000-0000-0000C4110000}"/>
    <cellStyle name="Normal 3 2 3 6 2 2" xfId="8096" xr:uid="{00000000-0005-0000-0000-0000C5110000}"/>
    <cellStyle name="Normal 3 2 3 6 2 2 2" xfId="17422" xr:uid="{20765DDB-D5B9-4693-8913-1C12A9315084}"/>
    <cellStyle name="Normal 3 2 3 6 2 3" xfId="13205" xr:uid="{DAE7A175-C3F7-41B7-A786-53B54FC4A4D1}"/>
    <cellStyle name="Normal 3 2 3 6 3" xfId="5951" xr:uid="{00000000-0005-0000-0000-0000C6110000}"/>
    <cellStyle name="Normal 3 2 3 6 3 2" xfId="15277" xr:uid="{2A5CCA21-670C-40C2-8BB4-AA17BBB02038}"/>
    <cellStyle name="Normal 3 2 3 6 4" xfId="11060" xr:uid="{5C474514-2104-4E85-BD3D-521E3C070A3B}"/>
    <cellStyle name="Normal 3 2 3 7" xfId="2058" xr:uid="{00000000-0005-0000-0000-0000C7110000}"/>
    <cellStyle name="Normal 3 2 3 7 2" xfId="4287" xr:uid="{00000000-0005-0000-0000-0000C8110000}"/>
    <cellStyle name="Normal 3 2 3 7 2 2" xfId="8509" xr:uid="{00000000-0005-0000-0000-0000C9110000}"/>
    <cellStyle name="Normal 3 2 3 7 2 2 2" xfId="17835" xr:uid="{6EBFC180-C143-4760-8E80-F34421BEF745}"/>
    <cellStyle name="Normal 3 2 3 7 2 3" xfId="13618" xr:uid="{CD1A2623-C032-4B01-8789-2B88625F0A35}"/>
    <cellStyle name="Normal 3 2 3 7 3" xfId="6364" xr:uid="{00000000-0005-0000-0000-0000CA110000}"/>
    <cellStyle name="Normal 3 2 3 7 3 2" xfId="15690" xr:uid="{91DA7228-CA5E-439B-A482-FA6A46593999}"/>
    <cellStyle name="Normal 3 2 3 7 4" xfId="11473" xr:uid="{F8FC11D2-29D4-4FFA-88A2-45AF2AB54896}"/>
    <cellStyle name="Normal 3 2 3 8" xfId="2494" xr:uid="{00000000-0005-0000-0000-0000CB110000}"/>
    <cellStyle name="Normal 3 2 3 8 2" xfId="6777" xr:uid="{00000000-0005-0000-0000-0000CC110000}"/>
    <cellStyle name="Normal 3 2 3 8 2 2" xfId="16103" xr:uid="{020DA2FD-558F-4A9F-8DE2-A71F9CAAC3A6}"/>
    <cellStyle name="Normal 3 2 3 8 3" xfId="11886" xr:uid="{1D9E7047-43C6-4241-B012-B623025DB6C0}"/>
    <cellStyle name="Normal 3 2 3 9" xfId="4711" xr:uid="{00000000-0005-0000-0000-0000CD110000}"/>
    <cellStyle name="Normal 3 2 3 9 2" xfId="14037" xr:uid="{3741E210-444B-4E40-924D-98F194524CBD}"/>
    <cellStyle name="Normal 3 2 4" xfId="809" xr:uid="{00000000-0005-0000-0000-0000CE110000}"/>
    <cellStyle name="Normal 3 2 4 2" xfId="3047" xr:uid="{00000000-0005-0000-0000-0000CF110000}"/>
    <cellStyle name="Normal 3 2 4 2 2" xfId="7269" xr:uid="{00000000-0005-0000-0000-0000D0110000}"/>
    <cellStyle name="Normal 3 2 4 2 2 2" xfId="16595" xr:uid="{1F8B5F32-EFAD-4DE1-886E-2C4B0F3F3FC5}"/>
    <cellStyle name="Normal 3 2 4 2 3" xfId="12378" xr:uid="{6C69E3D2-A7BE-478F-8135-3ACAA50B4167}"/>
    <cellStyle name="Normal 3 2 4 3" xfId="5124" xr:uid="{00000000-0005-0000-0000-0000D1110000}"/>
    <cellStyle name="Normal 3 2 4 3 2" xfId="14450" xr:uid="{C40DC8E4-C2EE-4878-8CE6-3DB00C0DEA14}"/>
    <cellStyle name="Normal 3 2 4 4" xfId="9607" xr:uid="{7D769806-7069-4B8D-8CAC-B3B91BBA8D64}"/>
    <cellStyle name="Normal 3 2 4 4 2" xfId="18908" xr:uid="{B0E6BA43-7878-435E-9AFD-D9FF04E0B30B}"/>
    <cellStyle name="Normal 3 2 4 5" xfId="10233" xr:uid="{B4402527-97CD-4B41-A811-0B0A8A8222C5}"/>
    <cellStyle name="Normal 3 2 5" xfId="1230" xr:uid="{00000000-0005-0000-0000-0000D2110000}"/>
    <cellStyle name="Normal 3 2 5 2" xfId="3460" xr:uid="{00000000-0005-0000-0000-0000D3110000}"/>
    <cellStyle name="Normal 3 2 5 2 2" xfId="7682" xr:uid="{00000000-0005-0000-0000-0000D4110000}"/>
    <cellStyle name="Normal 3 2 5 2 2 2" xfId="17008" xr:uid="{76B45E32-54D5-45ED-87A1-B0D4ABD56610}"/>
    <cellStyle name="Normal 3 2 5 2 3" xfId="12791" xr:uid="{F6452285-4AF3-4E92-98CB-CB86712E960B}"/>
    <cellStyle name="Normal 3 2 5 3" xfId="5537" xr:uid="{00000000-0005-0000-0000-0000D5110000}"/>
    <cellStyle name="Normal 3 2 5 3 2" xfId="14863" xr:uid="{A7E56D79-D6C5-415F-BD57-2FDD50EA583A}"/>
    <cellStyle name="Normal 3 2 5 4" xfId="10646" xr:uid="{F4C19EDF-AEF5-4FD0-91B9-A835FDE5C7C2}"/>
    <cellStyle name="Normal 3 2 6" xfId="1643" xr:uid="{00000000-0005-0000-0000-0000D6110000}"/>
    <cellStyle name="Normal 3 2 6 2" xfId="3873" xr:uid="{00000000-0005-0000-0000-0000D7110000}"/>
    <cellStyle name="Normal 3 2 6 2 2" xfId="8095" xr:uid="{00000000-0005-0000-0000-0000D8110000}"/>
    <cellStyle name="Normal 3 2 6 2 2 2" xfId="17421" xr:uid="{B434DB1B-81F2-4A96-BAD4-460AF9E7174A}"/>
    <cellStyle name="Normal 3 2 6 2 3" xfId="13204" xr:uid="{AF956E23-94A9-4EDC-8F66-0093B176EB75}"/>
    <cellStyle name="Normal 3 2 6 3" xfId="5950" xr:uid="{00000000-0005-0000-0000-0000D9110000}"/>
    <cellStyle name="Normal 3 2 6 3 2" xfId="15276" xr:uid="{8A8335E8-BAD1-47A4-80D2-5399F0CCC033}"/>
    <cellStyle name="Normal 3 2 6 4" xfId="11059" xr:uid="{02F21353-F2D0-448C-9364-694C08245CCA}"/>
    <cellStyle name="Normal 3 2 7" xfId="2057" xr:uid="{00000000-0005-0000-0000-0000DA110000}"/>
    <cellStyle name="Normal 3 2 7 2" xfId="4286" xr:uid="{00000000-0005-0000-0000-0000DB110000}"/>
    <cellStyle name="Normal 3 2 7 2 2" xfId="8508" xr:uid="{00000000-0005-0000-0000-0000DC110000}"/>
    <cellStyle name="Normal 3 2 7 2 2 2" xfId="17834" xr:uid="{55AE51B2-4BEB-40EE-AD75-72039B2572EB}"/>
    <cellStyle name="Normal 3 2 7 2 3" xfId="13617" xr:uid="{14FD8AB2-9CD9-4BF0-B965-788E9EFB63D4}"/>
    <cellStyle name="Normal 3 2 7 3" xfId="6363" xr:uid="{00000000-0005-0000-0000-0000DD110000}"/>
    <cellStyle name="Normal 3 2 7 3 2" xfId="15689" xr:uid="{8E38F0B8-CD60-456F-98D8-6CEAC768C746}"/>
    <cellStyle name="Normal 3 2 7 4" xfId="11472" xr:uid="{7125B40B-444F-4ED3-BCCD-23C27C546CB5}"/>
    <cellStyle name="Normal 3 2 8" xfId="2493" xr:uid="{00000000-0005-0000-0000-0000DE110000}"/>
    <cellStyle name="Normal 3 2 8 2" xfId="6776" xr:uid="{00000000-0005-0000-0000-0000DF110000}"/>
    <cellStyle name="Normal 3 2 8 2 2" xfId="16102" xr:uid="{3DF6D3EC-3821-4D6E-8E64-CD7EF93434C3}"/>
    <cellStyle name="Normal 3 2 8 3" xfId="11885" xr:uid="{004C2940-7F9D-4E03-ABF4-A409F493929A}"/>
    <cellStyle name="Normal 3 2 9" xfId="4710" xr:uid="{00000000-0005-0000-0000-0000E0110000}"/>
    <cellStyle name="Normal 3 2 9 2" xfId="14036" xr:uid="{3D7738C6-0522-455C-8DCD-480019F1761C}"/>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10 2" xfId="18064" xr:uid="{9F0647CF-CBD6-46F1-BAC2-8C5CF42DB781}"/>
    <cellStyle name="Normal 4 11" xfId="9824" xr:uid="{76C944AD-C087-4E13-BEF3-B84E9EB25A66}"/>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17839" xr:uid="{36A46730-D225-4ADA-8466-5B10B51681BC}"/>
    <cellStyle name="Normal 4 2 2 10 2 3" xfId="13622" xr:uid="{08290507-E218-4BEF-8ADE-FD4321F70A49}"/>
    <cellStyle name="Normal 4 2 2 10 3" xfId="6368" xr:uid="{00000000-0005-0000-0000-0000ED110000}"/>
    <cellStyle name="Normal 4 2 2 10 3 2" xfId="15694" xr:uid="{1D233378-8B86-421D-AF57-1928957D4ECA}"/>
    <cellStyle name="Normal 4 2 2 10 4" xfId="11477" xr:uid="{C5380315-C909-48BA-8177-1FB53C0396AB}"/>
    <cellStyle name="Normal 4 2 2 11" xfId="2498" xr:uid="{00000000-0005-0000-0000-0000EE110000}"/>
    <cellStyle name="Normal 4 2 2 11 2" xfId="6781" xr:uid="{00000000-0005-0000-0000-0000EF110000}"/>
    <cellStyle name="Normal 4 2 2 11 2 2" xfId="16107" xr:uid="{A92C823A-E874-4097-907C-A190D740B876}"/>
    <cellStyle name="Normal 4 2 2 11 3" xfId="11890" xr:uid="{5FE9C25D-CCB2-4E7E-8CA0-4EE31C2EB731}"/>
    <cellStyle name="Normal 4 2 2 12" xfId="4716" xr:uid="{00000000-0005-0000-0000-0000F0110000}"/>
    <cellStyle name="Normal 4 2 2 12 2" xfId="14042" xr:uid="{C19636C2-36C9-4C65-B297-12B3385B0838}"/>
    <cellStyle name="Normal 4 2 2 13" xfId="8752" xr:uid="{7B61EFAC-4165-4615-9A47-7AF5DAE027C9}"/>
    <cellStyle name="Normal 4 2 2 13 2" xfId="18076" xr:uid="{4E157810-6178-40FB-8B2D-9095C35354B5}"/>
    <cellStyle name="Normal 4 2 2 14" xfId="9825" xr:uid="{C926DCE9-F194-400C-8693-5C67FC7EA4C9}"/>
    <cellStyle name="Normal 4 2 2 2" xfId="338" xr:uid="{00000000-0005-0000-0000-0000F1110000}"/>
    <cellStyle name="Normal 4 2 2 3" xfId="339" xr:uid="{00000000-0005-0000-0000-0000F2110000}"/>
    <cellStyle name="Normal 4 2 2 3 10" xfId="4717" xr:uid="{00000000-0005-0000-0000-0000F3110000}"/>
    <cellStyle name="Normal 4 2 2 3 10 2" xfId="14043" xr:uid="{CB3EF693-7020-438F-B02B-89225EA982E8}"/>
    <cellStyle name="Normal 4 2 2 3 11" xfId="8784" xr:uid="{8AA3A883-811C-4C4A-AFFF-9AAED56BF228}"/>
    <cellStyle name="Normal 4 2 2 3 11 2" xfId="18108" xr:uid="{EA0B7536-3CA3-4AAF-8902-0F404DA3475F}"/>
    <cellStyle name="Normal 4 2 2 3 12" xfId="9826" xr:uid="{5DAA56C5-0B39-499A-92CD-1F6CD8A0F127}"/>
    <cellStyle name="Normal 4 2 2 3 2" xfId="340" xr:uid="{00000000-0005-0000-0000-0000F4110000}"/>
    <cellStyle name="Normal 4 2 2 3 2 10" xfId="8819" xr:uid="{16629302-3759-4242-B07E-BB5D034B10E8}"/>
    <cellStyle name="Normal 4 2 2 3 2 10 2" xfId="18143" xr:uid="{547A3A14-CAD4-4EF8-9581-1A9889955F8D}"/>
    <cellStyle name="Normal 4 2 2 3 2 11" xfId="9827" xr:uid="{4397D01B-BEFC-49B2-B757-17E16D97D627}"/>
    <cellStyle name="Normal 4 2 2 3 2 2" xfId="341" xr:uid="{00000000-0005-0000-0000-0000F5110000}"/>
    <cellStyle name="Normal 4 2 2 3 2 2 10" xfId="9828" xr:uid="{99B5F509-BB57-410E-9670-92793061C0E1}"/>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16604" xr:uid="{9AE82AC2-AB0A-4BD3-ABEF-8D51A7A57731}"/>
    <cellStyle name="Normal 4 2 2 3 2 2 2 2 2 3" xfId="12387" xr:uid="{1DA13E44-4048-4C96-930C-D9BBA4F86397}"/>
    <cellStyle name="Normal 4 2 2 3 2 2 2 2 3" xfId="5133" xr:uid="{00000000-0005-0000-0000-0000FA110000}"/>
    <cellStyle name="Normal 4 2 2 3 2 2 2 2 3 2" xfId="14459" xr:uid="{7221B6BB-9D04-4F1C-9B3C-29BC478444C4}"/>
    <cellStyle name="Normal 4 2 2 3 2 2 2 2 4" xfId="9554" xr:uid="{BAC669EC-8948-4716-90C3-0688F03300CE}"/>
    <cellStyle name="Normal 4 2 2 3 2 2 2 2 4 2" xfId="18869" xr:uid="{A1FAA863-89BE-4A98-A726-04B1D6FBFD59}"/>
    <cellStyle name="Normal 4 2 2 3 2 2 2 2 5" xfId="10242" xr:uid="{11999288-D671-4503-878C-CE29F3104AE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17017" xr:uid="{B1BCDDEF-93DE-4E12-8FC8-3C4753DA36CB}"/>
    <cellStyle name="Normal 4 2 2 3 2 2 2 3 2 3" xfId="12800" xr:uid="{740610EE-0790-4912-BC98-EA7BC79F4FFB}"/>
    <cellStyle name="Normal 4 2 2 3 2 2 2 3 3" xfId="5546" xr:uid="{00000000-0005-0000-0000-0000FE110000}"/>
    <cellStyle name="Normal 4 2 2 3 2 2 2 3 3 2" xfId="14872" xr:uid="{6E09643E-8B39-4B7E-BAFA-E9161328E9E5}"/>
    <cellStyle name="Normal 4 2 2 3 2 2 2 3 4" xfId="10655" xr:uid="{E3894330-6B5D-4EA2-8268-2A8DA903DAA7}"/>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17430" xr:uid="{3B11AF49-E2DC-4B1C-8375-2A8A91C30281}"/>
    <cellStyle name="Normal 4 2 2 3 2 2 2 4 2 3" xfId="13213" xr:uid="{8A88861F-BADA-47A3-84EA-B3D9EB5427D7}"/>
    <cellStyle name="Normal 4 2 2 3 2 2 2 4 3" xfId="5959" xr:uid="{00000000-0005-0000-0000-000002120000}"/>
    <cellStyle name="Normal 4 2 2 3 2 2 2 4 3 2" xfId="15285" xr:uid="{4C435217-68A8-4BBD-8474-F00C2A9480E6}"/>
    <cellStyle name="Normal 4 2 2 3 2 2 2 4 4" xfId="11068" xr:uid="{AB1D9DF9-02DB-4716-8697-0B8402859C37}"/>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17843" xr:uid="{F5DC7726-8865-4DD9-9A6F-225238B4D4AF}"/>
    <cellStyle name="Normal 4 2 2 3 2 2 2 5 2 3" xfId="13626" xr:uid="{76A5E4FE-0563-47FB-ACAF-D37FCBE33DA3}"/>
    <cellStyle name="Normal 4 2 2 3 2 2 2 5 3" xfId="6372" xr:uid="{00000000-0005-0000-0000-000006120000}"/>
    <cellStyle name="Normal 4 2 2 3 2 2 2 5 3 2" xfId="15698" xr:uid="{9DB24812-6AE9-4224-83BE-A7E7919FE569}"/>
    <cellStyle name="Normal 4 2 2 3 2 2 2 5 4" xfId="11481" xr:uid="{D004D3D9-D4D8-451F-93B0-1ED58C03A934}"/>
    <cellStyle name="Normal 4 2 2 3 2 2 2 6" xfId="2502" xr:uid="{00000000-0005-0000-0000-000007120000}"/>
    <cellStyle name="Normal 4 2 2 3 2 2 2 6 2" xfId="6785" xr:uid="{00000000-0005-0000-0000-000008120000}"/>
    <cellStyle name="Normal 4 2 2 3 2 2 2 6 2 2" xfId="16111" xr:uid="{F9268D8C-8CCD-4D9D-877E-557CA4117DD7}"/>
    <cellStyle name="Normal 4 2 2 3 2 2 2 6 3" xfId="11894" xr:uid="{30373E79-9B1D-42E3-9C35-E6FDB82C6B70}"/>
    <cellStyle name="Normal 4 2 2 3 2 2 2 7" xfId="4720" xr:uid="{00000000-0005-0000-0000-000009120000}"/>
    <cellStyle name="Normal 4 2 2 3 2 2 2 7 2" xfId="14046" xr:uid="{1BD0B07A-8DDD-4928-B89F-454F55AA686A}"/>
    <cellStyle name="Normal 4 2 2 3 2 2 2 8" xfId="9129" xr:uid="{970F8072-C8D6-4D17-95D6-EBF431EAD262}"/>
    <cellStyle name="Normal 4 2 2 3 2 2 2 8 2" xfId="18453" xr:uid="{E528807E-A915-4DB0-B1B5-93E276E02953}"/>
    <cellStyle name="Normal 4 2 2 3 2 2 2 9" xfId="9829" xr:uid="{613D4CB0-A20A-44C5-ADA5-998943F53E71}"/>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16603" xr:uid="{6C1CE4AC-85DC-4236-B354-AB1A66061DE4}"/>
    <cellStyle name="Normal 4 2 2 3 2 2 3 2 3" xfId="12386" xr:uid="{ADA96185-12AB-4698-B7FB-838807D91FC8}"/>
    <cellStyle name="Normal 4 2 2 3 2 2 3 3" xfId="5132" xr:uid="{00000000-0005-0000-0000-00000D120000}"/>
    <cellStyle name="Normal 4 2 2 3 2 2 3 3 2" xfId="14458" xr:uid="{5E1CCD7B-5E6C-4415-BD54-FFF3447EB155}"/>
    <cellStyle name="Normal 4 2 2 3 2 2 3 4" xfId="9347" xr:uid="{8C9012CB-19BB-4242-9F43-373358B13B52}"/>
    <cellStyle name="Normal 4 2 2 3 2 2 3 4 2" xfId="18662" xr:uid="{D3803242-0EC3-48A0-B77A-0F87514BCD07}"/>
    <cellStyle name="Normal 4 2 2 3 2 2 3 5" xfId="10241" xr:uid="{EFE6412C-7281-4B0F-89E1-3236066DEEBE}"/>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17016" xr:uid="{DD23DC48-F689-4ABA-BCB7-9D0FF9CF7D9C}"/>
    <cellStyle name="Normal 4 2 2 3 2 2 4 2 3" xfId="12799" xr:uid="{0A24A6EF-65E8-482E-A9EC-8E33BD15DDD1}"/>
    <cellStyle name="Normal 4 2 2 3 2 2 4 3" xfId="5545" xr:uid="{00000000-0005-0000-0000-000011120000}"/>
    <cellStyle name="Normal 4 2 2 3 2 2 4 3 2" xfId="14871" xr:uid="{F4A70E6A-05B0-4A6C-9A89-8244134269C3}"/>
    <cellStyle name="Normal 4 2 2 3 2 2 4 4" xfId="10654" xr:uid="{864DF2EB-DC9D-4C84-A660-8BCD03D8E1C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17429" xr:uid="{87B08FA2-872F-41ED-BF30-BA2918974C58}"/>
    <cellStyle name="Normal 4 2 2 3 2 2 5 2 3" xfId="13212" xr:uid="{6430145D-AC8C-40A0-B881-FB521E01603B}"/>
    <cellStyle name="Normal 4 2 2 3 2 2 5 3" xfId="5958" xr:uid="{00000000-0005-0000-0000-000015120000}"/>
    <cellStyle name="Normal 4 2 2 3 2 2 5 3 2" xfId="15284" xr:uid="{11BC8BAB-8C92-4482-BB26-D62F5EF7D125}"/>
    <cellStyle name="Normal 4 2 2 3 2 2 5 4" xfId="11067" xr:uid="{FC3D0FFE-6D1A-4D12-BDB2-2266518EB741}"/>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17842" xr:uid="{10819268-76B2-4725-BAA7-F92402588282}"/>
    <cellStyle name="Normal 4 2 2 3 2 2 6 2 3" xfId="13625" xr:uid="{CE569103-2A57-44F1-B50A-CD623E79E565}"/>
    <cellStyle name="Normal 4 2 2 3 2 2 6 3" xfId="6371" xr:uid="{00000000-0005-0000-0000-000019120000}"/>
    <cellStyle name="Normal 4 2 2 3 2 2 6 3 2" xfId="15697" xr:uid="{FAB70B78-6804-4C38-AA21-FBF247368BC9}"/>
    <cellStyle name="Normal 4 2 2 3 2 2 6 4" xfId="11480" xr:uid="{D299190D-9B5A-4662-9EF8-E390734AF5EF}"/>
    <cellStyle name="Normal 4 2 2 3 2 2 7" xfId="2501" xr:uid="{00000000-0005-0000-0000-00001A120000}"/>
    <cellStyle name="Normal 4 2 2 3 2 2 7 2" xfId="6784" xr:uid="{00000000-0005-0000-0000-00001B120000}"/>
    <cellStyle name="Normal 4 2 2 3 2 2 7 2 2" xfId="16110" xr:uid="{4947C033-7650-478D-B2DE-0A71C3DDABF8}"/>
    <cellStyle name="Normal 4 2 2 3 2 2 7 3" xfId="11893" xr:uid="{046D5A06-E9FB-4F61-893D-6881ECBDA439}"/>
    <cellStyle name="Normal 4 2 2 3 2 2 8" xfId="4719" xr:uid="{00000000-0005-0000-0000-00001C120000}"/>
    <cellStyle name="Normal 4 2 2 3 2 2 8 2" xfId="14045" xr:uid="{3E4B302D-6F9C-4B81-A257-CCF7B87C89D8}"/>
    <cellStyle name="Normal 4 2 2 3 2 2 9" xfId="8922" xr:uid="{32C9E21B-8C85-4874-B28C-82BF39BA84E2}"/>
    <cellStyle name="Normal 4 2 2 3 2 2 9 2" xfId="18246" xr:uid="{7BCA5A32-C096-4BC4-8D3E-EC2F4CF1B8AF}"/>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16605" xr:uid="{3A787BDD-18BC-40FB-996D-9E9C6064E189}"/>
    <cellStyle name="Normal 4 2 2 3 2 3 2 2 3" xfId="12388" xr:uid="{9E952EB8-970A-497B-AABF-A8314C5DE39D}"/>
    <cellStyle name="Normal 4 2 2 3 2 3 2 3" xfId="5134" xr:uid="{00000000-0005-0000-0000-000021120000}"/>
    <cellStyle name="Normal 4 2 2 3 2 3 2 3 2" xfId="14460" xr:uid="{72D58DA5-4437-4C42-9F67-D882C39AE666}"/>
    <cellStyle name="Normal 4 2 2 3 2 3 2 4" xfId="9451" xr:uid="{85AA9164-95F1-48F2-907A-54AD445D074F}"/>
    <cellStyle name="Normal 4 2 2 3 2 3 2 4 2" xfId="18766" xr:uid="{BD606A3E-E3BB-4F0F-947F-8DCFAE08BEC5}"/>
    <cellStyle name="Normal 4 2 2 3 2 3 2 5" xfId="10243" xr:uid="{D59F4EF9-A117-49CF-95B9-D41107A3D182}"/>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17018" xr:uid="{F9685A68-9B02-428E-8FDD-AC52A6C1F91B}"/>
    <cellStyle name="Normal 4 2 2 3 2 3 3 2 3" xfId="12801" xr:uid="{9E986865-B4A4-47F2-83C5-9090E6D9C4C5}"/>
    <cellStyle name="Normal 4 2 2 3 2 3 3 3" xfId="5547" xr:uid="{00000000-0005-0000-0000-000025120000}"/>
    <cellStyle name="Normal 4 2 2 3 2 3 3 3 2" xfId="14873" xr:uid="{8D9C13B1-D9F2-4632-AB87-958793E25EA9}"/>
    <cellStyle name="Normal 4 2 2 3 2 3 3 4" xfId="10656" xr:uid="{85E49098-DF2C-4C96-8EDD-D7D3F2B5A001}"/>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17431" xr:uid="{9BB98C44-C46A-43A8-8CFB-0D19C7244E66}"/>
    <cellStyle name="Normal 4 2 2 3 2 3 4 2 3" xfId="13214" xr:uid="{AA4B2F46-2A43-4708-80DF-180D23D5CC3C}"/>
    <cellStyle name="Normal 4 2 2 3 2 3 4 3" xfId="5960" xr:uid="{00000000-0005-0000-0000-000029120000}"/>
    <cellStyle name="Normal 4 2 2 3 2 3 4 3 2" xfId="15286" xr:uid="{E329BE6B-37A9-48CD-A4D9-F5A6A2245695}"/>
    <cellStyle name="Normal 4 2 2 3 2 3 4 4" xfId="11069" xr:uid="{2E5A9F78-5132-49D8-89D6-27387FE2A13B}"/>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17844" xr:uid="{F19ABFB4-AAA2-41F5-BA99-4BFC4F354873}"/>
    <cellStyle name="Normal 4 2 2 3 2 3 5 2 3" xfId="13627" xr:uid="{0A2D7958-1AAE-413B-9FCF-0B12E59E02B4}"/>
    <cellStyle name="Normal 4 2 2 3 2 3 5 3" xfId="6373" xr:uid="{00000000-0005-0000-0000-00002D120000}"/>
    <cellStyle name="Normal 4 2 2 3 2 3 5 3 2" xfId="15699" xr:uid="{69207331-504F-40C8-B7F4-5702D29C3125}"/>
    <cellStyle name="Normal 4 2 2 3 2 3 5 4" xfId="11482" xr:uid="{9D392212-EF21-485A-ABFE-0A9E8133DADD}"/>
    <cellStyle name="Normal 4 2 2 3 2 3 6" xfId="2503" xr:uid="{00000000-0005-0000-0000-00002E120000}"/>
    <cellStyle name="Normal 4 2 2 3 2 3 6 2" xfId="6786" xr:uid="{00000000-0005-0000-0000-00002F120000}"/>
    <cellStyle name="Normal 4 2 2 3 2 3 6 2 2" xfId="16112" xr:uid="{3D7E1981-AD7C-4FAF-996F-54122E32102F}"/>
    <cellStyle name="Normal 4 2 2 3 2 3 6 3" xfId="11895" xr:uid="{225DCD7B-FEC3-42BA-AFD4-42AFAB38B9AA}"/>
    <cellStyle name="Normal 4 2 2 3 2 3 7" xfId="4721" xr:uid="{00000000-0005-0000-0000-000030120000}"/>
    <cellStyle name="Normal 4 2 2 3 2 3 7 2" xfId="14047" xr:uid="{B0B672C6-97B5-4EAD-BF31-CC010371650A}"/>
    <cellStyle name="Normal 4 2 2 3 2 3 8" xfId="9026" xr:uid="{319D63D3-F71C-4F99-9FD1-E3D0665567E8}"/>
    <cellStyle name="Normal 4 2 2 3 2 3 8 2" xfId="18350" xr:uid="{7050A5C2-BE47-4794-9108-33BCF7F5750A}"/>
    <cellStyle name="Normal 4 2 2 3 2 3 9" xfId="9830" xr:uid="{AC667D13-D392-47A1-A728-E8B8B637CE36}"/>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16602" xr:uid="{DF909287-C1EB-4AA5-9411-29EF50D49C83}"/>
    <cellStyle name="Normal 4 2 2 3 2 4 2 3" xfId="12385" xr:uid="{178A9F88-904E-41C8-8204-23C512233423}"/>
    <cellStyle name="Normal 4 2 2 3 2 4 3" xfId="5131" xr:uid="{00000000-0005-0000-0000-000034120000}"/>
    <cellStyle name="Normal 4 2 2 3 2 4 3 2" xfId="14457" xr:uid="{7440F244-0116-423E-AC37-173E46CA3D6D}"/>
    <cellStyle name="Normal 4 2 2 3 2 4 4" xfId="9244" xr:uid="{98623F27-324A-40DE-AA2B-56E1FCE087EE}"/>
    <cellStyle name="Normal 4 2 2 3 2 4 4 2" xfId="18559" xr:uid="{D4779185-F960-4850-8173-51999570E8B5}"/>
    <cellStyle name="Normal 4 2 2 3 2 4 5" xfId="10240" xr:uid="{7F573D7A-C6F8-493E-9B1E-9494CA8B0525}"/>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17015" xr:uid="{7884ADCD-BA84-4D1B-9C6E-84251CD1FE4A}"/>
    <cellStyle name="Normal 4 2 2 3 2 5 2 3" xfId="12798" xr:uid="{F3EA0266-1113-4C18-A7C7-0338E7029B58}"/>
    <cellStyle name="Normal 4 2 2 3 2 5 3" xfId="5544" xr:uid="{00000000-0005-0000-0000-000038120000}"/>
    <cellStyle name="Normal 4 2 2 3 2 5 3 2" xfId="14870" xr:uid="{3DD37281-3F66-4DF2-B058-C24AA8E6E502}"/>
    <cellStyle name="Normal 4 2 2 3 2 5 4" xfId="10653" xr:uid="{62E76CC6-04B1-499F-AC26-5EEF05118293}"/>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17428" xr:uid="{8C42ADD6-93BD-49A4-BFCD-C7DE3F769728}"/>
    <cellStyle name="Normal 4 2 2 3 2 6 2 3" xfId="13211" xr:uid="{4E2F2CA2-F8C7-48E6-99CB-2EF84CFF217F}"/>
    <cellStyle name="Normal 4 2 2 3 2 6 3" xfId="5957" xr:uid="{00000000-0005-0000-0000-00003C120000}"/>
    <cellStyle name="Normal 4 2 2 3 2 6 3 2" xfId="15283" xr:uid="{2ED8E4D0-AE8C-431C-BEF3-ACD0BF10170D}"/>
    <cellStyle name="Normal 4 2 2 3 2 6 4" xfId="11066" xr:uid="{5B86A73B-C3EA-4B86-8CBD-8A57D3CBA3B3}"/>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17841" xr:uid="{325CDF00-D343-4A25-B7C4-3AE0B3F49855}"/>
    <cellStyle name="Normal 4 2 2 3 2 7 2 3" xfId="13624" xr:uid="{F5519C45-B2C3-4636-9E74-419A11C6B4D7}"/>
    <cellStyle name="Normal 4 2 2 3 2 7 3" xfId="6370" xr:uid="{00000000-0005-0000-0000-000040120000}"/>
    <cellStyle name="Normal 4 2 2 3 2 7 3 2" xfId="15696" xr:uid="{CE0B9E25-71CE-4741-8790-B0E6F90B35CE}"/>
    <cellStyle name="Normal 4 2 2 3 2 7 4" xfId="11479" xr:uid="{FFF25ECF-196D-4C55-BC44-DCC3352783E3}"/>
    <cellStyle name="Normal 4 2 2 3 2 8" xfId="2500" xr:uid="{00000000-0005-0000-0000-000041120000}"/>
    <cellStyle name="Normal 4 2 2 3 2 8 2" xfId="6783" xr:uid="{00000000-0005-0000-0000-000042120000}"/>
    <cellStyle name="Normal 4 2 2 3 2 8 2 2" xfId="16109" xr:uid="{8BAA65DD-7EF1-44E4-85A3-6DA195087550}"/>
    <cellStyle name="Normal 4 2 2 3 2 8 3" xfId="11892" xr:uid="{DD96213F-1BBA-45D4-82F5-B068ED47BB06}"/>
    <cellStyle name="Normal 4 2 2 3 2 9" xfId="4718" xr:uid="{00000000-0005-0000-0000-000043120000}"/>
    <cellStyle name="Normal 4 2 2 3 2 9 2" xfId="14044" xr:uid="{E699219C-51DE-40F6-AE22-E6D127802D85}"/>
    <cellStyle name="Normal 4 2 2 3 3" xfId="344" xr:uid="{00000000-0005-0000-0000-000044120000}"/>
    <cellStyle name="Normal 4 2 2 3 3 10" xfId="9831" xr:uid="{D42A3185-1AB7-42A7-97F5-5B1EC7E13187}"/>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16607" xr:uid="{73091807-F07D-4B96-8587-B6C78491BC43}"/>
    <cellStyle name="Normal 4 2 2 3 3 2 2 2 3" xfId="12390" xr:uid="{908F15A9-BAD6-4AA2-9621-D24786062311}"/>
    <cellStyle name="Normal 4 2 2 3 3 2 2 3" xfId="5136" xr:uid="{00000000-0005-0000-0000-000049120000}"/>
    <cellStyle name="Normal 4 2 2 3 3 2 2 3 2" xfId="14462" xr:uid="{D5255E25-BE85-46A4-9476-7D5CA931BA55}"/>
    <cellStyle name="Normal 4 2 2 3 3 2 2 4" xfId="9519" xr:uid="{FB4BBD6E-D73B-4ABD-8656-6C15D7932E02}"/>
    <cellStyle name="Normal 4 2 2 3 3 2 2 4 2" xfId="18834" xr:uid="{02C7F23A-67CA-4314-8F18-FFBD3C8E0629}"/>
    <cellStyle name="Normal 4 2 2 3 3 2 2 5" xfId="10245" xr:uid="{0FA3E3A8-2F6F-49B4-860D-CA4C4059D199}"/>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17020" xr:uid="{55C39CA1-AC83-40B1-AA41-C46882B19609}"/>
    <cellStyle name="Normal 4 2 2 3 3 2 3 2 3" xfId="12803" xr:uid="{AC70CAA4-6530-4869-9926-0304389ED0DB}"/>
    <cellStyle name="Normal 4 2 2 3 3 2 3 3" xfId="5549" xr:uid="{00000000-0005-0000-0000-00004D120000}"/>
    <cellStyle name="Normal 4 2 2 3 3 2 3 3 2" xfId="14875" xr:uid="{68F57998-677F-42C4-A49A-A46F241BF261}"/>
    <cellStyle name="Normal 4 2 2 3 3 2 3 4" xfId="10658" xr:uid="{5F1896DA-A888-462A-A575-08A1D2D32DD1}"/>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17433" xr:uid="{3A2B81B6-DEE5-4125-B2A4-18411D8B9D25}"/>
    <cellStyle name="Normal 4 2 2 3 3 2 4 2 3" xfId="13216" xr:uid="{D91CAB51-262F-4586-8889-2299E914E770}"/>
    <cellStyle name="Normal 4 2 2 3 3 2 4 3" xfId="5962" xr:uid="{00000000-0005-0000-0000-000051120000}"/>
    <cellStyle name="Normal 4 2 2 3 3 2 4 3 2" xfId="15288" xr:uid="{99EF085E-C8CF-4A07-B8C8-5EB45BCF22F3}"/>
    <cellStyle name="Normal 4 2 2 3 3 2 4 4" xfId="11071" xr:uid="{DCCBC792-D364-4B1F-815A-D278A965116A}"/>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17846" xr:uid="{001DBD1C-E4D2-4D6A-A1E1-F8E3CCE16ADF}"/>
    <cellStyle name="Normal 4 2 2 3 3 2 5 2 3" xfId="13629" xr:uid="{5EF8C139-7EF7-4A25-BEC4-8754F1F074AF}"/>
    <cellStyle name="Normal 4 2 2 3 3 2 5 3" xfId="6375" xr:uid="{00000000-0005-0000-0000-000055120000}"/>
    <cellStyle name="Normal 4 2 2 3 3 2 5 3 2" xfId="15701" xr:uid="{83B0E575-DA40-42A4-BD4F-A5F8FF8DD491}"/>
    <cellStyle name="Normal 4 2 2 3 3 2 5 4" xfId="11484" xr:uid="{7F966663-CDBA-4A6F-A5DE-A97E32C23B13}"/>
    <cellStyle name="Normal 4 2 2 3 3 2 6" xfId="2505" xr:uid="{00000000-0005-0000-0000-000056120000}"/>
    <cellStyle name="Normal 4 2 2 3 3 2 6 2" xfId="6788" xr:uid="{00000000-0005-0000-0000-000057120000}"/>
    <cellStyle name="Normal 4 2 2 3 3 2 6 2 2" xfId="16114" xr:uid="{B9D3967F-8CD9-4474-8B6C-2AFC544B38DB}"/>
    <cellStyle name="Normal 4 2 2 3 3 2 6 3" xfId="11897" xr:uid="{145676EE-E75B-4B29-B67A-2B97452D4CE0}"/>
    <cellStyle name="Normal 4 2 2 3 3 2 7" xfId="4723" xr:uid="{00000000-0005-0000-0000-000058120000}"/>
    <cellStyle name="Normal 4 2 2 3 3 2 7 2" xfId="14049" xr:uid="{C49ADBFA-6C57-434B-82A2-D26B65599F6E}"/>
    <cellStyle name="Normal 4 2 2 3 3 2 8" xfId="9094" xr:uid="{1333D468-E252-4686-88C1-38A56B910A8E}"/>
    <cellStyle name="Normal 4 2 2 3 3 2 8 2" xfId="18418" xr:uid="{872BF368-8DCA-427A-8457-2730C0ED03CD}"/>
    <cellStyle name="Normal 4 2 2 3 3 2 9" xfId="9832" xr:uid="{51E1A8ED-CEA2-4D29-A267-FE4019375D2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16606" xr:uid="{7EE2CB5F-A5B8-472B-AA1A-8E48EBA24792}"/>
    <cellStyle name="Normal 4 2 2 3 3 3 2 3" xfId="12389" xr:uid="{971C824B-33EB-4756-ADF7-8F1A0CBF1CFE}"/>
    <cellStyle name="Normal 4 2 2 3 3 3 3" xfId="5135" xr:uid="{00000000-0005-0000-0000-00005C120000}"/>
    <cellStyle name="Normal 4 2 2 3 3 3 3 2" xfId="14461" xr:uid="{5D8B4C65-A6E5-4260-8772-C351B7DB36A6}"/>
    <cellStyle name="Normal 4 2 2 3 3 3 4" xfId="9312" xr:uid="{0065946C-778C-4913-8F8B-68BBB1A30769}"/>
    <cellStyle name="Normal 4 2 2 3 3 3 4 2" xfId="18627" xr:uid="{97CD05E8-83F4-4EAC-B02D-29EF473A0CEE}"/>
    <cellStyle name="Normal 4 2 2 3 3 3 5" xfId="10244" xr:uid="{78523241-9FED-4815-9A96-A5B4E6B8ADBF}"/>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17019" xr:uid="{9B177E2F-3813-4027-9490-CE45AFAC0DEF}"/>
    <cellStyle name="Normal 4 2 2 3 3 4 2 3" xfId="12802" xr:uid="{F2349E92-F3AF-40EF-AA11-34ABA0B0050F}"/>
    <cellStyle name="Normal 4 2 2 3 3 4 3" xfId="5548" xr:uid="{00000000-0005-0000-0000-000060120000}"/>
    <cellStyle name="Normal 4 2 2 3 3 4 3 2" xfId="14874" xr:uid="{48F28BC1-3045-45F2-BE87-6A7FB302543D}"/>
    <cellStyle name="Normal 4 2 2 3 3 4 4" xfId="10657" xr:uid="{7A05303D-82E1-4A02-8A08-8C7E16BFBC35}"/>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17432" xr:uid="{094FEA43-CDEB-4635-B769-0666769F161E}"/>
    <cellStyle name="Normal 4 2 2 3 3 5 2 3" xfId="13215" xr:uid="{FE1975AE-324C-4182-9917-F5FA7BAED270}"/>
    <cellStyle name="Normal 4 2 2 3 3 5 3" xfId="5961" xr:uid="{00000000-0005-0000-0000-000064120000}"/>
    <cellStyle name="Normal 4 2 2 3 3 5 3 2" xfId="15287" xr:uid="{6F35DFDA-E3BF-450C-BE20-96CC789FC841}"/>
    <cellStyle name="Normal 4 2 2 3 3 5 4" xfId="11070" xr:uid="{74A49805-8F56-45EB-B977-E8121134CA46}"/>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17845" xr:uid="{08C0522E-1953-448B-B920-082213E2A04E}"/>
    <cellStyle name="Normal 4 2 2 3 3 6 2 3" xfId="13628" xr:uid="{5835DEBC-1F6E-4268-B29C-6E09CFD73EC9}"/>
    <cellStyle name="Normal 4 2 2 3 3 6 3" xfId="6374" xr:uid="{00000000-0005-0000-0000-000068120000}"/>
    <cellStyle name="Normal 4 2 2 3 3 6 3 2" xfId="15700" xr:uid="{916AD483-AD17-4FE4-9620-88EC489191D5}"/>
    <cellStyle name="Normal 4 2 2 3 3 6 4" xfId="11483" xr:uid="{15426666-3CA3-492A-8424-DFE449FAD2FF}"/>
    <cellStyle name="Normal 4 2 2 3 3 7" xfId="2504" xr:uid="{00000000-0005-0000-0000-000069120000}"/>
    <cellStyle name="Normal 4 2 2 3 3 7 2" xfId="6787" xr:uid="{00000000-0005-0000-0000-00006A120000}"/>
    <cellStyle name="Normal 4 2 2 3 3 7 2 2" xfId="16113" xr:uid="{A55F6E4A-43EC-427C-8C68-3C5B415862B1}"/>
    <cellStyle name="Normal 4 2 2 3 3 7 3" xfId="11896" xr:uid="{58316CAB-D416-471D-AC2E-FB192201472F}"/>
    <cellStyle name="Normal 4 2 2 3 3 8" xfId="4722" xr:uid="{00000000-0005-0000-0000-00006B120000}"/>
    <cellStyle name="Normal 4 2 2 3 3 8 2" xfId="14048" xr:uid="{7A0E7988-1E20-4B22-B767-180D95DC30B6}"/>
    <cellStyle name="Normal 4 2 2 3 3 9" xfId="8887" xr:uid="{FD79599D-FD4F-44F4-A7A6-B948A2C15DD2}"/>
    <cellStyle name="Normal 4 2 2 3 3 9 2" xfId="18211" xr:uid="{AED9D69C-18E9-4FE8-94CB-F512F3C206F3}"/>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16608" xr:uid="{3A1D73FE-48DD-4123-9BC8-CACC53265EB6}"/>
    <cellStyle name="Normal 4 2 2 3 4 2 2 3" xfId="12391" xr:uid="{C528FDFE-B8D9-4CDF-BD95-AD1AB1504548}"/>
    <cellStyle name="Normal 4 2 2 3 4 2 3" xfId="5137" xr:uid="{00000000-0005-0000-0000-000070120000}"/>
    <cellStyle name="Normal 4 2 2 3 4 2 3 2" xfId="14463" xr:uid="{4D5951DD-93FA-4D76-92A9-16E1FD372895}"/>
    <cellStyle name="Normal 4 2 2 3 4 2 4" xfId="9416" xr:uid="{B0F1A5CD-0EDE-48A7-9669-6902681F696C}"/>
    <cellStyle name="Normal 4 2 2 3 4 2 4 2" xfId="18731" xr:uid="{85F31332-3F8B-4FD9-98F2-490F8C8047C9}"/>
    <cellStyle name="Normal 4 2 2 3 4 2 5" xfId="10246" xr:uid="{626C99DB-DD3A-41BC-A5B5-DFE88C0211F3}"/>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17021" xr:uid="{1ECE767C-96CC-447E-8D24-B0CF28DD3DD3}"/>
    <cellStyle name="Normal 4 2 2 3 4 3 2 3" xfId="12804" xr:uid="{EFE3F5B6-FE63-464E-B23D-474ABDB2E502}"/>
    <cellStyle name="Normal 4 2 2 3 4 3 3" xfId="5550" xr:uid="{00000000-0005-0000-0000-000074120000}"/>
    <cellStyle name="Normal 4 2 2 3 4 3 3 2" xfId="14876" xr:uid="{D202A572-1B4E-4678-B046-62EB9231BA5F}"/>
    <cellStyle name="Normal 4 2 2 3 4 3 4" xfId="10659" xr:uid="{A7562132-EA54-40E4-BF73-4F2EA4CA1534}"/>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17434" xr:uid="{D35877AB-6515-44B8-BDD3-6F62FCE58157}"/>
    <cellStyle name="Normal 4 2 2 3 4 4 2 3" xfId="13217" xr:uid="{5707F7E4-C8C8-4CDF-9BB2-E2D5E6F03273}"/>
    <cellStyle name="Normal 4 2 2 3 4 4 3" xfId="5963" xr:uid="{00000000-0005-0000-0000-000078120000}"/>
    <cellStyle name="Normal 4 2 2 3 4 4 3 2" xfId="15289" xr:uid="{BC9AA2F9-BF09-4EEC-9661-7A4DCF818487}"/>
    <cellStyle name="Normal 4 2 2 3 4 4 4" xfId="11072" xr:uid="{E4F98C7D-6730-4949-942F-1A7152AE535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17847" xr:uid="{D8D57F3A-F6D5-45BA-AE29-431AE5E463F0}"/>
    <cellStyle name="Normal 4 2 2 3 4 5 2 3" xfId="13630" xr:uid="{702EF30C-897D-459C-BF52-E0746D0A1FF7}"/>
    <cellStyle name="Normal 4 2 2 3 4 5 3" xfId="6376" xr:uid="{00000000-0005-0000-0000-00007C120000}"/>
    <cellStyle name="Normal 4 2 2 3 4 5 3 2" xfId="15702" xr:uid="{C23D0074-4A92-4E9B-8088-B14660FF4856}"/>
    <cellStyle name="Normal 4 2 2 3 4 5 4" xfId="11485" xr:uid="{D11F75F9-96C8-496E-A432-E30B1FCBC350}"/>
    <cellStyle name="Normal 4 2 2 3 4 6" xfId="2506" xr:uid="{00000000-0005-0000-0000-00007D120000}"/>
    <cellStyle name="Normal 4 2 2 3 4 6 2" xfId="6789" xr:uid="{00000000-0005-0000-0000-00007E120000}"/>
    <cellStyle name="Normal 4 2 2 3 4 6 2 2" xfId="16115" xr:uid="{B927CE52-91C5-4932-9DDB-787B8246D502}"/>
    <cellStyle name="Normal 4 2 2 3 4 6 3" xfId="11898" xr:uid="{AF047632-5A14-4980-B707-034C63EA8E21}"/>
    <cellStyle name="Normal 4 2 2 3 4 7" xfId="4724" xr:uid="{00000000-0005-0000-0000-00007F120000}"/>
    <cellStyle name="Normal 4 2 2 3 4 7 2" xfId="14050" xr:uid="{3CAF9CF4-6D59-4D5F-8586-3B01D3B0A808}"/>
    <cellStyle name="Normal 4 2 2 3 4 8" xfId="8991" xr:uid="{84464EC3-90C2-4B18-8399-135C935528F7}"/>
    <cellStyle name="Normal 4 2 2 3 4 8 2" xfId="18315" xr:uid="{7F021BA6-A25B-4FCC-A772-0B6E5353ADBD}"/>
    <cellStyle name="Normal 4 2 2 3 4 9" xfId="9833" xr:uid="{52272A35-248F-427F-A106-05AE51577AE7}"/>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16601" xr:uid="{215BD337-8A19-4A50-80B7-427148599D69}"/>
    <cellStyle name="Normal 4 2 2 3 5 2 3" xfId="12384" xr:uid="{14CE8AD1-B672-48BE-B78F-893F93A39F0E}"/>
    <cellStyle name="Normal 4 2 2 3 5 3" xfId="5130" xr:uid="{00000000-0005-0000-0000-000083120000}"/>
    <cellStyle name="Normal 4 2 2 3 5 3 2" xfId="14456" xr:uid="{D121593B-CB55-4C13-95AE-0996927624BA}"/>
    <cellStyle name="Normal 4 2 2 3 5 4" xfId="9208" xr:uid="{7BF9CD11-B90D-42F2-928D-A8BE344C6F46}"/>
    <cellStyle name="Normal 4 2 2 3 5 4 2" xfId="18524" xr:uid="{A9769CD5-C584-40A2-9230-D9FA72E8630A}"/>
    <cellStyle name="Normal 4 2 2 3 5 5" xfId="10239" xr:uid="{D7F1B401-3D73-43A0-B908-7258ADF9446F}"/>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17014" xr:uid="{75502527-A318-4C16-8A68-69222ADA6A32}"/>
    <cellStyle name="Normal 4 2 2 3 6 2 3" xfId="12797" xr:uid="{253D09DE-EA32-4C44-AEF9-30E14742EC10}"/>
    <cellStyle name="Normal 4 2 2 3 6 3" xfId="5543" xr:uid="{00000000-0005-0000-0000-000087120000}"/>
    <cellStyle name="Normal 4 2 2 3 6 3 2" xfId="14869" xr:uid="{68DADBC7-578A-45D2-A1E3-2A7B3A2051F9}"/>
    <cellStyle name="Normal 4 2 2 3 6 4" xfId="10652" xr:uid="{308DCA9B-E3A0-49CC-9588-81EDB5B9BBEA}"/>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17427" xr:uid="{B500642B-0BFE-4442-AAA2-476746130DFA}"/>
    <cellStyle name="Normal 4 2 2 3 7 2 3" xfId="13210" xr:uid="{4F7F947E-769F-4EA9-A091-EB405FFE0A7F}"/>
    <cellStyle name="Normal 4 2 2 3 7 3" xfId="5956" xr:uid="{00000000-0005-0000-0000-00008B120000}"/>
    <cellStyle name="Normal 4 2 2 3 7 3 2" xfId="15282" xr:uid="{DCBAE4F2-A7D0-409E-A72A-E31FA63A3777}"/>
    <cellStyle name="Normal 4 2 2 3 7 4" xfId="11065" xr:uid="{3AC6A342-C848-497A-BB17-ABDAFF88CB1D}"/>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17840" xr:uid="{03E456E6-9D44-4BAD-B10D-56177D5F2DBE}"/>
    <cellStyle name="Normal 4 2 2 3 8 2 3" xfId="13623" xr:uid="{7F76D080-C883-4E97-BA53-6877F44D2B80}"/>
    <cellStyle name="Normal 4 2 2 3 8 3" xfId="6369" xr:uid="{00000000-0005-0000-0000-00008F120000}"/>
    <cellStyle name="Normal 4 2 2 3 8 3 2" xfId="15695" xr:uid="{BF6BD9CB-BCD8-4BD0-B2DF-39F5A5AC1B8E}"/>
    <cellStyle name="Normal 4 2 2 3 8 4" xfId="11478" xr:uid="{898B6CEF-3694-4A66-BF61-F9E081D5EB20}"/>
    <cellStyle name="Normal 4 2 2 3 9" xfId="2499" xr:uid="{00000000-0005-0000-0000-000090120000}"/>
    <cellStyle name="Normal 4 2 2 3 9 2" xfId="6782" xr:uid="{00000000-0005-0000-0000-000091120000}"/>
    <cellStyle name="Normal 4 2 2 3 9 2 2" xfId="16108" xr:uid="{9627AEED-D1AB-4F8C-8B0A-B1635B445776}"/>
    <cellStyle name="Normal 4 2 2 3 9 3" xfId="11891" xr:uid="{A38C35ED-A6F3-4376-A457-6635E0F624D0}"/>
    <cellStyle name="Normal 4 2 2 4" xfId="347" xr:uid="{00000000-0005-0000-0000-000092120000}"/>
    <cellStyle name="Normal 4 2 2 4 10" xfId="8818" xr:uid="{A73977A7-52C6-4368-9F59-166E1B99BBDE}"/>
    <cellStyle name="Normal 4 2 2 4 10 2" xfId="18142" xr:uid="{00C195FF-D9C9-48A5-8C06-8C03BBF0263C}"/>
    <cellStyle name="Normal 4 2 2 4 11" xfId="9834" xr:uid="{1DFBB0D2-EBFF-45BE-A1EE-6C56260F5DF4}"/>
    <cellStyle name="Normal 4 2 2 4 2" xfId="348" xr:uid="{00000000-0005-0000-0000-000093120000}"/>
    <cellStyle name="Normal 4 2 2 4 2 10" xfId="9835" xr:uid="{270C7E4B-4E32-42AC-9AC8-AA617A9678BF}"/>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16611" xr:uid="{BF2D7CD7-E958-4A7A-8B98-08476C6A3C8B}"/>
    <cellStyle name="Normal 4 2 2 4 2 2 2 2 3" xfId="12394" xr:uid="{FD4DCA70-7179-4831-8654-727F4640462B}"/>
    <cellStyle name="Normal 4 2 2 4 2 2 2 3" xfId="5140" xr:uid="{00000000-0005-0000-0000-000098120000}"/>
    <cellStyle name="Normal 4 2 2 4 2 2 2 3 2" xfId="14466" xr:uid="{60CADCAC-96D4-4B20-A60D-4FE6A81159C2}"/>
    <cellStyle name="Normal 4 2 2 4 2 2 2 4" xfId="9553" xr:uid="{7FCAF883-2374-4470-BA95-AD8EB054639C}"/>
    <cellStyle name="Normal 4 2 2 4 2 2 2 4 2" xfId="18868" xr:uid="{92227509-07A7-45C1-ADBE-5D67659C5A22}"/>
    <cellStyle name="Normal 4 2 2 4 2 2 2 5" xfId="10249" xr:uid="{1D6F3072-53F5-4A53-8607-999C00C9944D}"/>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17024" xr:uid="{153F2945-56F2-4B73-9D48-1F2D48D32CD3}"/>
    <cellStyle name="Normal 4 2 2 4 2 2 3 2 3" xfId="12807" xr:uid="{2048A91D-0596-4D19-835B-6F02D7B3CA3B}"/>
    <cellStyle name="Normal 4 2 2 4 2 2 3 3" xfId="5553" xr:uid="{00000000-0005-0000-0000-00009C120000}"/>
    <cellStyle name="Normal 4 2 2 4 2 2 3 3 2" xfId="14879" xr:uid="{E67C3996-98A2-4B17-8CD0-35B847F84109}"/>
    <cellStyle name="Normal 4 2 2 4 2 2 3 4" xfId="10662" xr:uid="{695BD47C-B9B1-4C57-9C73-EFFB8422225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17437" xr:uid="{920010F5-F3D2-47F4-B347-63FCF6948637}"/>
    <cellStyle name="Normal 4 2 2 4 2 2 4 2 3" xfId="13220" xr:uid="{7014A0E5-C5F4-4B08-8A97-A14C641CE0F8}"/>
    <cellStyle name="Normal 4 2 2 4 2 2 4 3" xfId="5966" xr:uid="{00000000-0005-0000-0000-0000A0120000}"/>
    <cellStyle name="Normal 4 2 2 4 2 2 4 3 2" xfId="15292" xr:uid="{3DC91841-269C-400F-852F-E8A6A9C7D8CF}"/>
    <cellStyle name="Normal 4 2 2 4 2 2 4 4" xfId="11075" xr:uid="{B982E183-D189-484E-A542-4501B08C7B11}"/>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17850" xr:uid="{AF091140-50CA-4942-91B0-CCF3E5B1AADD}"/>
    <cellStyle name="Normal 4 2 2 4 2 2 5 2 3" xfId="13633" xr:uid="{7B18D0DE-5294-49AA-A0F9-16BF332C76C2}"/>
    <cellStyle name="Normal 4 2 2 4 2 2 5 3" xfId="6379" xr:uid="{00000000-0005-0000-0000-0000A4120000}"/>
    <cellStyle name="Normal 4 2 2 4 2 2 5 3 2" xfId="15705" xr:uid="{85217F3D-3A90-4DC8-94E3-2A50BFED23A9}"/>
    <cellStyle name="Normal 4 2 2 4 2 2 5 4" xfId="11488" xr:uid="{9E21404F-23C7-4259-920F-DEE0E540A3CF}"/>
    <cellStyle name="Normal 4 2 2 4 2 2 6" xfId="2509" xr:uid="{00000000-0005-0000-0000-0000A5120000}"/>
    <cellStyle name="Normal 4 2 2 4 2 2 6 2" xfId="6792" xr:uid="{00000000-0005-0000-0000-0000A6120000}"/>
    <cellStyle name="Normal 4 2 2 4 2 2 6 2 2" xfId="16118" xr:uid="{FE489A7D-8D37-4698-ADD8-190CF9C32AAA}"/>
    <cellStyle name="Normal 4 2 2 4 2 2 6 3" xfId="11901" xr:uid="{64BFECF4-4099-4A3F-B4C9-B0FB43B9C8F7}"/>
    <cellStyle name="Normal 4 2 2 4 2 2 7" xfId="4727" xr:uid="{00000000-0005-0000-0000-0000A7120000}"/>
    <cellStyle name="Normal 4 2 2 4 2 2 7 2" xfId="14053" xr:uid="{09E2BC2F-78A7-417C-81BD-C90C82C6210A}"/>
    <cellStyle name="Normal 4 2 2 4 2 2 8" xfId="9128" xr:uid="{3D9AD2A4-E3D1-4BAF-8F43-BFB1FE8E222D}"/>
    <cellStyle name="Normal 4 2 2 4 2 2 8 2" xfId="18452" xr:uid="{B509F292-6E5F-4BCF-B610-AEBF78E63BCA}"/>
    <cellStyle name="Normal 4 2 2 4 2 2 9" xfId="9836" xr:uid="{9F4087FD-F061-4CD6-932A-BFCC93A5C1A1}"/>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16610" xr:uid="{736BA933-349D-4761-BF02-244E17AAB50C}"/>
    <cellStyle name="Normal 4 2 2 4 2 3 2 3" xfId="12393" xr:uid="{29F40B72-1A54-4940-A6E1-5EC895C9F637}"/>
    <cellStyle name="Normal 4 2 2 4 2 3 3" xfId="5139" xr:uid="{00000000-0005-0000-0000-0000AB120000}"/>
    <cellStyle name="Normal 4 2 2 4 2 3 3 2" xfId="14465" xr:uid="{1706DECF-8FAA-496C-8207-C436645E4EF9}"/>
    <cellStyle name="Normal 4 2 2 4 2 3 4" xfId="9346" xr:uid="{11110DEC-01F5-467C-B0F9-3286FF7E57CB}"/>
    <cellStyle name="Normal 4 2 2 4 2 3 4 2" xfId="18661" xr:uid="{A7B5CE8D-5CDC-4834-8CAB-9ACB6E1537D9}"/>
    <cellStyle name="Normal 4 2 2 4 2 3 5" xfId="10248" xr:uid="{B979EAD1-FC97-41C6-A927-6BBD33EC5E98}"/>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17023" xr:uid="{C21A7090-317C-4940-ADDD-5D53AB056F36}"/>
    <cellStyle name="Normal 4 2 2 4 2 4 2 3" xfId="12806" xr:uid="{7DC1F519-D96B-4BAF-996E-83A046E6BAB5}"/>
    <cellStyle name="Normal 4 2 2 4 2 4 3" xfId="5552" xr:uid="{00000000-0005-0000-0000-0000AF120000}"/>
    <cellStyle name="Normal 4 2 2 4 2 4 3 2" xfId="14878" xr:uid="{F576833D-C1D5-47AA-B1A9-EC4961D61071}"/>
    <cellStyle name="Normal 4 2 2 4 2 4 4" xfId="10661" xr:uid="{363061C1-A8E3-4FE1-9F4D-73BE229ECDBD}"/>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17436" xr:uid="{5C3FF4EE-3D51-4095-BE2B-9E4311BF4480}"/>
    <cellStyle name="Normal 4 2 2 4 2 5 2 3" xfId="13219" xr:uid="{D2920F1D-852A-4D85-ADF1-C619643BE781}"/>
    <cellStyle name="Normal 4 2 2 4 2 5 3" xfId="5965" xr:uid="{00000000-0005-0000-0000-0000B3120000}"/>
    <cellStyle name="Normal 4 2 2 4 2 5 3 2" xfId="15291" xr:uid="{532847CB-7359-45E0-A2E2-B98984C73507}"/>
    <cellStyle name="Normal 4 2 2 4 2 5 4" xfId="11074" xr:uid="{E7E2C721-B587-42FB-B7FB-9D75A7A97542}"/>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17849" xr:uid="{3556CA48-5FFD-4081-9071-CBB1DEBCD2E6}"/>
    <cellStyle name="Normal 4 2 2 4 2 6 2 3" xfId="13632" xr:uid="{022CAE20-E223-4E49-BEF7-950D1E394CB8}"/>
    <cellStyle name="Normal 4 2 2 4 2 6 3" xfId="6378" xr:uid="{00000000-0005-0000-0000-0000B7120000}"/>
    <cellStyle name="Normal 4 2 2 4 2 6 3 2" xfId="15704" xr:uid="{06CD479B-DAE4-40B9-85E0-5BA2D5DF178A}"/>
    <cellStyle name="Normal 4 2 2 4 2 6 4" xfId="11487" xr:uid="{900B5892-1D71-4E9D-B7FF-8684852C4360}"/>
    <cellStyle name="Normal 4 2 2 4 2 7" xfId="2508" xr:uid="{00000000-0005-0000-0000-0000B8120000}"/>
    <cellStyle name="Normal 4 2 2 4 2 7 2" xfId="6791" xr:uid="{00000000-0005-0000-0000-0000B9120000}"/>
    <cellStyle name="Normal 4 2 2 4 2 7 2 2" xfId="16117" xr:uid="{62525E7B-6FF9-4B26-BE95-16455361DC58}"/>
    <cellStyle name="Normal 4 2 2 4 2 7 3" xfId="11900" xr:uid="{D4D91D64-0165-4ACB-BBA6-F9E5B5D87C2B}"/>
    <cellStyle name="Normal 4 2 2 4 2 8" xfId="4726" xr:uid="{00000000-0005-0000-0000-0000BA120000}"/>
    <cellStyle name="Normal 4 2 2 4 2 8 2" xfId="14052" xr:uid="{BAC207EF-E65A-492A-91D3-7A76631AC5A6}"/>
    <cellStyle name="Normal 4 2 2 4 2 9" xfId="8921" xr:uid="{43AA3CA1-A6D2-47CC-8276-CBFAB7238AA6}"/>
    <cellStyle name="Normal 4 2 2 4 2 9 2" xfId="18245" xr:uid="{3B5ECB01-19BF-4E5D-9245-047DF7CFDBD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16612" xr:uid="{82957912-90BF-4ABA-8BA5-3B5F419584DE}"/>
    <cellStyle name="Normal 4 2 2 4 3 2 2 3" xfId="12395" xr:uid="{7AD13CFA-E688-4B52-ACB3-B81F38C36F44}"/>
    <cellStyle name="Normal 4 2 2 4 3 2 3" xfId="5141" xr:uid="{00000000-0005-0000-0000-0000BF120000}"/>
    <cellStyle name="Normal 4 2 2 4 3 2 3 2" xfId="14467" xr:uid="{A2F49BFA-829E-4D4D-B00B-4FC2DAF78B2E}"/>
    <cellStyle name="Normal 4 2 2 4 3 2 4" xfId="9450" xr:uid="{0F54578A-5DA3-4B6E-9E36-71CC7CD6BFE8}"/>
    <cellStyle name="Normal 4 2 2 4 3 2 4 2" xfId="18765" xr:uid="{FF271D2F-5FC6-407C-BE12-CA3F1E41DB59}"/>
    <cellStyle name="Normal 4 2 2 4 3 2 5" xfId="10250" xr:uid="{8534B850-3CB8-4B2A-9551-6B23758BA9FE}"/>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17025" xr:uid="{7E811591-CF14-4E7E-A041-05CD557BE3ED}"/>
    <cellStyle name="Normal 4 2 2 4 3 3 2 3" xfId="12808" xr:uid="{54D55E78-9D0F-4537-B003-1FD5DEB74267}"/>
    <cellStyle name="Normal 4 2 2 4 3 3 3" xfId="5554" xr:uid="{00000000-0005-0000-0000-0000C3120000}"/>
    <cellStyle name="Normal 4 2 2 4 3 3 3 2" xfId="14880" xr:uid="{B63A21DB-E653-4CB2-8883-74B0C13D20E6}"/>
    <cellStyle name="Normal 4 2 2 4 3 3 4" xfId="10663" xr:uid="{29EDB93C-E045-41A3-8B7A-FE50162AF427}"/>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17438" xr:uid="{1F905E7B-04E9-4C1B-9800-2FB47B011655}"/>
    <cellStyle name="Normal 4 2 2 4 3 4 2 3" xfId="13221" xr:uid="{318BFAF2-8BA3-4F90-9039-9C750C06F0BB}"/>
    <cellStyle name="Normal 4 2 2 4 3 4 3" xfId="5967" xr:uid="{00000000-0005-0000-0000-0000C7120000}"/>
    <cellStyle name="Normal 4 2 2 4 3 4 3 2" xfId="15293" xr:uid="{7B5A1401-5C61-48EF-AFEB-3772F9E28F3D}"/>
    <cellStyle name="Normal 4 2 2 4 3 4 4" xfId="11076" xr:uid="{955693D5-7483-4C9F-AA55-B165C2AAF037}"/>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17851" xr:uid="{D33A957E-7E67-40B1-8B54-BBF212D6CB58}"/>
    <cellStyle name="Normal 4 2 2 4 3 5 2 3" xfId="13634" xr:uid="{546E46F0-0FA2-4167-B5C2-7B34BC42FD02}"/>
    <cellStyle name="Normal 4 2 2 4 3 5 3" xfId="6380" xr:uid="{00000000-0005-0000-0000-0000CB120000}"/>
    <cellStyle name="Normal 4 2 2 4 3 5 3 2" xfId="15706" xr:uid="{861152DE-2DF8-469A-B2BA-294A1E1FA928}"/>
    <cellStyle name="Normal 4 2 2 4 3 5 4" xfId="11489" xr:uid="{4B8053F5-82E0-4DA9-BA69-C0092BE0BCC1}"/>
    <cellStyle name="Normal 4 2 2 4 3 6" xfId="2510" xr:uid="{00000000-0005-0000-0000-0000CC120000}"/>
    <cellStyle name="Normal 4 2 2 4 3 6 2" xfId="6793" xr:uid="{00000000-0005-0000-0000-0000CD120000}"/>
    <cellStyle name="Normal 4 2 2 4 3 6 2 2" xfId="16119" xr:uid="{B32FC826-DF6E-4997-B082-E2BDA824A5FA}"/>
    <cellStyle name="Normal 4 2 2 4 3 6 3" xfId="11902" xr:uid="{D77BF03B-CA40-4E03-A096-5785702CB8AD}"/>
    <cellStyle name="Normal 4 2 2 4 3 7" xfId="4728" xr:uid="{00000000-0005-0000-0000-0000CE120000}"/>
    <cellStyle name="Normal 4 2 2 4 3 7 2" xfId="14054" xr:uid="{6C555432-90A3-4EC6-8906-59B5715EE321}"/>
    <cellStyle name="Normal 4 2 2 4 3 8" xfId="9025" xr:uid="{436CB353-A916-4AB2-B5E2-8C1BDAEA1182}"/>
    <cellStyle name="Normal 4 2 2 4 3 8 2" xfId="18349" xr:uid="{B3DF8B09-5807-45D3-89B7-5659A1B0CBCF}"/>
    <cellStyle name="Normal 4 2 2 4 3 9" xfId="9837" xr:uid="{AC66D3DC-0280-4827-8ED7-6C49E9E1F388}"/>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16609" xr:uid="{557D6CFF-C0C9-4983-80D2-A2C8A655670B}"/>
    <cellStyle name="Normal 4 2 2 4 4 2 3" xfId="12392" xr:uid="{D459201B-790B-41AC-89CD-0D3D24FA3286}"/>
    <cellStyle name="Normal 4 2 2 4 4 3" xfId="5138" xr:uid="{00000000-0005-0000-0000-0000D2120000}"/>
    <cellStyle name="Normal 4 2 2 4 4 3 2" xfId="14464" xr:uid="{C615FC8E-5EC1-42E0-A9B0-759EF98B0CA6}"/>
    <cellStyle name="Normal 4 2 2 4 4 4" xfId="9243" xr:uid="{FD46A281-F5BE-478B-950E-209D1D56FC0E}"/>
    <cellStyle name="Normal 4 2 2 4 4 4 2" xfId="18558" xr:uid="{C9D02E59-4F3F-45CD-BAFE-C010BA4268C4}"/>
    <cellStyle name="Normal 4 2 2 4 4 5" xfId="10247" xr:uid="{8FAAA57C-538B-48BD-837B-1591FC4FAC3D}"/>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17022" xr:uid="{5F4B587F-04E2-4589-BF85-60088D4F35A4}"/>
    <cellStyle name="Normal 4 2 2 4 5 2 3" xfId="12805" xr:uid="{CAFA41C8-BB45-4A25-AC92-B8B56CAC640F}"/>
    <cellStyle name="Normal 4 2 2 4 5 3" xfId="5551" xr:uid="{00000000-0005-0000-0000-0000D6120000}"/>
    <cellStyle name="Normal 4 2 2 4 5 3 2" xfId="14877" xr:uid="{DCFFF054-90BB-4561-BB50-623A2FBD2FBA}"/>
    <cellStyle name="Normal 4 2 2 4 5 4" xfId="10660" xr:uid="{784E4B9C-5A15-4A2A-A60A-D483CA15EB1E}"/>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17435" xr:uid="{E1D0E890-1CA3-478F-A63F-105304BC8C0C}"/>
    <cellStyle name="Normal 4 2 2 4 6 2 3" xfId="13218" xr:uid="{59E18A06-99D4-4F83-91C7-27111ADD3432}"/>
    <cellStyle name="Normal 4 2 2 4 6 3" xfId="5964" xr:uid="{00000000-0005-0000-0000-0000DA120000}"/>
    <cellStyle name="Normal 4 2 2 4 6 3 2" xfId="15290" xr:uid="{A2326862-AA66-46B8-B688-FF170C32CBE8}"/>
    <cellStyle name="Normal 4 2 2 4 6 4" xfId="11073" xr:uid="{7327D770-0AC5-40C8-819D-A4592985552D}"/>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17848" xr:uid="{2E8629D9-E738-4CFA-872B-684AADCC92F2}"/>
    <cellStyle name="Normal 4 2 2 4 7 2 3" xfId="13631" xr:uid="{7D382699-2FA3-484E-A718-086D7B3D1724}"/>
    <cellStyle name="Normal 4 2 2 4 7 3" xfId="6377" xr:uid="{00000000-0005-0000-0000-0000DE120000}"/>
    <cellStyle name="Normal 4 2 2 4 7 3 2" xfId="15703" xr:uid="{5A7A4C90-4D02-4896-8EA0-660F904580CC}"/>
    <cellStyle name="Normal 4 2 2 4 7 4" xfId="11486" xr:uid="{A45AC80F-4399-4D44-9883-F556D398D5D4}"/>
    <cellStyle name="Normal 4 2 2 4 8" xfId="2507" xr:uid="{00000000-0005-0000-0000-0000DF120000}"/>
    <cellStyle name="Normal 4 2 2 4 8 2" xfId="6790" xr:uid="{00000000-0005-0000-0000-0000E0120000}"/>
    <cellStyle name="Normal 4 2 2 4 8 2 2" xfId="16116" xr:uid="{85CC75A8-F860-4994-B318-079B26754923}"/>
    <cellStyle name="Normal 4 2 2 4 8 3" xfId="11899" xr:uid="{69ACEFB6-F3F8-431D-B7A2-57088A9E7D06}"/>
    <cellStyle name="Normal 4 2 2 4 9" xfId="4725" xr:uid="{00000000-0005-0000-0000-0000E1120000}"/>
    <cellStyle name="Normal 4 2 2 4 9 2" xfId="14051" xr:uid="{3CFB3285-4438-454D-9004-347EC88040F3}"/>
    <cellStyle name="Normal 4 2 2 5" xfId="351" xr:uid="{00000000-0005-0000-0000-0000E2120000}"/>
    <cellStyle name="Normal 4 2 2 5 10" xfId="9838" xr:uid="{3D0D2EB7-8445-40D2-BAE3-F17C08F62565}"/>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16614" xr:uid="{C15419F8-7100-46EA-A3A5-CE2E5394E851}"/>
    <cellStyle name="Normal 4 2 2 5 2 2 2 3" xfId="12397" xr:uid="{3BEB24F4-299F-4349-9648-FCE57CF7C284}"/>
    <cellStyle name="Normal 4 2 2 5 2 2 3" xfId="5143" xr:uid="{00000000-0005-0000-0000-0000E7120000}"/>
    <cellStyle name="Normal 4 2 2 5 2 2 3 2" xfId="14469" xr:uid="{5197B9BD-D1D8-4519-82FA-162176B078DA}"/>
    <cellStyle name="Normal 4 2 2 5 2 2 4" xfId="9487" xr:uid="{83D2756E-B983-4EA9-AB48-FF4D3E821CE4}"/>
    <cellStyle name="Normal 4 2 2 5 2 2 4 2" xfId="18802" xr:uid="{1C06DD12-39B0-4E4E-AC3E-94596852909F}"/>
    <cellStyle name="Normal 4 2 2 5 2 2 5" xfId="10252" xr:uid="{A5578926-9996-43B6-B14C-2F9BB3F2227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17027" xr:uid="{E27226ED-22BE-4F23-B192-09DE100D17BF}"/>
    <cellStyle name="Normal 4 2 2 5 2 3 2 3" xfId="12810" xr:uid="{B541B0FE-534A-4ED1-B188-A55980C7C64A}"/>
    <cellStyle name="Normal 4 2 2 5 2 3 3" xfId="5556" xr:uid="{00000000-0005-0000-0000-0000EB120000}"/>
    <cellStyle name="Normal 4 2 2 5 2 3 3 2" xfId="14882" xr:uid="{2DD36876-685C-41B8-BF5C-5FA1C9D1E76E}"/>
    <cellStyle name="Normal 4 2 2 5 2 3 4" xfId="10665" xr:uid="{C46C234B-994C-44C8-A914-4686AF1B81C7}"/>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17440" xr:uid="{366AAE58-DF45-40EF-ACE2-0259C45DAFB0}"/>
    <cellStyle name="Normal 4 2 2 5 2 4 2 3" xfId="13223" xr:uid="{D25A2261-9312-4FD9-9C9C-42EA10E91320}"/>
    <cellStyle name="Normal 4 2 2 5 2 4 3" xfId="5969" xr:uid="{00000000-0005-0000-0000-0000EF120000}"/>
    <cellStyle name="Normal 4 2 2 5 2 4 3 2" xfId="15295" xr:uid="{0601EF55-777C-460D-A9DE-E5BA7E628304}"/>
    <cellStyle name="Normal 4 2 2 5 2 4 4" xfId="11078" xr:uid="{4F14BA5E-FA1A-461A-BC27-984FD11A483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17853" xr:uid="{CAFA257B-80E0-4F19-A6B4-122CCC0F8433}"/>
    <cellStyle name="Normal 4 2 2 5 2 5 2 3" xfId="13636" xr:uid="{5495BC4F-D69E-4BC1-BFBC-FAA548159231}"/>
    <cellStyle name="Normal 4 2 2 5 2 5 3" xfId="6382" xr:uid="{00000000-0005-0000-0000-0000F3120000}"/>
    <cellStyle name="Normal 4 2 2 5 2 5 3 2" xfId="15708" xr:uid="{29EF792A-9954-46AB-9F2C-5BC03FB15219}"/>
    <cellStyle name="Normal 4 2 2 5 2 5 4" xfId="11491" xr:uid="{F35FDB99-CCE5-46DA-B9FF-81AF52B67461}"/>
    <cellStyle name="Normal 4 2 2 5 2 6" xfId="2512" xr:uid="{00000000-0005-0000-0000-0000F4120000}"/>
    <cellStyle name="Normal 4 2 2 5 2 6 2" xfId="6795" xr:uid="{00000000-0005-0000-0000-0000F5120000}"/>
    <cellStyle name="Normal 4 2 2 5 2 6 2 2" xfId="16121" xr:uid="{6DD860B3-062D-434E-942C-9DBBFA2C0A7F}"/>
    <cellStyle name="Normal 4 2 2 5 2 6 3" xfId="11904" xr:uid="{46F5478C-AB6D-487C-9D4E-996A874EF13E}"/>
    <cellStyle name="Normal 4 2 2 5 2 7" xfId="4730" xr:uid="{00000000-0005-0000-0000-0000F6120000}"/>
    <cellStyle name="Normal 4 2 2 5 2 7 2" xfId="14056" xr:uid="{8C5B65A9-BFF1-46AE-AEA4-8F6307726035}"/>
    <cellStyle name="Normal 4 2 2 5 2 8" xfId="9062" xr:uid="{FED54422-C2E5-44B3-AA7C-C6088F47A385}"/>
    <cellStyle name="Normal 4 2 2 5 2 8 2" xfId="18386" xr:uid="{993CBA32-E1B2-43E9-A907-06A96FCB5F1F}"/>
    <cellStyle name="Normal 4 2 2 5 2 9" xfId="9839" xr:uid="{2F8E2CD5-70E4-4188-BCFB-9069A1309F32}"/>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16613" xr:uid="{19089477-9CD4-4ED2-A5E7-70AD8B64920B}"/>
    <cellStyle name="Normal 4 2 2 5 3 2 3" xfId="12396" xr:uid="{83D72717-9845-44F3-AFC7-1FC89DB80D43}"/>
    <cellStyle name="Normal 4 2 2 5 3 3" xfId="5142" xr:uid="{00000000-0005-0000-0000-0000FA120000}"/>
    <cellStyle name="Normal 4 2 2 5 3 3 2" xfId="14468" xr:uid="{FCD6B702-DF35-4A83-BADC-6EC66414183B}"/>
    <cellStyle name="Normal 4 2 2 5 3 4" xfId="9280" xr:uid="{C70B18D8-E279-4D37-82EF-3177E9FA554F}"/>
    <cellStyle name="Normal 4 2 2 5 3 4 2" xfId="18595" xr:uid="{E435AD35-DABB-4035-96EB-2CA510EAA3C3}"/>
    <cellStyle name="Normal 4 2 2 5 3 5" xfId="10251" xr:uid="{99B32FE6-4B6B-4904-B628-1DA9F1156DA8}"/>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17026" xr:uid="{69ABCA04-7DE1-4418-895E-E9316BFE494E}"/>
    <cellStyle name="Normal 4 2 2 5 4 2 3" xfId="12809" xr:uid="{43220ABD-B277-4556-B357-403050309EB3}"/>
    <cellStyle name="Normal 4 2 2 5 4 3" xfId="5555" xr:uid="{00000000-0005-0000-0000-0000FE120000}"/>
    <cellStyle name="Normal 4 2 2 5 4 3 2" xfId="14881" xr:uid="{FE8D0BB6-74B7-45A5-9B46-77921AFE50B7}"/>
    <cellStyle name="Normal 4 2 2 5 4 4" xfId="10664" xr:uid="{1B7D06D5-45AC-4597-9AD3-A87B3EA92CF2}"/>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17439" xr:uid="{56530748-8B68-40FD-A611-96CD439CB70B}"/>
    <cellStyle name="Normal 4 2 2 5 5 2 3" xfId="13222" xr:uid="{E1C262E1-D4D0-4C01-8C6B-1D53A8545136}"/>
    <cellStyle name="Normal 4 2 2 5 5 3" xfId="5968" xr:uid="{00000000-0005-0000-0000-000002130000}"/>
    <cellStyle name="Normal 4 2 2 5 5 3 2" xfId="15294" xr:uid="{C9FE8F93-B531-4A33-AD92-298C134702A2}"/>
    <cellStyle name="Normal 4 2 2 5 5 4" xfId="11077" xr:uid="{4B5864FD-8049-44F4-8533-0D16A965FE6F}"/>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17852" xr:uid="{EE7B9978-4FFC-496C-B97F-737AF318397E}"/>
    <cellStyle name="Normal 4 2 2 5 6 2 3" xfId="13635" xr:uid="{64F2C704-FB10-40CC-9171-3A41547E6264}"/>
    <cellStyle name="Normal 4 2 2 5 6 3" xfId="6381" xr:uid="{00000000-0005-0000-0000-000006130000}"/>
    <cellStyle name="Normal 4 2 2 5 6 3 2" xfId="15707" xr:uid="{B73B9D68-3AB6-4544-BB05-E3DC04EDAC7E}"/>
    <cellStyle name="Normal 4 2 2 5 6 4" xfId="11490" xr:uid="{9BCE6FDA-3C6E-4D38-92EB-A9A7074572C4}"/>
    <cellStyle name="Normal 4 2 2 5 7" xfId="2511" xr:uid="{00000000-0005-0000-0000-000007130000}"/>
    <cellStyle name="Normal 4 2 2 5 7 2" xfId="6794" xr:uid="{00000000-0005-0000-0000-000008130000}"/>
    <cellStyle name="Normal 4 2 2 5 7 2 2" xfId="16120" xr:uid="{5C81425B-C3C1-4E9F-BC10-B1D221C5C407}"/>
    <cellStyle name="Normal 4 2 2 5 7 3" xfId="11903" xr:uid="{C60DA568-AA67-4A93-A47E-B8D3DE5F2659}"/>
    <cellStyle name="Normal 4 2 2 5 8" xfId="4729" xr:uid="{00000000-0005-0000-0000-000009130000}"/>
    <cellStyle name="Normal 4 2 2 5 8 2" xfId="14055" xr:uid="{425D41A3-7267-471B-AC84-DEA9D65BB4F3}"/>
    <cellStyle name="Normal 4 2 2 5 9" xfId="8855" xr:uid="{894DEE8B-A5CD-4C4E-B41D-DCEB92717109}"/>
    <cellStyle name="Normal 4 2 2 5 9 2" xfId="18179" xr:uid="{93D12819-CAD8-48B8-95ED-5D52FC3BE2CA}"/>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16615" xr:uid="{8C6309D3-1DCB-4805-85DA-81BF44ED368D}"/>
    <cellStyle name="Normal 4 2 2 6 2 2 3" xfId="12398" xr:uid="{4E83C7DB-3EA9-4AD6-8DC6-E19E15B78B84}"/>
    <cellStyle name="Normal 4 2 2 6 2 3" xfId="5144" xr:uid="{00000000-0005-0000-0000-00000E130000}"/>
    <cellStyle name="Normal 4 2 2 6 2 3 2" xfId="14470" xr:uid="{11F149BF-E23C-43D3-BB0C-9D7AD8409070}"/>
    <cellStyle name="Normal 4 2 2 6 2 4" xfId="9396" xr:uid="{5B10E6C6-987A-4149-BB81-321A07C7666F}"/>
    <cellStyle name="Normal 4 2 2 6 2 4 2" xfId="18711" xr:uid="{FDB79E92-8C6D-41A8-A2F4-603356A2A53E}"/>
    <cellStyle name="Normal 4 2 2 6 2 5" xfId="10253" xr:uid="{3B610E8D-6D23-4597-9579-EF62550DA203}"/>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17028" xr:uid="{3F47FA43-0B4E-4EAB-AAE3-5917797D2A28}"/>
    <cellStyle name="Normal 4 2 2 6 3 2 3" xfId="12811" xr:uid="{12419CCA-8A5F-4020-8927-DE26E389878D}"/>
    <cellStyle name="Normal 4 2 2 6 3 3" xfId="5557" xr:uid="{00000000-0005-0000-0000-000012130000}"/>
    <cellStyle name="Normal 4 2 2 6 3 3 2" xfId="14883" xr:uid="{DFCE8757-8299-4816-A1CA-446F76E6EE59}"/>
    <cellStyle name="Normal 4 2 2 6 3 4" xfId="10666" xr:uid="{E4E824C3-D5A5-446E-88CA-EF4654CA5FAB}"/>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17441" xr:uid="{6DD2A8E9-82D2-41C3-8F36-DA737ACA2455}"/>
    <cellStyle name="Normal 4 2 2 6 4 2 3" xfId="13224" xr:uid="{D984A54D-68EF-485B-8725-3C6D8F9E1DB6}"/>
    <cellStyle name="Normal 4 2 2 6 4 3" xfId="5970" xr:uid="{00000000-0005-0000-0000-000016130000}"/>
    <cellStyle name="Normal 4 2 2 6 4 3 2" xfId="15296" xr:uid="{5AB01EEC-7E30-42EF-B801-01A000DC9A9E}"/>
    <cellStyle name="Normal 4 2 2 6 4 4" xfId="11079" xr:uid="{6866AD6A-DD56-4236-B93A-671109D91C19}"/>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17854" xr:uid="{57ECA736-7A4C-4976-BD45-1B91172848AF}"/>
    <cellStyle name="Normal 4 2 2 6 5 2 3" xfId="13637" xr:uid="{6016EF9E-D1D1-40D1-81C8-7DA73391153F}"/>
    <cellStyle name="Normal 4 2 2 6 5 3" xfId="6383" xr:uid="{00000000-0005-0000-0000-00001A130000}"/>
    <cellStyle name="Normal 4 2 2 6 5 3 2" xfId="15709" xr:uid="{D2AA9FDA-924D-4045-8051-139CBE91C329}"/>
    <cellStyle name="Normal 4 2 2 6 5 4" xfId="11492" xr:uid="{53C97658-F765-4508-9777-94D59325F5C2}"/>
    <cellStyle name="Normal 4 2 2 6 6" xfId="2513" xr:uid="{00000000-0005-0000-0000-00001B130000}"/>
    <cellStyle name="Normal 4 2 2 6 6 2" xfId="6796" xr:uid="{00000000-0005-0000-0000-00001C130000}"/>
    <cellStyle name="Normal 4 2 2 6 6 2 2" xfId="16122" xr:uid="{216D9782-A57A-458E-B7E8-52E8FE6186AD}"/>
    <cellStyle name="Normal 4 2 2 6 6 3" xfId="11905" xr:uid="{586C91F0-B588-495F-B225-C3FF5F178877}"/>
    <cellStyle name="Normal 4 2 2 6 7" xfId="4731" xr:uid="{00000000-0005-0000-0000-00001D130000}"/>
    <cellStyle name="Normal 4 2 2 6 7 2" xfId="14057" xr:uid="{12F285B4-D597-42AB-8B6D-724F61BBB74A}"/>
    <cellStyle name="Normal 4 2 2 6 8" xfId="8971" xr:uid="{7BBA3CD4-2D32-439A-A2D5-9F7EB5E5A47E}"/>
    <cellStyle name="Normal 4 2 2 6 8 2" xfId="18295" xr:uid="{74D477E3-870A-4EB7-8641-2609C68E23F6}"/>
    <cellStyle name="Normal 4 2 2 6 9" xfId="9840" xr:uid="{883147EF-F531-4324-A7DA-CB9D12F4E28E}"/>
    <cellStyle name="Normal 4 2 2 7" xfId="815" xr:uid="{00000000-0005-0000-0000-00001E130000}"/>
    <cellStyle name="Normal 4 2 2 7 2" xfId="3052" xr:uid="{00000000-0005-0000-0000-00001F130000}"/>
    <cellStyle name="Normal 4 2 2 7 2 2" xfId="7274" xr:uid="{00000000-0005-0000-0000-000020130000}"/>
    <cellStyle name="Normal 4 2 2 7 2 2 2" xfId="16600" xr:uid="{3486EE17-A27F-49FC-A07C-36B415DA97FC}"/>
    <cellStyle name="Normal 4 2 2 7 2 3" xfId="12383" xr:uid="{ED5167DE-B862-44E4-8F8C-BD90FEE01610}"/>
    <cellStyle name="Normal 4 2 2 7 3" xfId="5129" xr:uid="{00000000-0005-0000-0000-000021130000}"/>
    <cellStyle name="Normal 4 2 2 7 3 2" xfId="14455" xr:uid="{7A853A05-DF66-4B41-BC03-C5F77C78E75A}"/>
    <cellStyle name="Normal 4 2 2 7 4" xfId="9174" xr:uid="{5FB177AF-8B2E-4B7E-A1B7-4F6E323AF880}"/>
    <cellStyle name="Normal 4 2 2 7 4 2" xfId="18492" xr:uid="{2A0ED86D-0B0F-4D79-9811-B784DD3F4680}"/>
    <cellStyle name="Normal 4 2 2 7 5" xfId="10238" xr:uid="{89F757F7-EC7A-46AD-B1C0-5B8B4F4E2222}"/>
    <cellStyle name="Normal 4 2 2 8" xfId="1235" xr:uid="{00000000-0005-0000-0000-000022130000}"/>
    <cellStyle name="Normal 4 2 2 8 2" xfId="3465" xr:uid="{00000000-0005-0000-0000-000023130000}"/>
    <cellStyle name="Normal 4 2 2 8 2 2" xfId="7687" xr:uid="{00000000-0005-0000-0000-000024130000}"/>
    <cellStyle name="Normal 4 2 2 8 2 2 2" xfId="17013" xr:uid="{6EAD6293-FB73-4623-9043-52D3B7C81AE6}"/>
    <cellStyle name="Normal 4 2 2 8 2 3" xfId="12796" xr:uid="{D7597406-555B-41DB-A0CF-6E67AF93C732}"/>
    <cellStyle name="Normal 4 2 2 8 3" xfId="5542" xr:uid="{00000000-0005-0000-0000-000025130000}"/>
    <cellStyle name="Normal 4 2 2 8 3 2" xfId="14868" xr:uid="{ABF3A640-BDF8-4B83-8DB8-535B35B2DF36}"/>
    <cellStyle name="Normal 4 2 2 8 4" xfId="10651" xr:uid="{EA7E92C1-BA8D-4E1E-A401-42D9D554D6B9}"/>
    <cellStyle name="Normal 4 2 2 9" xfId="1648" xr:uid="{00000000-0005-0000-0000-000026130000}"/>
    <cellStyle name="Normal 4 2 2 9 2" xfId="3878" xr:uid="{00000000-0005-0000-0000-000027130000}"/>
    <cellStyle name="Normal 4 2 2 9 2 2" xfId="8100" xr:uid="{00000000-0005-0000-0000-000028130000}"/>
    <cellStyle name="Normal 4 2 2 9 2 2 2" xfId="17426" xr:uid="{9192BED3-1B22-4943-A260-7F66379D58CA}"/>
    <cellStyle name="Normal 4 2 2 9 2 3" xfId="13209" xr:uid="{B8C1C984-07BB-435D-BEA9-FCC64B037FF7}"/>
    <cellStyle name="Normal 4 2 2 9 3" xfId="5955" xr:uid="{00000000-0005-0000-0000-000029130000}"/>
    <cellStyle name="Normal 4 2 2 9 3 2" xfId="15281" xr:uid="{13614443-C7F4-4AAA-B334-6840B31F00BC}"/>
    <cellStyle name="Normal 4 2 2 9 4" xfId="11064" xr:uid="{7891A613-D1A3-4E3F-BED6-2B45332C480A}"/>
    <cellStyle name="Normal 4 2 3" xfId="354" xr:uid="{00000000-0005-0000-0000-00002A130000}"/>
    <cellStyle name="Normal 4 2 4" xfId="355" xr:uid="{00000000-0005-0000-0000-00002B130000}"/>
    <cellStyle name="Normal 4 2 4 10" xfId="4732" xr:uid="{00000000-0005-0000-0000-00002C130000}"/>
    <cellStyle name="Normal 4 2 4 10 2" xfId="14058" xr:uid="{54045DF2-62E0-45D5-AD9D-10D56B8D7079}"/>
    <cellStyle name="Normal 4 2 4 11" xfId="8775" xr:uid="{7AC259AB-9C32-4DC1-A787-2E2187A7C2D6}"/>
    <cellStyle name="Normal 4 2 4 11 2" xfId="18099" xr:uid="{E56CA6EE-0BB6-4614-92CC-12F706380CD5}"/>
    <cellStyle name="Normal 4 2 4 12" xfId="9841" xr:uid="{631D738A-C06F-4080-8627-30D874181E07}"/>
    <cellStyle name="Normal 4 2 4 2" xfId="356" xr:uid="{00000000-0005-0000-0000-00002D130000}"/>
    <cellStyle name="Normal 4 2 4 2 10" xfId="8820" xr:uid="{8B50D4F4-4786-467C-8322-69D665B73C2B}"/>
    <cellStyle name="Normal 4 2 4 2 10 2" xfId="18144" xr:uid="{626F5EA6-BF81-4342-97D5-27608A2A119B}"/>
    <cellStyle name="Normal 4 2 4 2 11" xfId="9842" xr:uid="{20492214-60F9-4E9E-8E11-55BB3A3FCA0B}"/>
    <cellStyle name="Normal 4 2 4 2 2" xfId="357" xr:uid="{00000000-0005-0000-0000-00002E130000}"/>
    <cellStyle name="Normal 4 2 4 2 2 10" xfId="9843" xr:uid="{078665C4-5235-44BC-9E4A-74317B4ED138}"/>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16619" xr:uid="{9174C6B2-6EB6-4E30-B736-A520741FE0F6}"/>
    <cellStyle name="Normal 4 2 4 2 2 2 2 2 3" xfId="12402" xr:uid="{25C6D8D8-57FB-47FF-93F2-F2BF4E1EFA6F}"/>
    <cellStyle name="Normal 4 2 4 2 2 2 2 3" xfId="5148" xr:uid="{00000000-0005-0000-0000-000033130000}"/>
    <cellStyle name="Normal 4 2 4 2 2 2 2 3 2" xfId="14474" xr:uid="{D2AF174F-039B-4E0E-A4A8-72B22735CD35}"/>
    <cellStyle name="Normal 4 2 4 2 2 2 2 4" xfId="9555" xr:uid="{31AE7BD4-4F26-4658-9939-15FCE733560E}"/>
    <cellStyle name="Normal 4 2 4 2 2 2 2 4 2" xfId="18870" xr:uid="{7484312F-BC28-43A6-B468-2435C8807AFC}"/>
    <cellStyle name="Normal 4 2 4 2 2 2 2 5" xfId="10257" xr:uid="{764A3844-AD4C-4DDB-9AEA-523CE4586417}"/>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17032" xr:uid="{CECC0071-9E59-4D31-9AC4-DA20A0E2512D}"/>
    <cellStyle name="Normal 4 2 4 2 2 2 3 2 3" xfId="12815" xr:uid="{98B87B4D-35AE-4C23-90C5-1C6D8EF4180C}"/>
    <cellStyle name="Normal 4 2 4 2 2 2 3 3" xfId="5561" xr:uid="{00000000-0005-0000-0000-000037130000}"/>
    <cellStyle name="Normal 4 2 4 2 2 2 3 3 2" xfId="14887" xr:uid="{FE40D742-5B2C-4A2C-89D8-FB30449195F0}"/>
    <cellStyle name="Normal 4 2 4 2 2 2 3 4" xfId="10670" xr:uid="{F4DBD3E8-826B-4AF1-A5A4-B2B308A42F53}"/>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17445" xr:uid="{C3A1C9E8-B8B7-4F46-886C-A5D7202269F1}"/>
    <cellStyle name="Normal 4 2 4 2 2 2 4 2 3" xfId="13228" xr:uid="{1AF7A5A6-848D-49BB-9DBA-F6A46BFB3E3B}"/>
    <cellStyle name="Normal 4 2 4 2 2 2 4 3" xfId="5974" xr:uid="{00000000-0005-0000-0000-00003B130000}"/>
    <cellStyle name="Normal 4 2 4 2 2 2 4 3 2" xfId="15300" xr:uid="{3EECC949-4CF0-40CE-AA3D-12D25F43205E}"/>
    <cellStyle name="Normal 4 2 4 2 2 2 4 4" xfId="11083" xr:uid="{4BF6D239-87EC-4C7C-BC45-B06D54166577}"/>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17858" xr:uid="{5013559E-49D4-4892-B155-91C06A2BCB36}"/>
    <cellStyle name="Normal 4 2 4 2 2 2 5 2 3" xfId="13641" xr:uid="{DAF3A4D1-46C2-4771-8990-089749B9AB9D}"/>
    <cellStyle name="Normal 4 2 4 2 2 2 5 3" xfId="6387" xr:uid="{00000000-0005-0000-0000-00003F130000}"/>
    <cellStyle name="Normal 4 2 4 2 2 2 5 3 2" xfId="15713" xr:uid="{444234A1-0413-449C-BE62-916B4E2F4DD5}"/>
    <cellStyle name="Normal 4 2 4 2 2 2 5 4" xfId="11496" xr:uid="{CAD78FEB-B3A1-49F2-8600-970C7784525A}"/>
    <cellStyle name="Normal 4 2 4 2 2 2 6" xfId="2517" xr:uid="{00000000-0005-0000-0000-000040130000}"/>
    <cellStyle name="Normal 4 2 4 2 2 2 6 2" xfId="6800" xr:uid="{00000000-0005-0000-0000-000041130000}"/>
    <cellStyle name="Normal 4 2 4 2 2 2 6 2 2" xfId="16126" xr:uid="{4FD6144F-9E95-4CAC-88A3-1C1C11D3C7A9}"/>
    <cellStyle name="Normal 4 2 4 2 2 2 6 3" xfId="11909" xr:uid="{C39CB8D7-BEF1-4B45-86E2-FCA19860331B}"/>
    <cellStyle name="Normal 4 2 4 2 2 2 7" xfId="4735" xr:uid="{00000000-0005-0000-0000-000042130000}"/>
    <cellStyle name="Normal 4 2 4 2 2 2 7 2" xfId="14061" xr:uid="{1C4BE8A0-7D16-444C-9343-E68D647A5AB2}"/>
    <cellStyle name="Normal 4 2 4 2 2 2 8" xfId="9130" xr:uid="{E4AAEB37-D6CE-4BD9-A166-BE52F754DAC4}"/>
    <cellStyle name="Normal 4 2 4 2 2 2 8 2" xfId="18454" xr:uid="{7812C9B8-B579-47ED-B8FD-CBB7FA150AA2}"/>
    <cellStyle name="Normal 4 2 4 2 2 2 9" xfId="9844" xr:uid="{901B91AB-085A-4328-A4D3-087EAA822588}"/>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16618" xr:uid="{0CCB87CC-77EA-4EF4-9264-CE730906077E}"/>
    <cellStyle name="Normal 4 2 4 2 2 3 2 3" xfId="12401" xr:uid="{581A3BDC-B173-4147-A39E-9A4F2984F41F}"/>
    <cellStyle name="Normal 4 2 4 2 2 3 3" xfId="5147" xr:uid="{00000000-0005-0000-0000-000046130000}"/>
    <cellStyle name="Normal 4 2 4 2 2 3 3 2" xfId="14473" xr:uid="{48564ABD-6E8D-47CF-91A9-F6C266BB3365}"/>
    <cellStyle name="Normal 4 2 4 2 2 3 4" xfId="9348" xr:uid="{E9E52CF6-B3CF-482F-B496-A22B0452951D}"/>
    <cellStyle name="Normal 4 2 4 2 2 3 4 2" xfId="18663" xr:uid="{828D3C81-16EF-4EFC-84FA-09C9BA4D81A1}"/>
    <cellStyle name="Normal 4 2 4 2 2 3 5" xfId="10256" xr:uid="{4AF10178-6CC8-4158-89CB-66408952374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17031" xr:uid="{4D384F88-4F27-4B91-9915-3EFDBF8F2BBD}"/>
    <cellStyle name="Normal 4 2 4 2 2 4 2 3" xfId="12814" xr:uid="{47452608-3CAD-4843-9F76-8AB956BA7BEA}"/>
    <cellStyle name="Normal 4 2 4 2 2 4 3" xfId="5560" xr:uid="{00000000-0005-0000-0000-00004A130000}"/>
    <cellStyle name="Normal 4 2 4 2 2 4 3 2" xfId="14886" xr:uid="{613219D6-5667-4708-8D25-B791A93BE10E}"/>
    <cellStyle name="Normal 4 2 4 2 2 4 4" xfId="10669" xr:uid="{2C67171A-29EC-4520-A7DD-7A10A2ABAFAB}"/>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17444" xr:uid="{842B2A12-AB6F-4EC0-BEC3-BFDC1E75091E}"/>
    <cellStyle name="Normal 4 2 4 2 2 5 2 3" xfId="13227" xr:uid="{051ED189-7D8E-4526-B2C9-09FC8ED939A6}"/>
    <cellStyle name="Normal 4 2 4 2 2 5 3" xfId="5973" xr:uid="{00000000-0005-0000-0000-00004E130000}"/>
    <cellStyle name="Normal 4 2 4 2 2 5 3 2" xfId="15299" xr:uid="{F1375715-BD97-472B-B5BD-282D2CBE7C2C}"/>
    <cellStyle name="Normal 4 2 4 2 2 5 4" xfId="11082" xr:uid="{1E271FC6-5288-4D38-83A1-5C528E599B35}"/>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17857" xr:uid="{DADBBC77-53D4-4322-9C2B-99495E02F13C}"/>
    <cellStyle name="Normal 4 2 4 2 2 6 2 3" xfId="13640" xr:uid="{5AAF78F0-386E-4AEF-AEFC-D0CC1B89E807}"/>
    <cellStyle name="Normal 4 2 4 2 2 6 3" xfId="6386" xr:uid="{00000000-0005-0000-0000-000052130000}"/>
    <cellStyle name="Normal 4 2 4 2 2 6 3 2" xfId="15712" xr:uid="{93349140-44E8-457A-B341-6FF1EF55CDD2}"/>
    <cellStyle name="Normal 4 2 4 2 2 6 4" xfId="11495" xr:uid="{4288F104-1B9A-4DF2-806D-F6AF58F25C6E}"/>
    <cellStyle name="Normal 4 2 4 2 2 7" xfId="2516" xr:uid="{00000000-0005-0000-0000-000053130000}"/>
    <cellStyle name="Normal 4 2 4 2 2 7 2" xfId="6799" xr:uid="{00000000-0005-0000-0000-000054130000}"/>
    <cellStyle name="Normal 4 2 4 2 2 7 2 2" xfId="16125" xr:uid="{37579CE3-B8DC-41D3-AB98-1A6262981A8D}"/>
    <cellStyle name="Normal 4 2 4 2 2 7 3" xfId="11908" xr:uid="{D8071EB8-8024-4DEA-8A5C-9C3C391C48CC}"/>
    <cellStyle name="Normal 4 2 4 2 2 8" xfId="4734" xr:uid="{00000000-0005-0000-0000-000055130000}"/>
    <cellStyle name="Normal 4 2 4 2 2 8 2" xfId="14060" xr:uid="{906E9ECC-862D-4191-B79A-0E365D806364}"/>
    <cellStyle name="Normal 4 2 4 2 2 9" xfId="8923" xr:uid="{2BBE6936-33B8-4624-9F85-2EE83C62ACB2}"/>
    <cellStyle name="Normal 4 2 4 2 2 9 2" xfId="18247" xr:uid="{4F7106B9-E69D-4778-AB38-5FDEAB6327BE}"/>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16620" xr:uid="{00BFC368-EDD8-42EE-A551-8E0162EBB978}"/>
    <cellStyle name="Normal 4 2 4 2 3 2 2 3" xfId="12403" xr:uid="{CF82FF7A-D846-4C3A-8CC4-21CC0905566F}"/>
    <cellStyle name="Normal 4 2 4 2 3 2 3" xfId="5149" xr:uid="{00000000-0005-0000-0000-00005A130000}"/>
    <cellStyle name="Normal 4 2 4 2 3 2 3 2" xfId="14475" xr:uid="{D31AD604-78B9-4C78-AB7F-64B496607D04}"/>
    <cellStyle name="Normal 4 2 4 2 3 2 4" xfId="9452" xr:uid="{58F46659-8F00-4705-8554-54AEBE9B8A77}"/>
    <cellStyle name="Normal 4 2 4 2 3 2 4 2" xfId="18767" xr:uid="{D68671EB-6CC4-424F-908B-A76E127A8EDE}"/>
    <cellStyle name="Normal 4 2 4 2 3 2 5" xfId="10258" xr:uid="{C9C1B666-F26D-455F-A498-B74FAAA64521}"/>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17033" xr:uid="{F00EEA9F-2119-437A-A3D8-1EEA67EC2835}"/>
    <cellStyle name="Normal 4 2 4 2 3 3 2 3" xfId="12816" xr:uid="{2B5235D9-8676-423A-B4F3-36847A7781A5}"/>
    <cellStyle name="Normal 4 2 4 2 3 3 3" xfId="5562" xr:uid="{00000000-0005-0000-0000-00005E130000}"/>
    <cellStyle name="Normal 4 2 4 2 3 3 3 2" xfId="14888" xr:uid="{490074FB-BAFC-43E6-83E3-D2416D9B1B89}"/>
    <cellStyle name="Normal 4 2 4 2 3 3 4" xfId="10671" xr:uid="{B230EA72-004C-475B-B1ED-2086C88CE706}"/>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17446" xr:uid="{9BAC2F85-D520-4799-9353-CD937C5789E9}"/>
    <cellStyle name="Normal 4 2 4 2 3 4 2 3" xfId="13229" xr:uid="{04BB2366-5D1C-4316-ACE3-418839DA963E}"/>
    <cellStyle name="Normal 4 2 4 2 3 4 3" xfId="5975" xr:uid="{00000000-0005-0000-0000-000062130000}"/>
    <cellStyle name="Normal 4 2 4 2 3 4 3 2" xfId="15301" xr:uid="{01BFF57F-F5E6-4819-B3A5-65C246F188A3}"/>
    <cellStyle name="Normal 4 2 4 2 3 4 4" xfId="11084" xr:uid="{71602BE2-6C48-430E-9305-96DC8645DCF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17859" xr:uid="{E240816A-F79E-4AE2-AE0E-E1DA99345FDD}"/>
    <cellStyle name="Normal 4 2 4 2 3 5 2 3" xfId="13642" xr:uid="{FFCF734F-44B9-4F36-A8BB-23A2FDFFDEA7}"/>
    <cellStyle name="Normal 4 2 4 2 3 5 3" xfId="6388" xr:uid="{00000000-0005-0000-0000-000066130000}"/>
    <cellStyle name="Normal 4 2 4 2 3 5 3 2" xfId="15714" xr:uid="{8EA5AE79-DC27-4F6E-B51E-4CDB5938C3B6}"/>
    <cellStyle name="Normal 4 2 4 2 3 5 4" xfId="11497" xr:uid="{7650CB07-8388-41F1-BFBA-694513B85EE0}"/>
    <cellStyle name="Normal 4 2 4 2 3 6" xfId="2518" xr:uid="{00000000-0005-0000-0000-000067130000}"/>
    <cellStyle name="Normal 4 2 4 2 3 6 2" xfId="6801" xr:uid="{00000000-0005-0000-0000-000068130000}"/>
    <cellStyle name="Normal 4 2 4 2 3 6 2 2" xfId="16127" xr:uid="{99AD20EF-7D78-44DE-85D9-6D8E95CAB1C8}"/>
    <cellStyle name="Normal 4 2 4 2 3 6 3" xfId="11910" xr:uid="{4A27558D-2FB1-4C3A-81B4-600CE0371369}"/>
    <cellStyle name="Normal 4 2 4 2 3 7" xfId="4736" xr:uid="{00000000-0005-0000-0000-000069130000}"/>
    <cellStyle name="Normal 4 2 4 2 3 7 2" xfId="14062" xr:uid="{AC06AA54-78BF-44A9-8894-6AEF0EDC6400}"/>
    <cellStyle name="Normal 4 2 4 2 3 8" xfId="9027" xr:uid="{DA430019-E492-48BB-ACD5-5BE853C50FBC}"/>
    <cellStyle name="Normal 4 2 4 2 3 8 2" xfId="18351" xr:uid="{4DF5D851-99A6-49B9-96FF-88EF4B77B03B}"/>
    <cellStyle name="Normal 4 2 4 2 3 9" xfId="9845" xr:uid="{BE9F0AF4-9FDB-422E-AAF2-964D0FFD8AB6}"/>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16617" xr:uid="{27BD2AB8-A77A-4F6A-96E7-AA5229D8A1FD}"/>
    <cellStyle name="Normal 4 2 4 2 4 2 3" xfId="12400" xr:uid="{28B15A74-2190-466B-85E7-857361106C2F}"/>
    <cellStyle name="Normal 4 2 4 2 4 3" xfId="5146" xr:uid="{00000000-0005-0000-0000-00006D130000}"/>
    <cellStyle name="Normal 4 2 4 2 4 3 2" xfId="14472" xr:uid="{4FD6A65F-9BFD-4679-B1A4-8BAFD209EBE9}"/>
    <cellStyle name="Normal 4 2 4 2 4 4" xfId="9245" xr:uid="{A0383DD8-843E-4601-922A-5CDD979D0589}"/>
    <cellStyle name="Normal 4 2 4 2 4 4 2" xfId="18560" xr:uid="{5552C2B4-5B14-472B-A07B-9CC85C136DD5}"/>
    <cellStyle name="Normal 4 2 4 2 4 5" xfId="10255" xr:uid="{DE927576-E753-4EEA-B102-66BB305E19F8}"/>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17030" xr:uid="{7BCCE6F3-DF4B-40A7-B686-88FC9F43F66C}"/>
    <cellStyle name="Normal 4 2 4 2 5 2 3" xfId="12813" xr:uid="{ADFE105E-F728-4D6F-AACC-43BF5848D98E}"/>
    <cellStyle name="Normal 4 2 4 2 5 3" xfId="5559" xr:uid="{00000000-0005-0000-0000-000071130000}"/>
    <cellStyle name="Normal 4 2 4 2 5 3 2" xfId="14885" xr:uid="{437232AE-4280-4860-8AB0-0BBBF16197C3}"/>
    <cellStyle name="Normal 4 2 4 2 5 4" xfId="10668" xr:uid="{6BD59602-94F5-4C70-90BD-5516F41CEB72}"/>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17443" xr:uid="{A36B9FD5-6FB3-47DF-B631-FED283074C76}"/>
    <cellStyle name="Normal 4 2 4 2 6 2 3" xfId="13226" xr:uid="{69B54F94-3E8C-45C4-9156-44AD1102DBBA}"/>
    <cellStyle name="Normal 4 2 4 2 6 3" xfId="5972" xr:uid="{00000000-0005-0000-0000-000075130000}"/>
    <cellStyle name="Normal 4 2 4 2 6 3 2" xfId="15298" xr:uid="{C795A93D-D7D6-4636-99B3-51E04792BB83}"/>
    <cellStyle name="Normal 4 2 4 2 6 4" xfId="11081" xr:uid="{DC4C4697-E89A-4356-8B0D-5EDBF6DB101D}"/>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17856" xr:uid="{3F52DB6F-1BF8-401C-96A2-9EC17AD53CDF}"/>
    <cellStyle name="Normal 4 2 4 2 7 2 3" xfId="13639" xr:uid="{B696CF68-8449-4741-A5B6-E7CF09F4AABE}"/>
    <cellStyle name="Normal 4 2 4 2 7 3" xfId="6385" xr:uid="{00000000-0005-0000-0000-000079130000}"/>
    <cellStyle name="Normal 4 2 4 2 7 3 2" xfId="15711" xr:uid="{57631254-B67E-4D12-AA60-2E661304EFE1}"/>
    <cellStyle name="Normal 4 2 4 2 7 4" xfId="11494" xr:uid="{9FE03E90-FC53-4B3D-8B28-CEBCF6949D1D}"/>
    <cellStyle name="Normal 4 2 4 2 8" xfId="2515" xr:uid="{00000000-0005-0000-0000-00007A130000}"/>
    <cellStyle name="Normal 4 2 4 2 8 2" xfId="6798" xr:uid="{00000000-0005-0000-0000-00007B130000}"/>
    <cellStyle name="Normal 4 2 4 2 8 2 2" xfId="16124" xr:uid="{8D269C3C-66B2-465D-BC15-FFBBD4981C17}"/>
    <cellStyle name="Normal 4 2 4 2 8 3" xfId="11907" xr:uid="{0C21DDFC-D87A-427C-993B-BB7B84E3ECA0}"/>
    <cellStyle name="Normal 4 2 4 2 9" xfId="4733" xr:uid="{00000000-0005-0000-0000-00007C130000}"/>
    <cellStyle name="Normal 4 2 4 2 9 2" xfId="14059" xr:uid="{5C9FFAF2-ED36-413C-ADF0-1A39CD00B8F6}"/>
    <cellStyle name="Normal 4 2 4 3" xfId="360" xr:uid="{00000000-0005-0000-0000-00007D130000}"/>
    <cellStyle name="Normal 4 2 4 3 10" xfId="9846" xr:uid="{513B9043-60FE-4213-B74A-80F301860C91}"/>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16622" xr:uid="{9C559211-EFF6-493F-B429-EC39779D8DA7}"/>
    <cellStyle name="Normal 4 2 4 3 2 2 2 3" xfId="12405" xr:uid="{109B8AFC-1B75-461A-BBE9-828622334B71}"/>
    <cellStyle name="Normal 4 2 4 3 2 2 3" xfId="5151" xr:uid="{00000000-0005-0000-0000-000082130000}"/>
    <cellStyle name="Normal 4 2 4 3 2 2 3 2" xfId="14477" xr:uid="{E018EF64-462E-488C-B5AB-A34643A7AD56}"/>
    <cellStyle name="Normal 4 2 4 3 2 2 4" xfId="9510" xr:uid="{AA534F18-B7F5-44D9-AE7D-03E6DE45E4F9}"/>
    <cellStyle name="Normal 4 2 4 3 2 2 4 2" xfId="18825" xr:uid="{C655146C-AA86-405C-8DC9-99C57F0A3426}"/>
    <cellStyle name="Normal 4 2 4 3 2 2 5" xfId="10260" xr:uid="{E73C7017-0329-4912-9C6B-B9301FE21BB2}"/>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17035" xr:uid="{D98B5188-2D04-4F92-91F8-FC2DDAD92F52}"/>
    <cellStyle name="Normal 4 2 4 3 2 3 2 3" xfId="12818" xr:uid="{2ADEFEAD-8CA5-48AA-A2B3-41C9F8CDC741}"/>
    <cellStyle name="Normal 4 2 4 3 2 3 3" xfId="5564" xr:uid="{00000000-0005-0000-0000-000086130000}"/>
    <cellStyle name="Normal 4 2 4 3 2 3 3 2" xfId="14890" xr:uid="{D896592D-972E-4E77-B872-3C3A70249707}"/>
    <cellStyle name="Normal 4 2 4 3 2 3 4" xfId="10673" xr:uid="{C227426B-0299-45FC-A6CD-64FDB30F15EC}"/>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17448" xr:uid="{F006DDBC-9DD8-4D19-B15C-DD3D65316652}"/>
    <cellStyle name="Normal 4 2 4 3 2 4 2 3" xfId="13231" xr:uid="{CEBFED3D-D876-4DF8-926A-9FD0A60B7B64}"/>
    <cellStyle name="Normal 4 2 4 3 2 4 3" xfId="5977" xr:uid="{00000000-0005-0000-0000-00008A130000}"/>
    <cellStyle name="Normal 4 2 4 3 2 4 3 2" xfId="15303" xr:uid="{6C2A1705-195B-45B0-AFC6-ED5A65AD398F}"/>
    <cellStyle name="Normal 4 2 4 3 2 4 4" xfId="11086" xr:uid="{7CA89174-F296-484C-B560-90069AFFE4A3}"/>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17861" xr:uid="{242F2693-D6C3-4D94-A490-78610A33F400}"/>
    <cellStyle name="Normal 4 2 4 3 2 5 2 3" xfId="13644" xr:uid="{894B08C3-1773-4FA2-9309-FD773B27FE9F}"/>
    <cellStyle name="Normal 4 2 4 3 2 5 3" xfId="6390" xr:uid="{00000000-0005-0000-0000-00008E130000}"/>
    <cellStyle name="Normal 4 2 4 3 2 5 3 2" xfId="15716" xr:uid="{EE14271A-C961-44C0-83D8-388B825A69F8}"/>
    <cellStyle name="Normal 4 2 4 3 2 5 4" xfId="11499" xr:uid="{8B60BAD1-605E-4E66-9CCD-BDD05C4F1885}"/>
    <cellStyle name="Normal 4 2 4 3 2 6" xfId="2520" xr:uid="{00000000-0005-0000-0000-00008F130000}"/>
    <cellStyle name="Normal 4 2 4 3 2 6 2" xfId="6803" xr:uid="{00000000-0005-0000-0000-000090130000}"/>
    <cellStyle name="Normal 4 2 4 3 2 6 2 2" xfId="16129" xr:uid="{544CFF41-72A0-4E95-A9DD-221CF2A2A0C7}"/>
    <cellStyle name="Normal 4 2 4 3 2 6 3" xfId="11912" xr:uid="{8046390B-258C-434B-A59B-309724C79015}"/>
    <cellStyle name="Normal 4 2 4 3 2 7" xfId="4738" xr:uid="{00000000-0005-0000-0000-000091130000}"/>
    <cellStyle name="Normal 4 2 4 3 2 7 2" xfId="14064" xr:uid="{94FD7706-71AC-493A-A034-6BF61649E9EE}"/>
    <cellStyle name="Normal 4 2 4 3 2 8" xfId="9085" xr:uid="{0181E53C-86DC-4588-8447-D559FCF01541}"/>
    <cellStyle name="Normal 4 2 4 3 2 8 2" xfId="18409" xr:uid="{EE89FF35-9B61-40EF-AA54-DBBBCD0A13DE}"/>
    <cellStyle name="Normal 4 2 4 3 2 9" xfId="9847" xr:uid="{2008136A-F4CC-4427-B4D3-84F547BD6CCE}"/>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16621" xr:uid="{FFCF32C0-6750-4F7E-A768-77AAD38DCD4C}"/>
    <cellStyle name="Normal 4 2 4 3 3 2 3" xfId="12404" xr:uid="{25907312-0618-46DE-8940-18F65D536441}"/>
    <cellStyle name="Normal 4 2 4 3 3 3" xfId="5150" xr:uid="{00000000-0005-0000-0000-000095130000}"/>
    <cellStyle name="Normal 4 2 4 3 3 3 2" xfId="14476" xr:uid="{B6F30580-6F05-4A5E-B9B0-4299B41A45D3}"/>
    <cellStyle name="Normal 4 2 4 3 3 4" xfId="9303" xr:uid="{51CE977A-E9B9-47DD-B6CE-3ECF34A578F1}"/>
    <cellStyle name="Normal 4 2 4 3 3 4 2" xfId="18618" xr:uid="{635E749C-8B5E-40BA-AA3A-BC047D391C63}"/>
    <cellStyle name="Normal 4 2 4 3 3 5" xfId="10259" xr:uid="{1EB64B6E-F5A2-4816-9C86-D0C733A4A6CD}"/>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17034" xr:uid="{7D4F0FED-2919-4C39-B888-B3E072F5AC5A}"/>
    <cellStyle name="Normal 4 2 4 3 4 2 3" xfId="12817" xr:uid="{2CB8D06D-6B96-422E-8809-2C9F5988FDA1}"/>
    <cellStyle name="Normal 4 2 4 3 4 3" xfId="5563" xr:uid="{00000000-0005-0000-0000-000099130000}"/>
    <cellStyle name="Normal 4 2 4 3 4 3 2" xfId="14889" xr:uid="{B7C98007-1F5B-4709-B46C-AD54B801C372}"/>
    <cellStyle name="Normal 4 2 4 3 4 4" xfId="10672" xr:uid="{03220656-7220-46CD-886C-8D0EB7373D41}"/>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17447" xr:uid="{D53D460C-9F21-4ABE-83C2-E1D772B0D49D}"/>
    <cellStyle name="Normal 4 2 4 3 5 2 3" xfId="13230" xr:uid="{AB29332D-46E6-4115-A73C-F16C87689137}"/>
    <cellStyle name="Normal 4 2 4 3 5 3" xfId="5976" xr:uid="{00000000-0005-0000-0000-00009D130000}"/>
    <cellStyle name="Normal 4 2 4 3 5 3 2" xfId="15302" xr:uid="{AB229545-E91B-4E02-AC08-62393A49D85F}"/>
    <cellStyle name="Normal 4 2 4 3 5 4" xfId="11085" xr:uid="{A1943762-D40A-41A6-A913-D2276D6464F3}"/>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17860" xr:uid="{25D18EFE-B281-41D2-9202-160E76B0DB20}"/>
    <cellStyle name="Normal 4 2 4 3 6 2 3" xfId="13643" xr:uid="{26100FD9-10C2-4632-B26E-89F33A078627}"/>
    <cellStyle name="Normal 4 2 4 3 6 3" xfId="6389" xr:uid="{00000000-0005-0000-0000-0000A1130000}"/>
    <cellStyle name="Normal 4 2 4 3 6 3 2" xfId="15715" xr:uid="{CDF97325-E126-4A88-A0D1-A8F2E9C8E7A4}"/>
    <cellStyle name="Normal 4 2 4 3 6 4" xfId="11498" xr:uid="{74BFCE60-AAA4-4D8B-8BBC-4B42E9DBB209}"/>
    <cellStyle name="Normal 4 2 4 3 7" xfId="2519" xr:uid="{00000000-0005-0000-0000-0000A2130000}"/>
    <cellStyle name="Normal 4 2 4 3 7 2" xfId="6802" xr:uid="{00000000-0005-0000-0000-0000A3130000}"/>
    <cellStyle name="Normal 4 2 4 3 7 2 2" xfId="16128" xr:uid="{3164C02F-B099-4EC7-AFF6-7BD35FF6F9B9}"/>
    <cellStyle name="Normal 4 2 4 3 7 3" xfId="11911" xr:uid="{14A52FBD-346B-4BFF-A05B-801919F11751}"/>
    <cellStyle name="Normal 4 2 4 3 8" xfId="4737" xr:uid="{00000000-0005-0000-0000-0000A4130000}"/>
    <cellStyle name="Normal 4 2 4 3 8 2" xfId="14063" xr:uid="{72BD8A1E-558A-4F5E-8EA6-1EE96BE46430}"/>
    <cellStyle name="Normal 4 2 4 3 9" xfId="8878" xr:uid="{B73EE68A-BBFC-4E7A-B773-E14FCCFC8837}"/>
    <cellStyle name="Normal 4 2 4 3 9 2" xfId="18202" xr:uid="{2EA40BE3-2BAE-45AA-A6C0-2E040D7E4293}"/>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16623" xr:uid="{149D70C7-EAE9-4A00-8340-D14A9964F4EE}"/>
    <cellStyle name="Normal 4 2 4 4 2 2 3" xfId="12406" xr:uid="{D4C4A4F5-7F8D-4734-83BD-4D854D910073}"/>
    <cellStyle name="Normal 4 2 4 4 2 3" xfId="5152" xr:uid="{00000000-0005-0000-0000-0000A9130000}"/>
    <cellStyle name="Normal 4 2 4 4 2 3 2" xfId="14478" xr:uid="{0720AB0B-EA61-4F14-AB10-A8FEB49AF1EC}"/>
    <cellStyle name="Normal 4 2 4 4 2 4" xfId="9407" xr:uid="{5D8D6A7A-388E-41EC-80E9-28307FA015D6}"/>
    <cellStyle name="Normal 4 2 4 4 2 4 2" xfId="18722" xr:uid="{103B68DC-5DAC-4092-8877-DF297BC3B56D}"/>
    <cellStyle name="Normal 4 2 4 4 2 5" xfId="10261" xr:uid="{6D50E145-1C60-46DE-8021-F988B62342B4}"/>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17036" xr:uid="{5D0E3434-7A9D-421C-9DAC-2E816552C164}"/>
    <cellStyle name="Normal 4 2 4 4 3 2 3" xfId="12819" xr:uid="{320A4ACA-23CC-40AB-9173-BA1580C9EFE3}"/>
    <cellStyle name="Normal 4 2 4 4 3 3" xfId="5565" xr:uid="{00000000-0005-0000-0000-0000AD130000}"/>
    <cellStyle name="Normal 4 2 4 4 3 3 2" xfId="14891" xr:uid="{77EF0200-3BDC-4CA4-A895-0B35196F2691}"/>
    <cellStyle name="Normal 4 2 4 4 3 4" xfId="10674" xr:uid="{4AB1032B-9C1B-41BE-9F98-4C5FF99692DC}"/>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17449" xr:uid="{C95E55EC-89A2-4E8E-BA52-169F6B24DB07}"/>
    <cellStyle name="Normal 4 2 4 4 4 2 3" xfId="13232" xr:uid="{D2317CB2-0CC4-4141-8ABE-8B56F69EB327}"/>
    <cellStyle name="Normal 4 2 4 4 4 3" xfId="5978" xr:uid="{00000000-0005-0000-0000-0000B1130000}"/>
    <cellStyle name="Normal 4 2 4 4 4 3 2" xfId="15304" xr:uid="{BD8EFF0B-F3CE-4DA8-83E6-F70E1FD7F5C9}"/>
    <cellStyle name="Normal 4 2 4 4 4 4" xfId="11087" xr:uid="{D92380A9-30FC-458F-8E92-7EEE4DED0284}"/>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17862" xr:uid="{DCA4B1FF-3B83-4EED-99FC-B2E23CFECAE3}"/>
    <cellStyle name="Normal 4 2 4 4 5 2 3" xfId="13645" xr:uid="{71E44DDC-BED8-40CC-B7F6-7C0EA2FE9B42}"/>
    <cellStyle name="Normal 4 2 4 4 5 3" xfId="6391" xr:uid="{00000000-0005-0000-0000-0000B5130000}"/>
    <cellStyle name="Normal 4 2 4 4 5 3 2" xfId="15717" xr:uid="{B44096C7-BCCC-49EE-8293-C1E4D504FFCF}"/>
    <cellStyle name="Normal 4 2 4 4 5 4" xfId="11500" xr:uid="{64B7B024-21A1-4B30-BD65-222E4EAAAAD9}"/>
    <cellStyle name="Normal 4 2 4 4 6" xfId="2521" xr:uid="{00000000-0005-0000-0000-0000B6130000}"/>
    <cellStyle name="Normal 4 2 4 4 6 2" xfId="6804" xr:uid="{00000000-0005-0000-0000-0000B7130000}"/>
    <cellStyle name="Normal 4 2 4 4 6 2 2" xfId="16130" xr:uid="{2BB47FC5-C3CF-40F2-99F3-12DD0DE7E3C3}"/>
    <cellStyle name="Normal 4 2 4 4 6 3" xfId="11913" xr:uid="{FD51B7C8-3F81-4164-814A-2282E57AB1EB}"/>
    <cellStyle name="Normal 4 2 4 4 7" xfId="4739" xr:uid="{00000000-0005-0000-0000-0000B8130000}"/>
    <cellStyle name="Normal 4 2 4 4 7 2" xfId="14065" xr:uid="{9D180838-AAFF-459A-8598-0A509D4657E9}"/>
    <cellStyle name="Normal 4 2 4 4 8" xfId="8982" xr:uid="{4C273C9B-E12E-4EF2-812F-666600229207}"/>
    <cellStyle name="Normal 4 2 4 4 8 2" xfId="18306" xr:uid="{380C2308-0537-4ABB-A012-6EEF6BD7271A}"/>
    <cellStyle name="Normal 4 2 4 4 9" xfId="9848" xr:uid="{1A56D997-8994-4D41-AAAB-76BAC44A244D}"/>
    <cellStyle name="Normal 4 2 4 5" xfId="831" xr:uid="{00000000-0005-0000-0000-0000B9130000}"/>
    <cellStyle name="Normal 4 2 4 5 2" xfId="3068" xr:uid="{00000000-0005-0000-0000-0000BA130000}"/>
    <cellStyle name="Normal 4 2 4 5 2 2" xfId="7290" xr:uid="{00000000-0005-0000-0000-0000BB130000}"/>
    <cellStyle name="Normal 4 2 4 5 2 2 2" xfId="16616" xr:uid="{CC60F07E-A92E-4913-AD6E-5100AAF5EDA3}"/>
    <cellStyle name="Normal 4 2 4 5 2 3" xfId="12399" xr:uid="{9CBC55FD-2B86-4D2F-9B82-7F6D62336DFF}"/>
    <cellStyle name="Normal 4 2 4 5 3" xfId="5145" xr:uid="{00000000-0005-0000-0000-0000BC130000}"/>
    <cellStyle name="Normal 4 2 4 5 3 2" xfId="14471" xr:uid="{A6D84ADE-9D5B-4A30-BFA1-B28DDA4BB347}"/>
    <cellStyle name="Normal 4 2 4 5 4" xfId="9199" xr:uid="{1A9A2DC3-2FEA-4A30-A92C-84708E9B2741}"/>
    <cellStyle name="Normal 4 2 4 5 4 2" xfId="18515" xr:uid="{04AD6E6E-188F-4AB8-BE12-F6BA5E439ED0}"/>
    <cellStyle name="Normal 4 2 4 5 5" xfId="10254" xr:uid="{6770C040-2A9C-44D8-BFB0-4D5A66090BC6}"/>
    <cellStyle name="Normal 4 2 4 6" xfId="1251" xr:uid="{00000000-0005-0000-0000-0000BD130000}"/>
    <cellStyle name="Normal 4 2 4 6 2" xfId="3481" xr:uid="{00000000-0005-0000-0000-0000BE130000}"/>
    <cellStyle name="Normal 4 2 4 6 2 2" xfId="7703" xr:uid="{00000000-0005-0000-0000-0000BF130000}"/>
    <cellStyle name="Normal 4 2 4 6 2 2 2" xfId="17029" xr:uid="{BE388FB0-91EB-47D4-B54B-90AFADBC8FA4}"/>
    <cellStyle name="Normal 4 2 4 6 2 3" xfId="12812" xr:uid="{7373DF90-7FF7-40CD-915B-9DD50674C0A4}"/>
    <cellStyle name="Normal 4 2 4 6 3" xfId="5558" xr:uid="{00000000-0005-0000-0000-0000C0130000}"/>
    <cellStyle name="Normal 4 2 4 6 3 2" xfId="14884" xr:uid="{A4B1FF75-9547-4D82-892C-D296CC42DC91}"/>
    <cellStyle name="Normal 4 2 4 6 4" xfId="10667" xr:uid="{8400B13F-EA1B-47C8-8E18-6C6CB9DF9F95}"/>
    <cellStyle name="Normal 4 2 4 7" xfId="1664" xr:uid="{00000000-0005-0000-0000-0000C1130000}"/>
    <cellStyle name="Normal 4 2 4 7 2" xfId="3894" xr:uid="{00000000-0005-0000-0000-0000C2130000}"/>
    <cellStyle name="Normal 4 2 4 7 2 2" xfId="8116" xr:uid="{00000000-0005-0000-0000-0000C3130000}"/>
    <cellStyle name="Normal 4 2 4 7 2 2 2" xfId="17442" xr:uid="{D0B73E81-FB46-4ABE-895E-7405D6BC5C8B}"/>
    <cellStyle name="Normal 4 2 4 7 2 3" xfId="13225" xr:uid="{36AF8B39-510A-44C1-B1A8-73410535B0CB}"/>
    <cellStyle name="Normal 4 2 4 7 3" xfId="5971" xr:uid="{00000000-0005-0000-0000-0000C4130000}"/>
    <cellStyle name="Normal 4 2 4 7 3 2" xfId="15297" xr:uid="{6C7D402A-B24F-47FE-A1B0-5F1B9B8AD9BA}"/>
    <cellStyle name="Normal 4 2 4 7 4" xfId="11080" xr:uid="{CD95A7F2-38D5-4B91-BB8F-37365BC4C7AF}"/>
    <cellStyle name="Normal 4 2 4 8" xfId="2078" xr:uid="{00000000-0005-0000-0000-0000C5130000}"/>
    <cellStyle name="Normal 4 2 4 8 2" xfId="4307" xr:uid="{00000000-0005-0000-0000-0000C6130000}"/>
    <cellStyle name="Normal 4 2 4 8 2 2" xfId="8529" xr:uid="{00000000-0005-0000-0000-0000C7130000}"/>
    <cellStyle name="Normal 4 2 4 8 2 2 2" xfId="17855" xr:uid="{F362F3E3-0391-4AEC-B598-34E53719DF32}"/>
    <cellStyle name="Normal 4 2 4 8 2 3" xfId="13638" xr:uid="{8645A734-B92D-4F0C-B39B-956DC92D81E1}"/>
    <cellStyle name="Normal 4 2 4 8 3" xfId="6384" xr:uid="{00000000-0005-0000-0000-0000C8130000}"/>
    <cellStyle name="Normal 4 2 4 8 3 2" xfId="15710" xr:uid="{2DBBA2F2-45E3-42FE-A9D8-8A8F96AB1CED}"/>
    <cellStyle name="Normal 4 2 4 8 4" xfId="11493" xr:uid="{7E1048D0-A85A-4F6C-B25B-FFA60583C288}"/>
    <cellStyle name="Normal 4 2 4 9" xfId="2514" xr:uid="{00000000-0005-0000-0000-0000C9130000}"/>
    <cellStyle name="Normal 4 2 4 9 2" xfId="6797" xr:uid="{00000000-0005-0000-0000-0000CA130000}"/>
    <cellStyle name="Normal 4 2 4 9 2 2" xfId="16123" xr:uid="{C269C6F1-23DC-4601-832C-855E547E8FB1}"/>
    <cellStyle name="Normal 4 2 4 9 3" xfId="11906" xr:uid="{0C8A6B0E-75A5-4BF8-BE7F-CC46C55AB012}"/>
    <cellStyle name="Normal 4 2 5" xfId="363" xr:uid="{00000000-0005-0000-0000-0000CB130000}"/>
    <cellStyle name="Normal 4 2 5 10" xfId="9849" xr:uid="{73A6F69A-CC3D-49FD-B351-752FE529A48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16625" xr:uid="{8B28199D-1F21-4A28-A9E9-0D12715A334D}"/>
    <cellStyle name="Normal 4 2 5 2 2 2 3" xfId="12408" xr:uid="{48BD9961-3CAC-4B23-AC94-117C9725266E}"/>
    <cellStyle name="Normal 4 2 5 2 2 3" xfId="5154" xr:uid="{00000000-0005-0000-0000-0000D0130000}"/>
    <cellStyle name="Normal 4 2 5 2 2 3 2" xfId="14480" xr:uid="{D7651C80-9568-4461-9E23-4BC79C662FC8}"/>
    <cellStyle name="Normal 4 2 5 2 2 4" xfId="9478" xr:uid="{9FEAEEC2-067D-4244-BB0F-0858128140EB}"/>
    <cellStyle name="Normal 4 2 5 2 2 4 2" xfId="18793" xr:uid="{EA7601C5-B2F9-44D7-B6A4-C84DEAF053A3}"/>
    <cellStyle name="Normal 4 2 5 2 2 5" xfId="10263" xr:uid="{FAF9A15B-893E-4887-B8BF-A2ADE49EE1A9}"/>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17038" xr:uid="{A852D67A-ADEE-472A-A086-2577D38DE49A}"/>
    <cellStyle name="Normal 4 2 5 2 3 2 3" xfId="12821" xr:uid="{F1C418AD-EF0E-42D6-9098-D4C08EEECE74}"/>
    <cellStyle name="Normal 4 2 5 2 3 3" xfId="5567" xr:uid="{00000000-0005-0000-0000-0000D4130000}"/>
    <cellStyle name="Normal 4 2 5 2 3 3 2" xfId="14893" xr:uid="{1B550A3B-FBF1-40C7-BDD9-A796635BEA4D}"/>
    <cellStyle name="Normal 4 2 5 2 3 4" xfId="10676" xr:uid="{78119683-ABD9-4109-B956-2D094B526C2A}"/>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17451" xr:uid="{87566515-9306-44CB-B5D9-0E2BC575EC38}"/>
    <cellStyle name="Normal 4 2 5 2 4 2 3" xfId="13234" xr:uid="{345F6503-E25D-468C-9B01-60642FAA2EA0}"/>
    <cellStyle name="Normal 4 2 5 2 4 3" xfId="5980" xr:uid="{00000000-0005-0000-0000-0000D8130000}"/>
    <cellStyle name="Normal 4 2 5 2 4 3 2" xfId="15306" xr:uid="{B7432306-474A-4F6B-93D3-B90C46B92751}"/>
    <cellStyle name="Normal 4 2 5 2 4 4" xfId="11089" xr:uid="{40242CC5-95BE-4974-A4E4-B4B6D1ED6200}"/>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17864" xr:uid="{087700D8-47FD-4FAD-B9A8-F543270DB298}"/>
    <cellStyle name="Normal 4 2 5 2 5 2 3" xfId="13647" xr:uid="{5A2DD859-72E0-4B85-8AC0-E1BCC3F704AF}"/>
    <cellStyle name="Normal 4 2 5 2 5 3" xfId="6393" xr:uid="{00000000-0005-0000-0000-0000DC130000}"/>
    <cellStyle name="Normal 4 2 5 2 5 3 2" xfId="15719" xr:uid="{C474E235-FD80-4128-8E35-31A5007D4625}"/>
    <cellStyle name="Normal 4 2 5 2 5 4" xfId="11502" xr:uid="{66B47E27-D45A-46C1-B380-88BA6232BE26}"/>
    <cellStyle name="Normal 4 2 5 2 6" xfId="2523" xr:uid="{00000000-0005-0000-0000-0000DD130000}"/>
    <cellStyle name="Normal 4 2 5 2 6 2" xfId="6806" xr:uid="{00000000-0005-0000-0000-0000DE130000}"/>
    <cellStyle name="Normal 4 2 5 2 6 2 2" xfId="16132" xr:uid="{8E127417-A746-4159-A3FD-441B2889B3D7}"/>
    <cellStyle name="Normal 4 2 5 2 6 3" xfId="11915" xr:uid="{A6ADD3A6-64C1-4C08-88FA-07D41ED46428}"/>
    <cellStyle name="Normal 4 2 5 2 7" xfId="4741" xr:uid="{00000000-0005-0000-0000-0000DF130000}"/>
    <cellStyle name="Normal 4 2 5 2 7 2" xfId="14067" xr:uid="{74F09381-CFE3-43AD-8607-059ABF002B3F}"/>
    <cellStyle name="Normal 4 2 5 2 8" xfId="9053" xr:uid="{0AE18A98-D9E6-47B9-86B0-DDAD3BC77B48}"/>
    <cellStyle name="Normal 4 2 5 2 8 2" xfId="18377" xr:uid="{10174436-A837-40CE-9799-343B6614BA7B}"/>
    <cellStyle name="Normal 4 2 5 2 9" xfId="9850" xr:uid="{64805D4E-AC99-4958-A29E-449292DAD1E7}"/>
    <cellStyle name="Normal 4 2 5 3" xfId="839" xr:uid="{00000000-0005-0000-0000-0000E0130000}"/>
    <cellStyle name="Normal 4 2 5 3 2" xfId="3076" xr:uid="{00000000-0005-0000-0000-0000E1130000}"/>
    <cellStyle name="Normal 4 2 5 3 2 2" xfId="7298" xr:uid="{00000000-0005-0000-0000-0000E2130000}"/>
    <cellStyle name="Normal 4 2 5 3 2 2 2" xfId="16624" xr:uid="{A5FC498B-C19C-46BA-83B9-9249D118BBAE}"/>
    <cellStyle name="Normal 4 2 5 3 2 3" xfId="12407" xr:uid="{F936A304-B606-43B6-802A-722C0FE854D0}"/>
    <cellStyle name="Normal 4 2 5 3 3" xfId="5153" xr:uid="{00000000-0005-0000-0000-0000E3130000}"/>
    <cellStyle name="Normal 4 2 5 3 3 2" xfId="14479" xr:uid="{E43621C5-0AF4-4A06-A21C-1C99EA43ADFA}"/>
    <cellStyle name="Normal 4 2 5 3 4" xfId="9271" xr:uid="{41AE7BB1-E3C7-48BD-B24F-55AE39E68BB6}"/>
    <cellStyle name="Normal 4 2 5 3 4 2" xfId="18586" xr:uid="{4E8345EC-E3A3-42FD-8B7C-D26C0E259DA6}"/>
    <cellStyle name="Normal 4 2 5 3 5" xfId="10262" xr:uid="{D8F231BD-E884-4724-B78D-3C08DD98A8E4}"/>
    <cellStyle name="Normal 4 2 5 4" xfId="1259" xr:uid="{00000000-0005-0000-0000-0000E4130000}"/>
    <cellStyle name="Normal 4 2 5 4 2" xfId="3489" xr:uid="{00000000-0005-0000-0000-0000E5130000}"/>
    <cellStyle name="Normal 4 2 5 4 2 2" xfId="7711" xr:uid="{00000000-0005-0000-0000-0000E6130000}"/>
    <cellStyle name="Normal 4 2 5 4 2 2 2" xfId="17037" xr:uid="{73F63BEA-FDB0-43DF-B9AC-160D3B83410C}"/>
    <cellStyle name="Normal 4 2 5 4 2 3" xfId="12820" xr:uid="{EE6D9E3D-9443-44D7-9B15-B4380F942D3D}"/>
    <cellStyle name="Normal 4 2 5 4 3" xfId="5566" xr:uid="{00000000-0005-0000-0000-0000E7130000}"/>
    <cellStyle name="Normal 4 2 5 4 3 2" xfId="14892" xr:uid="{265582B4-9059-4AE0-A6EC-888E719F82BB}"/>
    <cellStyle name="Normal 4 2 5 4 4" xfId="10675" xr:uid="{06D1EE1E-D5AB-4E4D-A988-1EC31C30E889}"/>
    <cellStyle name="Normal 4 2 5 5" xfId="1672" xr:uid="{00000000-0005-0000-0000-0000E8130000}"/>
    <cellStyle name="Normal 4 2 5 5 2" xfId="3902" xr:uid="{00000000-0005-0000-0000-0000E9130000}"/>
    <cellStyle name="Normal 4 2 5 5 2 2" xfId="8124" xr:uid="{00000000-0005-0000-0000-0000EA130000}"/>
    <cellStyle name="Normal 4 2 5 5 2 2 2" xfId="17450" xr:uid="{A83B54DF-5011-4C5D-A7F4-0885CD2BE943}"/>
    <cellStyle name="Normal 4 2 5 5 2 3" xfId="13233" xr:uid="{BA0C69DE-C93F-438F-882B-52B4D6FF4E99}"/>
    <cellStyle name="Normal 4 2 5 5 3" xfId="5979" xr:uid="{00000000-0005-0000-0000-0000EB130000}"/>
    <cellStyle name="Normal 4 2 5 5 3 2" xfId="15305" xr:uid="{FCD145CC-E63E-46B9-9C1C-8CEE9786EE4C}"/>
    <cellStyle name="Normal 4 2 5 5 4" xfId="11088" xr:uid="{1B1D91F9-AA2C-40D0-8E71-C4E9C65CB233}"/>
    <cellStyle name="Normal 4 2 5 6" xfId="2086" xr:uid="{00000000-0005-0000-0000-0000EC130000}"/>
    <cellStyle name="Normal 4 2 5 6 2" xfId="4315" xr:uid="{00000000-0005-0000-0000-0000ED130000}"/>
    <cellStyle name="Normal 4 2 5 6 2 2" xfId="8537" xr:uid="{00000000-0005-0000-0000-0000EE130000}"/>
    <cellStyle name="Normal 4 2 5 6 2 2 2" xfId="17863" xr:uid="{54BCA1AB-8356-4A47-B4B6-799B0AA81A1E}"/>
    <cellStyle name="Normal 4 2 5 6 2 3" xfId="13646" xr:uid="{834BE8D3-F0ED-4DB2-90C2-3D0F06646022}"/>
    <cellStyle name="Normal 4 2 5 6 3" xfId="6392" xr:uid="{00000000-0005-0000-0000-0000EF130000}"/>
    <cellStyle name="Normal 4 2 5 6 3 2" xfId="15718" xr:uid="{1469D576-FAAD-4595-9597-12D1377DB0DC}"/>
    <cellStyle name="Normal 4 2 5 6 4" xfId="11501" xr:uid="{B4DFAF07-1C2F-4DCF-AF6A-B8555A6E5E71}"/>
    <cellStyle name="Normal 4 2 5 7" xfId="2522" xr:uid="{00000000-0005-0000-0000-0000F0130000}"/>
    <cellStyle name="Normal 4 2 5 7 2" xfId="6805" xr:uid="{00000000-0005-0000-0000-0000F1130000}"/>
    <cellStyle name="Normal 4 2 5 7 2 2" xfId="16131" xr:uid="{986B36F1-8D4D-49F0-865D-B0CA184D3296}"/>
    <cellStyle name="Normal 4 2 5 7 3" xfId="11914" xr:uid="{69682270-610C-420A-8338-9B8D09EADAB7}"/>
    <cellStyle name="Normal 4 2 5 8" xfId="4740" xr:uid="{00000000-0005-0000-0000-0000F2130000}"/>
    <cellStyle name="Normal 4 2 5 8 2" xfId="14066" xr:uid="{BA8C9239-FA2C-4F45-8ED4-A0FBD1286DF0}"/>
    <cellStyle name="Normal 4 2 5 9" xfId="8846" xr:uid="{C69C7E2D-02E8-4C87-9C63-A39D0E37A062}"/>
    <cellStyle name="Normal 4 2 5 9 2" xfId="18170" xr:uid="{EFA9C6B4-2B5D-469B-8F13-5CDCB7D6FD2B}"/>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2 2 2" xfId="16626" xr:uid="{E96F20CF-1C2A-4257-9FA6-CF67EE6A68B6}"/>
    <cellStyle name="Normal 4 2 6 2 2 3" xfId="12409" xr:uid="{2FC48AB1-BD9B-4E93-BB41-2F46BA356F56}"/>
    <cellStyle name="Normal 4 2 6 2 3" xfId="5155" xr:uid="{00000000-0005-0000-0000-0000F7130000}"/>
    <cellStyle name="Normal 4 2 6 2 3 2" xfId="14481" xr:uid="{A643FB7C-1A39-4BDC-8C1B-AE9C11BD92C2}"/>
    <cellStyle name="Normal 4 2 6 2 4" xfId="9387" xr:uid="{933EA8C7-37F7-4AF2-922A-47A5CB1A47BC}"/>
    <cellStyle name="Normal 4 2 6 2 4 2" xfId="18702" xr:uid="{4E1629EF-A803-42A1-AC57-AF2B686DE68D}"/>
    <cellStyle name="Normal 4 2 6 2 5" xfId="10264" xr:uid="{E987462C-DBEA-4F33-9D6C-E0E1DEBA9719}"/>
    <cellStyle name="Normal 4 2 6 3" xfId="1261" xr:uid="{00000000-0005-0000-0000-0000F8130000}"/>
    <cellStyle name="Normal 4 2 6 3 2" xfId="3491" xr:uid="{00000000-0005-0000-0000-0000F9130000}"/>
    <cellStyle name="Normal 4 2 6 3 2 2" xfId="7713" xr:uid="{00000000-0005-0000-0000-0000FA130000}"/>
    <cellStyle name="Normal 4 2 6 3 2 2 2" xfId="17039" xr:uid="{28064AE3-DAFE-4873-98AA-45DA4EE11804}"/>
    <cellStyle name="Normal 4 2 6 3 2 3" xfId="12822" xr:uid="{D7B9F19C-119E-4574-92EF-F55E48418D9F}"/>
    <cellStyle name="Normal 4 2 6 3 3" xfId="5568" xr:uid="{00000000-0005-0000-0000-0000FB130000}"/>
    <cellStyle name="Normal 4 2 6 3 3 2" xfId="14894" xr:uid="{D796B3D3-EF1A-452B-9B1A-672554B1977B}"/>
    <cellStyle name="Normal 4 2 6 3 4" xfId="10677" xr:uid="{761CAB64-A897-430B-9017-F34F4F649BD2}"/>
    <cellStyle name="Normal 4 2 6 4" xfId="1674" xr:uid="{00000000-0005-0000-0000-0000FC130000}"/>
    <cellStyle name="Normal 4 2 6 4 2" xfId="3904" xr:uid="{00000000-0005-0000-0000-0000FD130000}"/>
    <cellStyle name="Normal 4 2 6 4 2 2" xfId="8126" xr:uid="{00000000-0005-0000-0000-0000FE130000}"/>
    <cellStyle name="Normal 4 2 6 4 2 2 2" xfId="17452" xr:uid="{607C1B7F-0F9C-4EB7-97AB-6B8B47878FE6}"/>
    <cellStyle name="Normal 4 2 6 4 2 3" xfId="13235" xr:uid="{127AE329-3BC8-4B59-9AA3-BCA29D28D7BA}"/>
    <cellStyle name="Normal 4 2 6 4 3" xfId="5981" xr:uid="{00000000-0005-0000-0000-0000FF130000}"/>
    <cellStyle name="Normal 4 2 6 4 3 2" xfId="15307" xr:uid="{389D8199-8485-4656-8A7A-70EA2B91BFEE}"/>
    <cellStyle name="Normal 4 2 6 4 4" xfId="11090" xr:uid="{954BC4E9-069A-4458-B17A-F50DB254AEA9}"/>
    <cellStyle name="Normal 4 2 6 5" xfId="2088" xr:uid="{00000000-0005-0000-0000-000000140000}"/>
    <cellStyle name="Normal 4 2 6 5 2" xfId="4317" xr:uid="{00000000-0005-0000-0000-000001140000}"/>
    <cellStyle name="Normal 4 2 6 5 2 2" xfId="8539" xr:uid="{00000000-0005-0000-0000-000002140000}"/>
    <cellStyle name="Normal 4 2 6 5 2 2 2" xfId="17865" xr:uid="{3DAAE924-166A-4BA5-BF68-105C37B83011}"/>
    <cellStyle name="Normal 4 2 6 5 2 3" xfId="13648" xr:uid="{40B6622D-31C1-4AC8-947D-BDF850AF0FE2}"/>
    <cellStyle name="Normal 4 2 6 5 3" xfId="6394" xr:uid="{00000000-0005-0000-0000-000003140000}"/>
    <cellStyle name="Normal 4 2 6 5 3 2" xfId="15720" xr:uid="{59905364-33E1-4493-BBE6-15D31F962BF3}"/>
    <cellStyle name="Normal 4 2 6 5 4" xfId="11503" xr:uid="{7213F4F3-4F35-4BC2-A59E-E35D0B7E1F41}"/>
    <cellStyle name="Normal 4 2 6 6" xfId="2524" xr:uid="{00000000-0005-0000-0000-000004140000}"/>
    <cellStyle name="Normal 4 2 6 6 2" xfId="6807" xr:uid="{00000000-0005-0000-0000-000005140000}"/>
    <cellStyle name="Normal 4 2 6 6 2 2" xfId="16133" xr:uid="{AB8F2DC7-7010-4459-87A1-E7D4C650443A}"/>
    <cellStyle name="Normal 4 2 6 6 3" xfId="11916" xr:uid="{C6C9FDF0-6067-48EF-893F-ADED93C24913}"/>
    <cellStyle name="Normal 4 2 6 7" xfId="4742" xr:uid="{00000000-0005-0000-0000-000006140000}"/>
    <cellStyle name="Normal 4 2 6 7 2" xfId="14068" xr:uid="{BA3C3FED-6121-45EB-89F6-0E3B27D7CD7C}"/>
    <cellStyle name="Normal 4 2 6 8" xfId="8962" xr:uid="{1A1596D6-3914-4465-A638-E540359059D2}"/>
    <cellStyle name="Normal 4 2 6 8 2" xfId="18286" xr:uid="{38B1F127-D10D-4646-BBB9-DF51A57E000A}"/>
    <cellStyle name="Normal 4 2 6 9" xfId="9851" xr:uid="{6E3195C1-F831-48B2-8DBF-2E12ADD98DFD}"/>
    <cellStyle name="Normal 4 2 7" xfId="9165" xr:uid="{6363F967-7399-442D-B2CE-00085FF7F1E8}"/>
    <cellStyle name="Normal 4 2 7 2" xfId="18483" xr:uid="{50D7810B-0759-4CF3-AFA1-6ABA1484C8B7}"/>
    <cellStyle name="Normal 4 2 8" xfId="8743" xr:uid="{E2B8331F-47F9-4829-99C7-E05840A106B9}"/>
    <cellStyle name="Normal 4 2 8 2" xfId="18067" xr:uid="{5F7645B0-37C7-4A49-880A-F9C3A9DC3FC2}"/>
    <cellStyle name="Normal 4 3" xfId="366" xr:uid="{00000000-0005-0000-0000-000007140000}"/>
    <cellStyle name="Normal 4 3 10" xfId="9852" xr:uid="{8705B7FA-A9ED-4873-BA18-7C9CBF86D136}"/>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10 2" xfId="18146" xr:uid="{5CE82B23-D30F-44E5-BECC-2295B35371D3}"/>
    <cellStyle name="Normal 4 3 2 2 2 11" xfId="9853" xr:uid="{BB92DD5F-7E7F-4192-9CAF-E064E2E56D53}"/>
    <cellStyle name="Normal 4 3 2 2 2 2" xfId="370" xr:uid="{00000000-0005-0000-0000-00000B140000}"/>
    <cellStyle name="Normal 4 3 2 2 2 2 10" xfId="9854" xr:uid="{69CFAAB2-6B7E-470B-B6A8-3F53EFA197E6}"/>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16630" xr:uid="{3E190AA1-A3C1-4F86-BBBF-420AC84E4D1C}"/>
    <cellStyle name="Normal 4 3 2 2 2 2 2 2 2 3" xfId="12413" xr:uid="{3905C16E-FD67-4D07-84CF-5EEB2B3D562B}"/>
    <cellStyle name="Normal 4 3 2 2 2 2 2 2 3" xfId="5159" xr:uid="{00000000-0005-0000-0000-000010140000}"/>
    <cellStyle name="Normal 4 3 2 2 2 2 2 2 3 2" xfId="14485" xr:uid="{D3BCD40B-A5FB-495B-91BA-3F09DCDF69DE}"/>
    <cellStyle name="Normal 4 3 2 2 2 2 2 2 4" xfId="9557" xr:uid="{4F6BDD99-7BF1-4D2F-9EDC-4F75F1942DB4}"/>
    <cellStyle name="Normal 4 3 2 2 2 2 2 2 4 2" xfId="18872" xr:uid="{85D5DFE1-286E-4789-8040-55C4AEDBC058}"/>
    <cellStyle name="Normal 4 3 2 2 2 2 2 2 5" xfId="10268" xr:uid="{6866CDDA-ABA8-4D5A-9A6F-CFF665B0252F}"/>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17043" xr:uid="{DFB40D9F-0E62-4373-8541-3B4DDA5B52B2}"/>
    <cellStyle name="Normal 4 3 2 2 2 2 2 3 2 3" xfId="12826" xr:uid="{631BC9B8-B49D-4A02-8CB3-95C3B8A58648}"/>
    <cellStyle name="Normal 4 3 2 2 2 2 2 3 3" xfId="5572" xr:uid="{00000000-0005-0000-0000-000014140000}"/>
    <cellStyle name="Normal 4 3 2 2 2 2 2 3 3 2" xfId="14898" xr:uid="{9C1708DF-3198-4D37-98F9-BA13EA6DC97C}"/>
    <cellStyle name="Normal 4 3 2 2 2 2 2 3 4" xfId="10681" xr:uid="{FB906B9E-7E3E-40F2-8AD3-4E7BEE687116}"/>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17456" xr:uid="{887745A8-E1A1-4972-9E9F-9A33B6BAD99F}"/>
    <cellStyle name="Normal 4 3 2 2 2 2 2 4 2 3" xfId="13239" xr:uid="{B065CCEC-5D81-42A2-8655-67E80DA03F87}"/>
    <cellStyle name="Normal 4 3 2 2 2 2 2 4 3" xfId="5985" xr:uid="{00000000-0005-0000-0000-000018140000}"/>
    <cellStyle name="Normal 4 3 2 2 2 2 2 4 3 2" xfId="15311" xr:uid="{BE6C6ABE-40A9-46BE-8978-1A579A47A4C5}"/>
    <cellStyle name="Normal 4 3 2 2 2 2 2 4 4" xfId="11094" xr:uid="{95EDF1E7-B288-409D-B931-DB52CCE42CC9}"/>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17869" xr:uid="{D10C551B-1773-4565-852E-1C015F8ECEC9}"/>
    <cellStyle name="Normal 4 3 2 2 2 2 2 5 2 3" xfId="13652" xr:uid="{BFEB2862-E8AE-4289-BA79-E71FA44893E2}"/>
    <cellStyle name="Normal 4 3 2 2 2 2 2 5 3" xfId="6398" xr:uid="{00000000-0005-0000-0000-00001C140000}"/>
    <cellStyle name="Normal 4 3 2 2 2 2 2 5 3 2" xfId="15724" xr:uid="{8F653104-ADC0-4EC7-9F0F-AB9047C7259C}"/>
    <cellStyle name="Normal 4 3 2 2 2 2 2 5 4" xfId="11507" xr:uid="{39A7F8C9-3FC4-4998-802F-072F19CD9B61}"/>
    <cellStyle name="Normal 4 3 2 2 2 2 2 6" xfId="2528" xr:uid="{00000000-0005-0000-0000-00001D140000}"/>
    <cellStyle name="Normal 4 3 2 2 2 2 2 6 2" xfId="6811" xr:uid="{00000000-0005-0000-0000-00001E140000}"/>
    <cellStyle name="Normal 4 3 2 2 2 2 2 6 2 2" xfId="16137" xr:uid="{9795FB15-1502-4C96-AB40-E7EC1FACEBFD}"/>
    <cellStyle name="Normal 4 3 2 2 2 2 2 6 3" xfId="11920" xr:uid="{9F124C7B-16A1-436A-93F6-441664D1F897}"/>
    <cellStyle name="Normal 4 3 2 2 2 2 2 7" xfId="4746" xr:uid="{00000000-0005-0000-0000-00001F140000}"/>
    <cellStyle name="Normal 4 3 2 2 2 2 2 7 2" xfId="14072" xr:uid="{CF194004-3695-4315-BEEE-AD01084F3D79}"/>
    <cellStyle name="Normal 4 3 2 2 2 2 2 8" xfId="9132" xr:uid="{14F6ED12-EABF-4C82-AD59-55D351026913}"/>
    <cellStyle name="Normal 4 3 2 2 2 2 2 8 2" xfId="18456" xr:uid="{28F0F3B3-A0DC-4426-BB72-C96AB0DFB2EC}"/>
    <cellStyle name="Normal 4 3 2 2 2 2 2 9" xfId="9855" xr:uid="{0D9DB822-D02F-4122-8028-10AD980CEA61}"/>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16629" xr:uid="{0087BF2A-4B08-44CE-851E-5358FF6D50CB}"/>
    <cellStyle name="Normal 4 3 2 2 2 2 3 2 3" xfId="12412" xr:uid="{E0FB4E97-FBE4-4EB3-A34D-E38B7F31D44C}"/>
    <cellStyle name="Normal 4 3 2 2 2 2 3 3" xfId="5158" xr:uid="{00000000-0005-0000-0000-000023140000}"/>
    <cellStyle name="Normal 4 3 2 2 2 2 3 3 2" xfId="14484" xr:uid="{8F2DB450-1757-4B4D-8225-C1B02AC8B1DC}"/>
    <cellStyle name="Normal 4 3 2 2 2 2 3 4" xfId="9350" xr:uid="{DFFEAFB7-A284-4FD9-B115-C19DA011CCC7}"/>
    <cellStyle name="Normal 4 3 2 2 2 2 3 4 2" xfId="18665" xr:uid="{ABA39DC0-6DCF-4E8D-840B-1462ADC4296C}"/>
    <cellStyle name="Normal 4 3 2 2 2 2 3 5" xfId="10267" xr:uid="{3C206550-803F-438B-9F41-0FE71A9716CD}"/>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17042" xr:uid="{F3411F8E-D05C-4056-A20E-8D60E3E2364E}"/>
    <cellStyle name="Normal 4 3 2 2 2 2 4 2 3" xfId="12825" xr:uid="{21C60FDF-94FC-4529-AA77-90732BE78C84}"/>
    <cellStyle name="Normal 4 3 2 2 2 2 4 3" xfId="5571" xr:uid="{00000000-0005-0000-0000-000027140000}"/>
    <cellStyle name="Normal 4 3 2 2 2 2 4 3 2" xfId="14897" xr:uid="{3900DA86-A973-4C41-A31D-F266E4196E36}"/>
    <cellStyle name="Normal 4 3 2 2 2 2 4 4" xfId="10680" xr:uid="{FFBC9D67-14B3-4A5B-80F8-7D02EB3EC986}"/>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17455" xr:uid="{617FC498-51ED-4C7F-97D1-FA99F2AC830C}"/>
    <cellStyle name="Normal 4 3 2 2 2 2 5 2 3" xfId="13238" xr:uid="{6AFD9BBB-7826-4326-A1BB-547801B34A9C}"/>
    <cellStyle name="Normal 4 3 2 2 2 2 5 3" xfId="5984" xr:uid="{00000000-0005-0000-0000-00002B140000}"/>
    <cellStyle name="Normal 4 3 2 2 2 2 5 3 2" xfId="15310" xr:uid="{3CF4FF32-DE58-4CEA-8033-0BCECA786FB2}"/>
    <cellStyle name="Normal 4 3 2 2 2 2 5 4" xfId="11093" xr:uid="{24CFE1AA-6554-4C9A-B023-F14B3A5F24B7}"/>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17868" xr:uid="{40DE16EF-29FB-46EF-9C78-8B22E076C8C8}"/>
    <cellStyle name="Normal 4 3 2 2 2 2 6 2 3" xfId="13651" xr:uid="{9D918404-D39B-4484-AAD6-AB899445A22C}"/>
    <cellStyle name="Normal 4 3 2 2 2 2 6 3" xfId="6397" xr:uid="{00000000-0005-0000-0000-00002F140000}"/>
    <cellStyle name="Normal 4 3 2 2 2 2 6 3 2" xfId="15723" xr:uid="{6841C946-F295-49D6-B49E-48AFFF4CF559}"/>
    <cellStyle name="Normal 4 3 2 2 2 2 6 4" xfId="11506" xr:uid="{CE2CDF32-15C4-494C-9985-3EC2C2B4100E}"/>
    <cellStyle name="Normal 4 3 2 2 2 2 7" xfId="2527" xr:uid="{00000000-0005-0000-0000-000030140000}"/>
    <cellStyle name="Normal 4 3 2 2 2 2 7 2" xfId="6810" xr:uid="{00000000-0005-0000-0000-000031140000}"/>
    <cellStyle name="Normal 4 3 2 2 2 2 7 2 2" xfId="16136" xr:uid="{09330E0B-AA6F-4B77-B568-AE2CBDBC53D5}"/>
    <cellStyle name="Normal 4 3 2 2 2 2 7 3" xfId="11919" xr:uid="{B3944C17-EBCC-4969-9D4B-6A201B3A429C}"/>
    <cellStyle name="Normal 4 3 2 2 2 2 8" xfId="4745" xr:uid="{00000000-0005-0000-0000-000032140000}"/>
    <cellStyle name="Normal 4 3 2 2 2 2 8 2" xfId="14071" xr:uid="{C21E2F18-820C-498F-844E-6F4FDC101C49}"/>
    <cellStyle name="Normal 4 3 2 2 2 2 9" xfId="8925" xr:uid="{71BB8AFA-37D7-474D-A12B-C284DDE23CE9}"/>
    <cellStyle name="Normal 4 3 2 2 2 2 9 2" xfId="18249" xr:uid="{CDBC30CE-25B7-4760-A640-BE9F9C3A04E3}"/>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16631" xr:uid="{44BB2C4F-9FDB-4A95-9539-EB5FBEF4AF8B}"/>
    <cellStyle name="Normal 4 3 2 2 2 3 2 2 3" xfId="12414" xr:uid="{EA545F25-0E5A-4F16-AD42-E4D517435C15}"/>
    <cellStyle name="Normal 4 3 2 2 2 3 2 3" xfId="5160" xr:uid="{00000000-0005-0000-0000-000037140000}"/>
    <cellStyle name="Normal 4 3 2 2 2 3 2 3 2" xfId="14486" xr:uid="{062A4B1C-745D-4DE2-8948-47461EB24217}"/>
    <cellStyle name="Normal 4 3 2 2 2 3 2 4" xfId="9454" xr:uid="{B81F5EAA-7D8E-43B5-94D7-313E66088BA5}"/>
    <cellStyle name="Normal 4 3 2 2 2 3 2 4 2" xfId="18769" xr:uid="{5FF1B8E0-3F98-441E-A50F-F449A34D80DB}"/>
    <cellStyle name="Normal 4 3 2 2 2 3 2 5" xfId="10269" xr:uid="{F7D879B6-87AE-4A13-8C30-751650E075D3}"/>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17044" xr:uid="{791E9CD9-22B8-4C8F-A078-EAF156CB3E4C}"/>
    <cellStyle name="Normal 4 3 2 2 2 3 3 2 3" xfId="12827" xr:uid="{A95C7203-EC7D-4D45-AFF8-13CF6AFE4AFE}"/>
    <cellStyle name="Normal 4 3 2 2 2 3 3 3" xfId="5573" xr:uid="{00000000-0005-0000-0000-00003B140000}"/>
    <cellStyle name="Normal 4 3 2 2 2 3 3 3 2" xfId="14899" xr:uid="{9A33BFCD-4E6B-4036-BF6D-405BECF92A01}"/>
    <cellStyle name="Normal 4 3 2 2 2 3 3 4" xfId="10682" xr:uid="{A5CF5361-47B2-4640-B472-D8FB4C11987A}"/>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17457" xr:uid="{465BB784-B39A-41D0-A0CD-FA12B50BC8EF}"/>
    <cellStyle name="Normal 4 3 2 2 2 3 4 2 3" xfId="13240" xr:uid="{DF70C023-14E4-478C-9185-A5E47BE099EF}"/>
    <cellStyle name="Normal 4 3 2 2 2 3 4 3" xfId="5986" xr:uid="{00000000-0005-0000-0000-00003F140000}"/>
    <cellStyle name="Normal 4 3 2 2 2 3 4 3 2" xfId="15312" xr:uid="{8049B769-F1B7-4CF2-ABB0-951CD2A7C118}"/>
    <cellStyle name="Normal 4 3 2 2 2 3 4 4" xfId="11095" xr:uid="{345C077B-B95F-480D-BFDB-D5DE8AEF4CA7}"/>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17870" xr:uid="{91379BF3-82D6-40C5-B001-64FD2563DE53}"/>
    <cellStyle name="Normal 4 3 2 2 2 3 5 2 3" xfId="13653" xr:uid="{61F22A32-5D08-4E8E-96B7-11B075220D6C}"/>
    <cellStyle name="Normal 4 3 2 2 2 3 5 3" xfId="6399" xr:uid="{00000000-0005-0000-0000-000043140000}"/>
    <cellStyle name="Normal 4 3 2 2 2 3 5 3 2" xfId="15725" xr:uid="{815AA221-C3E7-49C2-88B0-849C6A9A987C}"/>
    <cellStyle name="Normal 4 3 2 2 2 3 5 4" xfId="11508" xr:uid="{2C96EBFC-A29B-4162-87CB-E4FB9A2A292B}"/>
    <cellStyle name="Normal 4 3 2 2 2 3 6" xfId="2529" xr:uid="{00000000-0005-0000-0000-000044140000}"/>
    <cellStyle name="Normal 4 3 2 2 2 3 6 2" xfId="6812" xr:uid="{00000000-0005-0000-0000-000045140000}"/>
    <cellStyle name="Normal 4 3 2 2 2 3 6 2 2" xfId="16138" xr:uid="{3C894225-E1AE-4797-8AB9-3E16EC976EFC}"/>
    <cellStyle name="Normal 4 3 2 2 2 3 6 3" xfId="11921" xr:uid="{C74DEED0-788F-4000-8AE0-830634DA70DA}"/>
    <cellStyle name="Normal 4 3 2 2 2 3 7" xfId="4747" xr:uid="{00000000-0005-0000-0000-000046140000}"/>
    <cellStyle name="Normal 4 3 2 2 2 3 7 2" xfId="14073" xr:uid="{116A9822-BCDC-44E1-8B42-8DC24370326B}"/>
    <cellStyle name="Normal 4 3 2 2 2 3 8" xfId="9029" xr:uid="{CC421D7E-69EF-4D96-A95C-E67F046F8D14}"/>
    <cellStyle name="Normal 4 3 2 2 2 3 8 2" xfId="18353" xr:uid="{BEEB8DD8-1896-47D9-94DA-EFC68669F7B0}"/>
    <cellStyle name="Normal 4 3 2 2 2 3 9" xfId="9856" xr:uid="{026C3A75-DD6E-4978-87D5-F3CAC2243F2B}"/>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16628" xr:uid="{09106C51-7D8F-4C29-9A80-D27DB5C42AD6}"/>
    <cellStyle name="Normal 4 3 2 2 2 4 2 3" xfId="12411" xr:uid="{4ED01042-BB48-4834-B9C4-CC315FE9CBC3}"/>
    <cellStyle name="Normal 4 3 2 2 2 4 3" xfId="5157" xr:uid="{00000000-0005-0000-0000-00004A140000}"/>
    <cellStyle name="Normal 4 3 2 2 2 4 3 2" xfId="14483" xr:uid="{10A10428-4812-4AEB-A87F-41B4EC714EB3}"/>
    <cellStyle name="Normal 4 3 2 2 2 4 4" xfId="9247" xr:uid="{70D9D224-DB0B-42B4-B4A9-BC88F455C395}"/>
    <cellStyle name="Normal 4 3 2 2 2 4 4 2" xfId="18562" xr:uid="{F4D719CD-D589-4C6D-BA2E-12B09A308D82}"/>
    <cellStyle name="Normal 4 3 2 2 2 4 5" xfId="10266" xr:uid="{4566D38A-9FC8-4F35-84F8-B21F16C06C21}"/>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17041" xr:uid="{CD49D853-1082-4D46-94D7-32310A6230C5}"/>
    <cellStyle name="Normal 4 3 2 2 2 5 2 3" xfId="12824" xr:uid="{D44EB8DB-99D5-4C50-944D-2E036A1A4572}"/>
    <cellStyle name="Normal 4 3 2 2 2 5 3" xfId="5570" xr:uid="{00000000-0005-0000-0000-00004E140000}"/>
    <cellStyle name="Normal 4 3 2 2 2 5 3 2" xfId="14896" xr:uid="{E88B88A3-F5FE-41A2-9C93-6F2C33FB272C}"/>
    <cellStyle name="Normal 4 3 2 2 2 5 4" xfId="10679" xr:uid="{0983EDAD-FD60-410C-A38D-4766A30CA457}"/>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17454" xr:uid="{D5FC867D-4A07-4D48-B441-DDDF79D4529C}"/>
    <cellStyle name="Normal 4 3 2 2 2 6 2 3" xfId="13237" xr:uid="{4CEF3F7A-F92F-44D3-B9A3-A0B33ABD1B32}"/>
    <cellStyle name="Normal 4 3 2 2 2 6 3" xfId="5983" xr:uid="{00000000-0005-0000-0000-000052140000}"/>
    <cellStyle name="Normal 4 3 2 2 2 6 3 2" xfId="15309" xr:uid="{A1625DAD-384E-451C-AEA2-E7970331973B}"/>
    <cellStyle name="Normal 4 3 2 2 2 6 4" xfId="11092" xr:uid="{3F03CEA5-DC09-4F7B-B383-C7790A98603E}"/>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17867" xr:uid="{1502375E-20F6-4E58-9845-BBCFDF4C1E0E}"/>
    <cellStyle name="Normal 4 3 2 2 2 7 2 3" xfId="13650" xr:uid="{965C2E38-FA02-42C5-8AFD-F8D8EDB5B8ED}"/>
    <cellStyle name="Normal 4 3 2 2 2 7 3" xfId="6396" xr:uid="{00000000-0005-0000-0000-000056140000}"/>
    <cellStyle name="Normal 4 3 2 2 2 7 3 2" xfId="15722" xr:uid="{4D4C160E-54E6-4E4F-A433-D6258892BDB6}"/>
    <cellStyle name="Normal 4 3 2 2 2 7 4" xfId="11505" xr:uid="{AC12E9BA-A803-4DFA-942E-E6B229C18610}"/>
    <cellStyle name="Normal 4 3 2 2 2 8" xfId="2526" xr:uid="{00000000-0005-0000-0000-000057140000}"/>
    <cellStyle name="Normal 4 3 2 2 2 8 2" xfId="6809" xr:uid="{00000000-0005-0000-0000-000058140000}"/>
    <cellStyle name="Normal 4 3 2 2 2 8 2 2" xfId="16135" xr:uid="{848649EC-59CD-4D9B-8D9E-6A91E4C84995}"/>
    <cellStyle name="Normal 4 3 2 2 2 8 3" xfId="11918" xr:uid="{10C11EF0-0C0D-4D8B-BD6A-E6CFAE5B196D}"/>
    <cellStyle name="Normal 4 3 2 2 2 9" xfId="4744" xr:uid="{00000000-0005-0000-0000-000059140000}"/>
    <cellStyle name="Normal 4 3 2 2 2 9 2" xfId="14070" xr:uid="{530229C4-1CAA-4EF4-9E0D-6DE4C8E93163}"/>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10 2" xfId="18145" xr:uid="{F7C62B16-5EBC-491B-A360-66E68626DDAA}"/>
    <cellStyle name="Normal 4 3 3 11" xfId="9857" xr:uid="{B54BC105-3A23-4E70-B00D-74173174E150}"/>
    <cellStyle name="Normal 4 3 3 2" xfId="375" xr:uid="{00000000-0005-0000-0000-00005E140000}"/>
    <cellStyle name="Normal 4 3 3 2 10" xfId="9858" xr:uid="{13F6AC9E-4159-4808-BE1E-A704C9E5FF83}"/>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16634" xr:uid="{FD7871B7-C553-4122-849F-623E5841224A}"/>
    <cellStyle name="Normal 4 3 3 2 2 2 2 3" xfId="12417" xr:uid="{E8A40B8B-28AE-485D-AF81-E5EEE6C3848A}"/>
    <cellStyle name="Normal 4 3 3 2 2 2 3" xfId="5163" xr:uid="{00000000-0005-0000-0000-000063140000}"/>
    <cellStyle name="Normal 4 3 3 2 2 2 3 2" xfId="14489" xr:uid="{4DCCE37C-B491-4F73-9C5B-133903B372E8}"/>
    <cellStyle name="Normal 4 3 3 2 2 2 4" xfId="9556" xr:uid="{7233D5E9-9F1E-43FF-8391-DCCFDF8A705D}"/>
    <cellStyle name="Normal 4 3 3 2 2 2 4 2" xfId="18871" xr:uid="{7FC14F19-3E5C-4A46-AA86-8B962C37EE02}"/>
    <cellStyle name="Normal 4 3 3 2 2 2 5" xfId="10272" xr:uid="{B78C2982-EB8B-455D-8808-702CDE8AB8A1}"/>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17047" xr:uid="{034813CB-9CE1-424D-A038-EA81DE7F63A9}"/>
    <cellStyle name="Normal 4 3 3 2 2 3 2 3" xfId="12830" xr:uid="{2B7B3087-002F-4798-A4EE-37EAF506EFF3}"/>
    <cellStyle name="Normal 4 3 3 2 2 3 3" xfId="5576" xr:uid="{00000000-0005-0000-0000-000067140000}"/>
    <cellStyle name="Normal 4 3 3 2 2 3 3 2" xfId="14902" xr:uid="{DE4310FD-DCB0-4B9E-86FE-45334BA0B802}"/>
    <cellStyle name="Normal 4 3 3 2 2 3 4" xfId="10685" xr:uid="{209316B0-A83C-4FA7-8DA6-E1AB16AC4BA6}"/>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17460" xr:uid="{4A62CA65-1970-4EBF-9774-5D99B5F87FD3}"/>
    <cellStyle name="Normal 4 3 3 2 2 4 2 3" xfId="13243" xr:uid="{7FD0E523-ED25-407B-A27E-9683F956FB6E}"/>
    <cellStyle name="Normal 4 3 3 2 2 4 3" xfId="5989" xr:uid="{00000000-0005-0000-0000-00006B140000}"/>
    <cellStyle name="Normal 4 3 3 2 2 4 3 2" xfId="15315" xr:uid="{4BCA6C62-9C9E-43A4-92E8-2A44C146869E}"/>
    <cellStyle name="Normal 4 3 3 2 2 4 4" xfId="11098" xr:uid="{971E3D0E-AD4C-4C46-9D5F-CC1A3BEF17A8}"/>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17873" xr:uid="{F8DF8915-4790-4338-AB5B-F53A8D28CF45}"/>
    <cellStyle name="Normal 4 3 3 2 2 5 2 3" xfId="13656" xr:uid="{B62952B8-4AA3-4ABC-AAAC-B9EF923BD0E4}"/>
    <cellStyle name="Normal 4 3 3 2 2 5 3" xfId="6402" xr:uid="{00000000-0005-0000-0000-00006F140000}"/>
    <cellStyle name="Normal 4 3 3 2 2 5 3 2" xfId="15728" xr:uid="{92CA9821-F227-4DCD-930E-E6B158DD742E}"/>
    <cellStyle name="Normal 4 3 3 2 2 5 4" xfId="11511" xr:uid="{6F430EBA-4BE9-4341-B76C-59468172E502}"/>
    <cellStyle name="Normal 4 3 3 2 2 6" xfId="2532" xr:uid="{00000000-0005-0000-0000-000070140000}"/>
    <cellStyle name="Normal 4 3 3 2 2 6 2" xfId="6815" xr:uid="{00000000-0005-0000-0000-000071140000}"/>
    <cellStyle name="Normal 4 3 3 2 2 6 2 2" xfId="16141" xr:uid="{B02D0830-9982-4A35-8F37-4C21E23A0C88}"/>
    <cellStyle name="Normal 4 3 3 2 2 6 3" xfId="11924" xr:uid="{030B225F-7C68-4896-B579-24609EA4C13E}"/>
    <cellStyle name="Normal 4 3 3 2 2 7" xfId="4750" xr:uid="{00000000-0005-0000-0000-000072140000}"/>
    <cellStyle name="Normal 4 3 3 2 2 7 2" xfId="14076" xr:uid="{2900BC11-7ADA-416A-8A5E-63D866E83FA7}"/>
    <cellStyle name="Normal 4 3 3 2 2 8" xfId="9131" xr:uid="{D7BA3B10-6765-4B57-99D1-3AF7343772F8}"/>
    <cellStyle name="Normal 4 3 3 2 2 8 2" xfId="18455" xr:uid="{A22721AB-9305-4BEB-B5D1-5CFB700A4796}"/>
    <cellStyle name="Normal 4 3 3 2 2 9" xfId="9859" xr:uid="{B4B87CC2-C0D8-480C-872B-71DAC3488D8A}"/>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16633" xr:uid="{D9AB0D47-E329-482F-8B6D-CE34FDF0C792}"/>
    <cellStyle name="Normal 4 3 3 2 3 2 3" xfId="12416" xr:uid="{2BED6F76-4B1F-443C-9459-D58387AC5A88}"/>
    <cellStyle name="Normal 4 3 3 2 3 3" xfId="5162" xr:uid="{00000000-0005-0000-0000-000076140000}"/>
    <cellStyle name="Normal 4 3 3 2 3 3 2" xfId="14488" xr:uid="{7DB8E8BE-759F-42B1-8E05-22C0E1D38C9F}"/>
    <cellStyle name="Normal 4 3 3 2 3 4" xfId="9349" xr:uid="{E498700C-D7AE-42FC-8EB1-59BA2C1BA6B9}"/>
    <cellStyle name="Normal 4 3 3 2 3 4 2" xfId="18664" xr:uid="{704C2AE4-536F-4999-A28D-5640378703A7}"/>
    <cellStyle name="Normal 4 3 3 2 3 5" xfId="10271" xr:uid="{13A0CFA3-3EFE-4500-A91F-8BE55DA90267}"/>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17046" xr:uid="{BA0CC652-C4AA-4924-A632-DF1CAAA85DEE}"/>
    <cellStyle name="Normal 4 3 3 2 4 2 3" xfId="12829" xr:uid="{5E388097-825D-453B-84B6-0D6DA44C340E}"/>
    <cellStyle name="Normal 4 3 3 2 4 3" xfId="5575" xr:uid="{00000000-0005-0000-0000-00007A140000}"/>
    <cellStyle name="Normal 4 3 3 2 4 3 2" xfId="14901" xr:uid="{C2BE6875-54CE-489B-A8E4-E669E5E3E457}"/>
    <cellStyle name="Normal 4 3 3 2 4 4" xfId="10684" xr:uid="{4A23A923-B3A5-45A3-AD91-28C1E38A8329}"/>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17459" xr:uid="{B4972FEB-CD62-4C06-8CCA-55F7140BED06}"/>
    <cellStyle name="Normal 4 3 3 2 5 2 3" xfId="13242" xr:uid="{D41E3992-A0DC-43C9-AFC6-CFBF1749AB9D}"/>
    <cellStyle name="Normal 4 3 3 2 5 3" xfId="5988" xr:uid="{00000000-0005-0000-0000-00007E140000}"/>
    <cellStyle name="Normal 4 3 3 2 5 3 2" xfId="15314" xr:uid="{4F35A26F-A964-48F9-9508-5B2D4DF69DF4}"/>
    <cellStyle name="Normal 4 3 3 2 5 4" xfId="11097" xr:uid="{DD00E0E4-996C-44C5-BD70-2F34F9494143}"/>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17872" xr:uid="{C8C22366-1354-4F0E-89CE-7F400B254348}"/>
    <cellStyle name="Normal 4 3 3 2 6 2 3" xfId="13655" xr:uid="{6E33AEA2-064C-46CF-97CD-046F1B661DBA}"/>
    <cellStyle name="Normal 4 3 3 2 6 3" xfId="6401" xr:uid="{00000000-0005-0000-0000-000082140000}"/>
    <cellStyle name="Normal 4 3 3 2 6 3 2" xfId="15727" xr:uid="{985C4961-94C4-48C9-A10E-9F9807324D8C}"/>
    <cellStyle name="Normal 4 3 3 2 6 4" xfId="11510" xr:uid="{EB888FEB-7753-42E5-9F63-73C13CCA459F}"/>
    <cellStyle name="Normal 4 3 3 2 7" xfId="2531" xr:uid="{00000000-0005-0000-0000-000083140000}"/>
    <cellStyle name="Normal 4 3 3 2 7 2" xfId="6814" xr:uid="{00000000-0005-0000-0000-000084140000}"/>
    <cellStyle name="Normal 4 3 3 2 7 2 2" xfId="16140" xr:uid="{98D4B694-7D0D-4FAA-AD8D-82266B16583E}"/>
    <cellStyle name="Normal 4 3 3 2 7 3" xfId="11923" xr:uid="{63A2BC03-2798-4427-AFAB-BAEECDFF4261}"/>
    <cellStyle name="Normal 4 3 3 2 8" xfId="4749" xr:uid="{00000000-0005-0000-0000-000085140000}"/>
    <cellStyle name="Normal 4 3 3 2 8 2" xfId="14075" xr:uid="{DBC4337E-B14F-442D-BEA6-0308C10F16DB}"/>
    <cellStyle name="Normal 4 3 3 2 9" xfId="8924" xr:uid="{F9E914C5-63E8-4CB8-8EA1-7427CE35C4AA}"/>
    <cellStyle name="Normal 4 3 3 2 9 2" xfId="18248" xr:uid="{B08EE021-F72E-480E-BB2F-014EDC0193D9}"/>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16635" xr:uid="{E3B05784-3740-46F1-BBD1-ECE85CF48142}"/>
    <cellStyle name="Normal 4 3 3 3 2 2 3" xfId="12418" xr:uid="{48F32114-3D5E-47C7-BD1A-065FF4C98575}"/>
    <cellStyle name="Normal 4 3 3 3 2 3" xfId="5164" xr:uid="{00000000-0005-0000-0000-00008A140000}"/>
    <cellStyle name="Normal 4 3 3 3 2 3 2" xfId="14490" xr:uid="{A9A16591-BBA7-46F3-AB38-CC6BFA46CEA5}"/>
    <cellStyle name="Normal 4 3 3 3 2 4" xfId="9453" xr:uid="{18D68920-503C-42C1-A733-EBE17DC6D008}"/>
    <cellStyle name="Normal 4 3 3 3 2 4 2" xfId="18768" xr:uid="{391DDB0F-9729-430D-9C25-165DE8A0E748}"/>
    <cellStyle name="Normal 4 3 3 3 2 5" xfId="10273" xr:uid="{E3D5D118-C371-4672-868C-E4AC81868D6B}"/>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17048" xr:uid="{9C1509C9-6B03-46F1-9903-757F6306DEFC}"/>
    <cellStyle name="Normal 4 3 3 3 3 2 3" xfId="12831" xr:uid="{1501A738-FD76-4DD0-BDAB-7CC1B21EC4E4}"/>
    <cellStyle name="Normal 4 3 3 3 3 3" xfId="5577" xr:uid="{00000000-0005-0000-0000-00008E140000}"/>
    <cellStyle name="Normal 4 3 3 3 3 3 2" xfId="14903" xr:uid="{44CAAB47-9734-41C4-BBDA-E5A674876CEC}"/>
    <cellStyle name="Normal 4 3 3 3 3 4" xfId="10686" xr:uid="{AAA7EF4C-6AD7-4D90-874B-9F31AE15F252}"/>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17461" xr:uid="{6A7E9EC9-7DE3-4BEE-BB9C-9145EE51EFA9}"/>
    <cellStyle name="Normal 4 3 3 3 4 2 3" xfId="13244" xr:uid="{5333BE8B-8088-424E-BA13-CF53AB4F277B}"/>
    <cellStyle name="Normal 4 3 3 3 4 3" xfId="5990" xr:uid="{00000000-0005-0000-0000-000092140000}"/>
    <cellStyle name="Normal 4 3 3 3 4 3 2" xfId="15316" xr:uid="{DD893E94-1926-461A-8392-226BDBD20F09}"/>
    <cellStyle name="Normal 4 3 3 3 4 4" xfId="11099" xr:uid="{B7C202E7-E219-4A86-83D9-23E30CB896DD}"/>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17874" xr:uid="{61D67D69-6D01-4F72-B490-FE1A4ED10CA9}"/>
    <cellStyle name="Normal 4 3 3 3 5 2 3" xfId="13657" xr:uid="{30EA7B6E-B52B-492D-AC4E-3AFABD089988}"/>
    <cellStyle name="Normal 4 3 3 3 5 3" xfId="6403" xr:uid="{00000000-0005-0000-0000-000096140000}"/>
    <cellStyle name="Normal 4 3 3 3 5 3 2" xfId="15729" xr:uid="{F3045B0C-83BE-4F8D-AF72-B3E668DDBC1C}"/>
    <cellStyle name="Normal 4 3 3 3 5 4" xfId="11512" xr:uid="{9655D73A-69F6-4DFC-8DF2-E8E07FD14DC5}"/>
    <cellStyle name="Normal 4 3 3 3 6" xfId="2533" xr:uid="{00000000-0005-0000-0000-000097140000}"/>
    <cellStyle name="Normal 4 3 3 3 6 2" xfId="6816" xr:uid="{00000000-0005-0000-0000-000098140000}"/>
    <cellStyle name="Normal 4 3 3 3 6 2 2" xfId="16142" xr:uid="{FE67E444-AE5C-4E0E-AE9D-1CDA88E43FA8}"/>
    <cellStyle name="Normal 4 3 3 3 6 3" xfId="11925" xr:uid="{2963318B-BA6D-4212-88EF-6C6E9D4ADDB7}"/>
    <cellStyle name="Normal 4 3 3 3 7" xfId="4751" xr:uid="{00000000-0005-0000-0000-000099140000}"/>
    <cellStyle name="Normal 4 3 3 3 7 2" xfId="14077" xr:uid="{F48A9541-5FC2-4B24-B312-716D7E002D90}"/>
    <cellStyle name="Normal 4 3 3 3 8" xfId="9028" xr:uid="{A0BD85BE-0D8B-455E-B326-708B8FF8A8C8}"/>
    <cellStyle name="Normal 4 3 3 3 8 2" xfId="18352" xr:uid="{9EC1952E-586C-4872-9E0A-064C1F9D25BB}"/>
    <cellStyle name="Normal 4 3 3 3 9" xfId="9860" xr:uid="{B4775D7F-9CF1-4946-AF60-7FB4FC31F4A1}"/>
    <cellStyle name="Normal 4 3 3 4" xfId="849" xr:uid="{00000000-0005-0000-0000-00009A140000}"/>
    <cellStyle name="Normal 4 3 3 4 2" xfId="3084" xr:uid="{00000000-0005-0000-0000-00009B140000}"/>
    <cellStyle name="Normal 4 3 3 4 2 2" xfId="7306" xr:uid="{00000000-0005-0000-0000-00009C140000}"/>
    <cellStyle name="Normal 4 3 3 4 2 2 2" xfId="16632" xr:uid="{A6414055-EF1D-40BB-90F5-3DD68BAB089A}"/>
    <cellStyle name="Normal 4 3 3 4 2 3" xfId="12415" xr:uid="{01E8AFE4-96C2-464A-B60E-BCE0EA25DCAC}"/>
    <cellStyle name="Normal 4 3 3 4 3" xfId="5161" xr:uid="{00000000-0005-0000-0000-00009D140000}"/>
    <cellStyle name="Normal 4 3 3 4 3 2" xfId="14487" xr:uid="{592D4C4B-E1E3-41BC-B78A-5F1553972C61}"/>
    <cellStyle name="Normal 4 3 3 4 4" xfId="9246" xr:uid="{E1107DA9-8F13-4216-80A2-CEA1D2EF57FC}"/>
    <cellStyle name="Normal 4 3 3 4 4 2" xfId="18561" xr:uid="{AC059530-30A6-48DD-8364-06DB41BEE5DB}"/>
    <cellStyle name="Normal 4 3 3 4 5" xfId="10270" xr:uid="{1A1AF19A-C62B-44F6-A02F-83B34E96058D}"/>
    <cellStyle name="Normal 4 3 3 5" xfId="1267" xr:uid="{00000000-0005-0000-0000-00009E140000}"/>
    <cellStyle name="Normal 4 3 3 5 2" xfId="3497" xr:uid="{00000000-0005-0000-0000-00009F140000}"/>
    <cellStyle name="Normal 4 3 3 5 2 2" xfId="7719" xr:uid="{00000000-0005-0000-0000-0000A0140000}"/>
    <cellStyle name="Normal 4 3 3 5 2 2 2" xfId="17045" xr:uid="{E1AE3A8A-8BCA-4A91-A95C-45572B8A76C1}"/>
    <cellStyle name="Normal 4 3 3 5 2 3" xfId="12828" xr:uid="{9FDB17D7-A185-4AAB-87EE-2E0F4F668E4A}"/>
    <cellStyle name="Normal 4 3 3 5 3" xfId="5574" xr:uid="{00000000-0005-0000-0000-0000A1140000}"/>
    <cellStyle name="Normal 4 3 3 5 3 2" xfId="14900" xr:uid="{C6F4464E-C090-4410-8AC2-74FE224AD000}"/>
    <cellStyle name="Normal 4 3 3 5 4" xfId="10683" xr:uid="{C40C2E6F-07CE-478D-A223-1D43E1422DC7}"/>
    <cellStyle name="Normal 4 3 3 6" xfId="1680" xr:uid="{00000000-0005-0000-0000-0000A2140000}"/>
    <cellStyle name="Normal 4 3 3 6 2" xfId="3910" xr:uid="{00000000-0005-0000-0000-0000A3140000}"/>
    <cellStyle name="Normal 4 3 3 6 2 2" xfId="8132" xr:uid="{00000000-0005-0000-0000-0000A4140000}"/>
    <cellStyle name="Normal 4 3 3 6 2 2 2" xfId="17458" xr:uid="{FA6A3B98-D109-4676-AAEF-E0AEEFA5B06F}"/>
    <cellStyle name="Normal 4 3 3 6 2 3" xfId="13241" xr:uid="{9001D7EC-C3F9-4DCC-9B1F-D05B8A636128}"/>
    <cellStyle name="Normal 4 3 3 6 3" xfId="5987" xr:uid="{00000000-0005-0000-0000-0000A5140000}"/>
    <cellStyle name="Normal 4 3 3 6 3 2" xfId="15313" xr:uid="{7318DCA3-B8F8-4124-AF0E-78D60704273A}"/>
    <cellStyle name="Normal 4 3 3 6 4" xfId="11096" xr:uid="{2310EF12-B5A9-45EA-973E-9414BD925A21}"/>
    <cellStyle name="Normal 4 3 3 7" xfId="2094" xr:uid="{00000000-0005-0000-0000-0000A6140000}"/>
    <cellStyle name="Normal 4 3 3 7 2" xfId="4323" xr:uid="{00000000-0005-0000-0000-0000A7140000}"/>
    <cellStyle name="Normal 4 3 3 7 2 2" xfId="8545" xr:uid="{00000000-0005-0000-0000-0000A8140000}"/>
    <cellStyle name="Normal 4 3 3 7 2 2 2" xfId="17871" xr:uid="{A684F3ED-A912-4ABE-8704-83C35DC05368}"/>
    <cellStyle name="Normal 4 3 3 7 2 3" xfId="13654" xr:uid="{DBE1132D-3F8C-4002-92C2-0816F65887A9}"/>
    <cellStyle name="Normal 4 3 3 7 3" xfId="6400" xr:uid="{00000000-0005-0000-0000-0000A9140000}"/>
    <cellStyle name="Normal 4 3 3 7 3 2" xfId="15726" xr:uid="{117D41FD-9CDB-4372-9318-F43C59656CD7}"/>
    <cellStyle name="Normal 4 3 3 7 4" xfId="11509" xr:uid="{A2A9B215-1115-46F0-8D37-F91BEF48C20D}"/>
    <cellStyle name="Normal 4 3 3 8" xfId="2530" xr:uid="{00000000-0005-0000-0000-0000AA140000}"/>
    <cellStyle name="Normal 4 3 3 8 2" xfId="6813" xr:uid="{00000000-0005-0000-0000-0000AB140000}"/>
    <cellStyle name="Normal 4 3 3 8 2 2" xfId="16139" xr:uid="{8827786D-CFF6-45EB-9F69-FE5E57813F99}"/>
    <cellStyle name="Normal 4 3 3 8 3" xfId="11922" xr:uid="{D21FD056-B9F1-4CF9-B4B1-65877866FD94}"/>
    <cellStyle name="Normal 4 3 3 9" xfId="4748" xr:uid="{00000000-0005-0000-0000-0000AC140000}"/>
    <cellStyle name="Normal 4 3 3 9 2" xfId="14074" xr:uid="{9A825822-FCE9-4012-BFBE-0183698DBB72}"/>
    <cellStyle name="Normal 4 3 4" xfId="842" xr:uid="{00000000-0005-0000-0000-0000AD140000}"/>
    <cellStyle name="Normal 4 3 4 2" xfId="3079" xr:uid="{00000000-0005-0000-0000-0000AE140000}"/>
    <cellStyle name="Normal 4 3 4 2 2" xfId="7301" xr:uid="{00000000-0005-0000-0000-0000AF140000}"/>
    <cellStyle name="Normal 4 3 4 2 2 2" xfId="16627" xr:uid="{DC4FABFA-9732-489A-9858-28342025624B}"/>
    <cellStyle name="Normal 4 3 4 2 3" xfId="12410" xr:uid="{5303931D-0100-4679-AC04-5687E8A4D08E}"/>
    <cellStyle name="Normal 4 3 4 3" xfId="5156" xr:uid="{00000000-0005-0000-0000-0000B0140000}"/>
    <cellStyle name="Normal 4 3 4 3 2" xfId="14482" xr:uid="{11F014B0-EF0D-412F-B761-DA01E35C6327}"/>
    <cellStyle name="Normal 4 3 4 4" xfId="9608" xr:uid="{C2EFFD2B-01D5-4B2B-BD85-BB4245D6A35E}"/>
    <cellStyle name="Normal 4 3 4 4 2" xfId="18909" xr:uid="{5F26C06D-D7B0-424B-A561-A46CF42C9AB8}"/>
    <cellStyle name="Normal 4 3 4 5" xfId="10265" xr:uid="{A4CEFE42-226B-4CAF-88E2-FC77AFF1DA27}"/>
    <cellStyle name="Normal 4 3 5" xfId="1262" xr:uid="{00000000-0005-0000-0000-0000B1140000}"/>
    <cellStyle name="Normal 4 3 5 2" xfId="3492" xr:uid="{00000000-0005-0000-0000-0000B2140000}"/>
    <cellStyle name="Normal 4 3 5 2 2" xfId="7714" xr:uid="{00000000-0005-0000-0000-0000B3140000}"/>
    <cellStyle name="Normal 4 3 5 2 2 2" xfId="17040" xr:uid="{DC35FCFB-7722-4B38-A0A4-B8A439DDE52F}"/>
    <cellStyle name="Normal 4 3 5 2 3" xfId="12823" xr:uid="{9AFF6066-D7C2-41B1-8866-DA3705473B8A}"/>
    <cellStyle name="Normal 4 3 5 3" xfId="5569" xr:uid="{00000000-0005-0000-0000-0000B4140000}"/>
    <cellStyle name="Normal 4 3 5 3 2" xfId="14895" xr:uid="{A266E69E-9E08-4029-827C-6313E5367489}"/>
    <cellStyle name="Normal 4 3 5 4" xfId="10678" xr:uid="{A268F137-89F9-40F3-A1B4-F01A7C84CAFE}"/>
    <cellStyle name="Normal 4 3 6" xfId="1675" xr:uid="{00000000-0005-0000-0000-0000B5140000}"/>
    <cellStyle name="Normal 4 3 6 2" xfId="3905" xr:uid="{00000000-0005-0000-0000-0000B6140000}"/>
    <cellStyle name="Normal 4 3 6 2 2" xfId="8127" xr:uid="{00000000-0005-0000-0000-0000B7140000}"/>
    <cellStyle name="Normal 4 3 6 2 2 2" xfId="17453" xr:uid="{C3269E6E-903D-4FBA-B0BF-54E9F000AFBE}"/>
    <cellStyle name="Normal 4 3 6 2 3" xfId="13236" xr:uid="{D430B35A-DB2C-492D-B48B-A43AF6761D44}"/>
    <cellStyle name="Normal 4 3 6 3" xfId="5982" xr:uid="{00000000-0005-0000-0000-0000B8140000}"/>
    <cellStyle name="Normal 4 3 6 3 2" xfId="15308" xr:uid="{513BB727-1380-4971-BB91-0540D0D99B64}"/>
    <cellStyle name="Normal 4 3 6 4" xfId="11091" xr:uid="{FCA9B3F7-F164-4F0A-A4DE-E6FDFD939508}"/>
    <cellStyle name="Normal 4 3 7" xfId="2089" xr:uid="{00000000-0005-0000-0000-0000B9140000}"/>
    <cellStyle name="Normal 4 3 7 2" xfId="4318" xr:uid="{00000000-0005-0000-0000-0000BA140000}"/>
    <cellStyle name="Normal 4 3 7 2 2" xfId="8540" xr:uid="{00000000-0005-0000-0000-0000BB140000}"/>
    <cellStyle name="Normal 4 3 7 2 2 2" xfId="17866" xr:uid="{3649BF39-ECF1-49B5-BCB8-130FE22FF00B}"/>
    <cellStyle name="Normal 4 3 7 2 3" xfId="13649" xr:uid="{245CF82A-C227-4C9D-8F30-581934BB8498}"/>
    <cellStyle name="Normal 4 3 7 3" xfId="6395" xr:uid="{00000000-0005-0000-0000-0000BC140000}"/>
    <cellStyle name="Normal 4 3 7 3 2" xfId="15721" xr:uid="{B16CA58F-3776-4657-A4EF-65019F3FF23B}"/>
    <cellStyle name="Normal 4 3 7 4" xfId="11504" xr:uid="{A3B5A6C3-284F-4051-882F-8E49C20490F2}"/>
    <cellStyle name="Normal 4 3 8" xfId="2525" xr:uid="{00000000-0005-0000-0000-0000BD140000}"/>
    <cellStyle name="Normal 4 3 8 2" xfId="6808" xr:uid="{00000000-0005-0000-0000-0000BE140000}"/>
    <cellStyle name="Normal 4 3 8 2 2" xfId="16134" xr:uid="{CBF28A04-3639-4FC5-ABC6-ED2CC3E8924A}"/>
    <cellStyle name="Normal 4 3 8 3" xfId="11917" xr:uid="{29457B4A-754C-4F27-9334-CF2AB1FA5568}"/>
    <cellStyle name="Normal 4 3 9" xfId="4743" xr:uid="{00000000-0005-0000-0000-0000BF140000}"/>
    <cellStyle name="Normal 4 3 9 2" xfId="14069" xr:uid="{BABE3D5C-471A-4398-9882-7AF0EE5D23D9}"/>
    <cellStyle name="Normal 4 4" xfId="378" xr:uid="{00000000-0005-0000-0000-0000C0140000}"/>
    <cellStyle name="Normal 4 4 10" xfId="2534" xr:uid="{00000000-0005-0000-0000-0000C1140000}"/>
    <cellStyle name="Normal 4 4 10 2" xfId="6817" xr:uid="{00000000-0005-0000-0000-0000C2140000}"/>
    <cellStyle name="Normal 4 4 10 2 2" xfId="16143" xr:uid="{C00AAC54-1FFD-4840-BFB9-CF13B735492F}"/>
    <cellStyle name="Normal 4 4 10 3" xfId="11926" xr:uid="{68F9FACC-AF40-430D-9A4A-9EDB5C999638}"/>
    <cellStyle name="Normal 4 4 11" xfId="4752" xr:uid="{00000000-0005-0000-0000-0000C3140000}"/>
    <cellStyle name="Normal 4 4 11 2" xfId="14078" xr:uid="{48B49DB6-F832-4C7F-98E9-CAB944006FB6}"/>
    <cellStyle name="Normal 4 4 12" xfId="8749" xr:uid="{A91736B6-873D-4B1A-8B29-18DC69E5E65F}"/>
    <cellStyle name="Normal 4 4 12 2" xfId="18073" xr:uid="{9F7A9416-27D9-4F50-8668-36A0CA5718F5}"/>
    <cellStyle name="Normal 4 4 13" xfId="9861" xr:uid="{3E2A28E6-45F2-4FE3-883D-44E6ADD818B9}"/>
    <cellStyle name="Normal 4 4 2" xfId="379" xr:uid="{00000000-0005-0000-0000-0000C4140000}"/>
    <cellStyle name="Normal 4 4 2 10" xfId="4753" xr:uid="{00000000-0005-0000-0000-0000C5140000}"/>
    <cellStyle name="Normal 4 4 2 10 2" xfId="14079" xr:uid="{7648C02C-2803-448B-87FB-0D5AEEC6459A}"/>
    <cellStyle name="Normal 4 4 2 11" xfId="8781" xr:uid="{12B8F0AD-1EB8-4D0A-9CAD-21DEEFEDAE41}"/>
    <cellStyle name="Normal 4 4 2 11 2" xfId="18105" xr:uid="{3B045C50-3A65-4F21-96E5-5A79D39745C7}"/>
    <cellStyle name="Normal 4 4 2 12" xfId="9862" xr:uid="{B5899395-7EF9-4FD2-A231-DB45FC06697E}"/>
    <cellStyle name="Normal 4 4 2 2" xfId="380" xr:uid="{00000000-0005-0000-0000-0000C6140000}"/>
    <cellStyle name="Normal 4 4 2 2 10" xfId="8824" xr:uid="{FF218EA8-00A9-476B-AA88-FBBBBED2D06B}"/>
    <cellStyle name="Normal 4 4 2 2 10 2" xfId="18148" xr:uid="{0D03A500-0C6D-497D-8672-577AA420864E}"/>
    <cellStyle name="Normal 4 4 2 2 11" xfId="9863" xr:uid="{FF5B0DC1-FFB3-44D6-AB69-6E5EFC7E035A}"/>
    <cellStyle name="Normal 4 4 2 2 2" xfId="381" xr:uid="{00000000-0005-0000-0000-0000C7140000}"/>
    <cellStyle name="Normal 4 4 2 2 2 10" xfId="9864" xr:uid="{DE582441-6DB3-4039-8CA4-2074ADC92135}"/>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16640" xr:uid="{9C430262-A9B2-4C1E-B190-1FD533BDBB46}"/>
    <cellStyle name="Normal 4 4 2 2 2 2 2 2 3" xfId="12423" xr:uid="{2C2ACEDB-E6C5-4E77-AC3C-9CD287DC6751}"/>
    <cellStyle name="Normal 4 4 2 2 2 2 2 3" xfId="5169" xr:uid="{00000000-0005-0000-0000-0000CC140000}"/>
    <cellStyle name="Normal 4 4 2 2 2 2 2 3 2" xfId="14495" xr:uid="{3FD283E6-6C03-46A0-B62C-FCFC28A0D86C}"/>
    <cellStyle name="Normal 4 4 2 2 2 2 2 4" xfId="9559" xr:uid="{6E5E886C-D83F-47E6-AD2B-552CC2A98FD0}"/>
    <cellStyle name="Normal 4 4 2 2 2 2 2 4 2" xfId="18874" xr:uid="{A7812F01-063C-4E95-983C-B7CEABA15EA7}"/>
    <cellStyle name="Normal 4 4 2 2 2 2 2 5" xfId="10278" xr:uid="{FE126CD6-B307-4A7C-9AE1-C2987F73C4AE}"/>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17053" xr:uid="{2B3BFECE-9942-4478-9196-B1946A56C926}"/>
    <cellStyle name="Normal 4 4 2 2 2 2 3 2 3" xfId="12836" xr:uid="{97A48460-BFB7-4FA6-ABA9-120A8C797876}"/>
    <cellStyle name="Normal 4 4 2 2 2 2 3 3" xfId="5582" xr:uid="{00000000-0005-0000-0000-0000D0140000}"/>
    <cellStyle name="Normal 4 4 2 2 2 2 3 3 2" xfId="14908" xr:uid="{079B9B25-885F-4AF2-AB1C-464B50C9469D}"/>
    <cellStyle name="Normal 4 4 2 2 2 2 3 4" xfId="10691" xr:uid="{A7E0FC7C-03B8-41DC-AD98-E8457633E535}"/>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17466" xr:uid="{6DCB733E-43A0-4C3C-91E8-1BDA54924E64}"/>
    <cellStyle name="Normal 4 4 2 2 2 2 4 2 3" xfId="13249" xr:uid="{BC3634DA-7722-49DD-8C60-EDC0719C95DD}"/>
    <cellStyle name="Normal 4 4 2 2 2 2 4 3" xfId="5995" xr:uid="{00000000-0005-0000-0000-0000D4140000}"/>
    <cellStyle name="Normal 4 4 2 2 2 2 4 3 2" xfId="15321" xr:uid="{6EEDFD74-1DB6-447B-A917-493B81644E4A}"/>
    <cellStyle name="Normal 4 4 2 2 2 2 4 4" xfId="11104" xr:uid="{02F8E565-7391-44BF-9C69-5DD56FD8D95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17879" xr:uid="{3B3B860C-8007-4020-B019-84438F71F0F1}"/>
    <cellStyle name="Normal 4 4 2 2 2 2 5 2 3" xfId="13662" xr:uid="{7A450682-0D5E-4C85-9E70-88BBB2EC816D}"/>
    <cellStyle name="Normal 4 4 2 2 2 2 5 3" xfId="6408" xr:uid="{00000000-0005-0000-0000-0000D8140000}"/>
    <cellStyle name="Normal 4 4 2 2 2 2 5 3 2" xfId="15734" xr:uid="{6D5E027F-FCFC-45B1-8BD3-9450653E089E}"/>
    <cellStyle name="Normal 4 4 2 2 2 2 5 4" xfId="11517" xr:uid="{46080FC7-4767-4E29-97A4-33FDD0785C3D}"/>
    <cellStyle name="Normal 4 4 2 2 2 2 6" xfId="2538" xr:uid="{00000000-0005-0000-0000-0000D9140000}"/>
    <cellStyle name="Normal 4 4 2 2 2 2 6 2" xfId="6821" xr:uid="{00000000-0005-0000-0000-0000DA140000}"/>
    <cellStyle name="Normal 4 4 2 2 2 2 6 2 2" xfId="16147" xr:uid="{BF28E9A3-D6C3-4272-835A-8650FBFC2A67}"/>
    <cellStyle name="Normal 4 4 2 2 2 2 6 3" xfId="11930" xr:uid="{D2E79321-3142-4C6A-BBE8-9A2920596A0F}"/>
    <cellStyle name="Normal 4 4 2 2 2 2 7" xfId="4756" xr:uid="{00000000-0005-0000-0000-0000DB140000}"/>
    <cellStyle name="Normal 4 4 2 2 2 2 7 2" xfId="14082" xr:uid="{DBB1C683-C071-4319-B66A-EBB0B7EDEA26}"/>
    <cellStyle name="Normal 4 4 2 2 2 2 8" xfId="9134" xr:uid="{B37D4C66-6754-4A5E-BFF7-77694E4355C2}"/>
    <cellStyle name="Normal 4 4 2 2 2 2 8 2" xfId="18458" xr:uid="{62E34597-FAF7-4454-BA56-E70392293D15}"/>
    <cellStyle name="Normal 4 4 2 2 2 2 9" xfId="9865" xr:uid="{C5D2C5F0-9E32-4FE6-93B5-5E864F60B14D}"/>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16639" xr:uid="{99559F24-552E-42B2-83CA-AC99E7865507}"/>
    <cellStyle name="Normal 4 4 2 2 2 3 2 3" xfId="12422" xr:uid="{D2B0904E-8716-4426-BD48-652AE8FDADB2}"/>
    <cellStyle name="Normal 4 4 2 2 2 3 3" xfId="5168" xr:uid="{00000000-0005-0000-0000-0000DF140000}"/>
    <cellStyle name="Normal 4 4 2 2 2 3 3 2" xfId="14494" xr:uid="{BA4FBEA8-8466-493D-BD0E-9353727E8553}"/>
    <cellStyle name="Normal 4 4 2 2 2 3 4" xfId="9352" xr:uid="{76F31DA2-44D0-447F-BA9C-6271BA6AAE96}"/>
    <cellStyle name="Normal 4 4 2 2 2 3 4 2" xfId="18667" xr:uid="{B1581BAF-F55C-4ECB-B9B7-A48D77F4448E}"/>
    <cellStyle name="Normal 4 4 2 2 2 3 5" xfId="10277" xr:uid="{5BD6872E-4783-401E-817C-88937295171D}"/>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17052" xr:uid="{7A94B59D-460E-4993-B682-665DE9CAC994}"/>
    <cellStyle name="Normal 4 4 2 2 2 4 2 3" xfId="12835" xr:uid="{25E0D497-73AA-4B00-98E3-849E7781051A}"/>
    <cellStyle name="Normal 4 4 2 2 2 4 3" xfId="5581" xr:uid="{00000000-0005-0000-0000-0000E3140000}"/>
    <cellStyle name="Normal 4 4 2 2 2 4 3 2" xfId="14907" xr:uid="{6831FBFF-36ED-448C-9BA9-E5ECFA0857F0}"/>
    <cellStyle name="Normal 4 4 2 2 2 4 4" xfId="10690" xr:uid="{2FEF0F9E-B02E-4C7C-B385-67F87AB35C9F}"/>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17465" xr:uid="{9531E816-14CC-4CC5-BCC6-BF310A02BDDF}"/>
    <cellStyle name="Normal 4 4 2 2 2 5 2 3" xfId="13248" xr:uid="{432FB43C-AA80-49BC-9EEC-C996AE55A15D}"/>
    <cellStyle name="Normal 4 4 2 2 2 5 3" xfId="5994" xr:uid="{00000000-0005-0000-0000-0000E7140000}"/>
    <cellStyle name="Normal 4 4 2 2 2 5 3 2" xfId="15320" xr:uid="{0ED3E0BC-8CA1-4EA5-BC48-603A2F08F487}"/>
    <cellStyle name="Normal 4 4 2 2 2 5 4" xfId="11103" xr:uid="{2438F358-2F16-44F9-87B6-86562A595B49}"/>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17878" xr:uid="{74052253-7508-4CDB-A098-825618F8B2F3}"/>
    <cellStyle name="Normal 4 4 2 2 2 6 2 3" xfId="13661" xr:uid="{7C4325C8-6037-4A56-AE10-B73F64809656}"/>
    <cellStyle name="Normal 4 4 2 2 2 6 3" xfId="6407" xr:uid="{00000000-0005-0000-0000-0000EB140000}"/>
    <cellStyle name="Normal 4 4 2 2 2 6 3 2" xfId="15733" xr:uid="{77AB64FE-781B-437B-8A08-F897F157C126}"/>
    <cellStyle name="Normal 4 4 2 2 2 6 4" xfId="11516" xr:uid="{22B3B3E5-47AE-4634-B385-0C1EBA76D2B6}"/>
    <cellStyle name="Normal 4 4 2 2 2 7" xfId="2537" xr:uid="{00000000-0005-0000-0000-0000EC140000}"/>
    <cellStyle name="Normal 4 4 2 2 2 7 2" xfId="6820" xr:uid="{00000000-0005-0000-0000-0000ED140000}"/>
    <cellStyle name="Normal 4 4 2 2 2 7 2 2" xfId="16146" xr:uid="{098B2B45-ED2A-49DC-A39C-BE926EC5AB43}"/>
    <cellStyle name="Normal 4 4 2 2 2 7 3" xfId="11929" xr:uid="{AFB9CEEE-18C7-4788-88D6-B480D26698AB}"/>
    <cellStyle name="Normal 4 4 2 2 2 8" xfId="4755" xr:uid="{00000000-0005-0000-0000-0000EE140000}"/>
    <cellStyle name="Normal 4 4 2 2 2 8 2" xfId="14081" xr:uid="{2FFBD73F-496D-4D85-808B-8E2A1DAEE779}"/>
    <cellStyle name="Normal 4 4 2 2 2 9" xfId="8927" xr:uid="{195B9197-F273-4D3B-B7A6-9CBAA360D528}"/>
    <cellStyle name="Normal 4 4 2 2 2 9 2" xfId="18251" xr:uid="{C82F1877-2121-4343-BFCF-C26A3E5909B9}"/>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16641" xr:uid="{FD6ED4B7-3FBA-4E2B-811B-7AADD2C20E0D}"/>
    <cellStyle name="Normal 4 4 2 2 3 2 2 3" xfId="12424" xr:uid="{E8A148BF-FDE4-4BF7-9D4B-AB1C62AAD942}"/>
    <cellStyle name="Normal 4 4 2 2 3 2 3" xfId="5170" xr:uid="{00000000-0005-0000-0000-0000F3140000}"/>
    <cellStyle name="Normal 4 4 2 2 3 2 3 2" xfId="14496" xr:uid="{809F44B8-958A-4489-86AD-F0F8EA9E44EB}"/>
    <cellStyle name="Normal 4 4 2 2 3 2 4" xfId="9456" xr:uid="{7CB0B972-68D8-4A2C-A3A7-1D2BD109E44A}"/>
    <cellStyle name="Normal 4 4 2 2 3 2 4 2" xfId="18771" xr:uid="{28611AC2-2327-4084-8DD5-C70A925780B7}"/>
    <cellStyle name="Normal 4 4 2 2 3 2 5" xfId="10279" xr:uid="{4E84F045-31F4-4CF2-8F28-5F8DA105722B}"/>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17054" xr:uid="{F3E529DE-69F7-4355-9527-D978BCA993D5}"/>
    <cellStyle name="Normal 4 4 2 2 3 3 2 3" xfId="12837" xr:uid="{6C5F325E-3114-4317-BB8D-5EBA97589E70}"/>
    <cellStyle name="Normal 4 4 2 2 3 3 3" xfId="5583" xr:uid="{00000000-0005-0000-0000-0000F7140000}"/>
    <cellStyle name="Normal 4 4 2 2 3 3 3 2" xfId="14909" xr:uid="{B9360168-1FB7-47E2-B20A-8F808C234B40}"/>
    <cellStyle name="Normal 4 4 2 2 3 3 4" xfId="10692" xr:uid="{D199C12B-D2B1-4697-B8A4-50F80758AD6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17467" xr:uid="{34D7B2B8-1FA3-4A18-AC89-0FB0B08610B3}"/>
    <cellStyle name="Normal 4 4 2 2 3 4 2 3" xfId="13250" xr:uid="{1563AFB5-53C5-4A76-946A-3612D0A03575}"/>
    <cellStyle name="Normal 4 4 2 2 3 4 3" xfId="5996" xr:uid="{00000000-0005-0000-0000-0000FB140000}"/>
    <cellStyle name="Normal 4 4 2 2 3 4 3 2" xfId="15322" xr:uid="{80C437B2-DDA3-42E2-A4D6-385C970E42E2}"/>
    <cellStyle name="Normal 4 4 2 2 3 4 4" xfId="11105" xr:uid="{F5A7F80E-4C57-4BFA-AB7C-E5EEB1773D31}"/>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17880" xr:uid="{FF3306A5-6764-4808-AE73-8468D850F01A}"/>
    <cellStyle name="Normal 4 4 2 2 3 5 2 3" xfId="13663" xr:uid="{611C95B2-317B-478F-B240-454EB5E36E4D}"/>
    <cellStyle name="Normal 4 4 2 2 3 5 3" xfId="6409" xr:uid="{00000000-0005-0000-0000-0000FF140000}"/>
    <cellStyle name="Normal 4 4 2 2 3 5 3 2" xfId="15735" xr:uid="{78EBFAC2-0F95-487D-AFF4-9EF48ED4F2EA}"/>
    <cellStyle name="Normal 4 4 2 2 3 5 4" xfId="11518" xr:uid="{59B31CBF-F158-4CEF-8059-07AC79BE5815}"/>
    <cellStyle name="Normal 4 4 2 2 3 6" xfId="2539" xr:uid="{00000000-0005-0000-0000-000000150000}"/>
    <cellStyle name="Normal 4 4 2 2 3 6 2" xfId="6822" xr:uid="{00000000-0005-0000-0000-000001150000}"/>
    <cellStyle name="Normal 4 4 2 2 3 6 2 2" xfId="16148" xr:uid="{DB6FAF8E-1D3F-4F4C-AC8A-AAF6FE6A3D7A}"/>
    <cellStyle name="Normal 4 4 2 2 3 6 3" xfId="11931" xr:uid="{7E6D9029-572B-4B96-9975-A586BFDC21B8}"/>
    <cellStyle name="Normal 4 4 2 2 3 7" xfId="4757" xr:uid="{00000000-0005-0000-0000-000002150000}"/>
    <cellStyle name="Normal 4 4 2 2 3 7 2" xfId="14083" xr:uid="{59C67C93-A432-4D80-A63A-EBDA675EE9D5}"/>
    <cellStyle name="Normal 4 4 2 2 3 8" xfId="9031" xr:uid="{F1B59444-328A-4279-8A0A-A9F7E26061D5}"/>
    <cellStyle name="Normal 4 4 2 2 3 8 2" xfId="18355" xr:uid="{89E2315C-2B42-4FB6-9FEB-420AC3D73377}"/>
    <cellStyle name="Normal 4 4 2 2 3 9" xfId="9866" xr:uid="{74D34ABF-0552-4165-8D01-0C5376D02073}"/>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16638" xr:uid="{3A6FBF4B-5396-4F5B-988F-DAC2364DB117}"/>
    <cellStyle name="Normal 4 4 2 2 4 2 3" xfId="12421" xr:uid="{9CBBB485-8E6F-4489-81E5-B026F94F854D}"/>
    <cellStyle name="Normal 4 4 2 2 4 3" xfId="5167" xr:uid="{00000000-0005-0000-0000-000006150000}"/>
    <cellStyle name="Normal 4 4 2 2 4 3 2" xfId="14493" xr:uid="{EF2E5236-37FF-4434-B8EB-2258E7A625AC}"/>
    <cellStyle name="Normal 4 4 2 2 4 4" xfId="9249" xr:uid="{7E4CA7C7-738D-4CFA-907A-40590344548A}"/>
    <cellStyle name="Normal 4 4 2 2 4 4 2" xfId="18564" xr:uid="{78653278-4709-4B30-B99E-F028348B47F9}"/>
    <cellStyle name="Normal 4 4 2 2 4 5" xfId="10276" xr:uid="{FA9D96F2-2AB8-4638-A6E1-701C55D28824}"/>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17051" xr:uid="{00CF44DB-1B48-4B52-8673-D6091EE36E92}"/>
    <cellStyle name="Normal 4 4 2 2 5 2 3" xfId="12834" xr:uid="{8C9F1A6D-C425-4400-B998-7DEBD706FB4D}"/>
    <cellStyle name="Normal 4 4 2 2 5 3" xfId="5580" xr:uid="{00000000-0005-0000-0000-00000A150000}"/>
    <cellStyle name="Normal 4 4 2 2 5 3 2" xfId="14906" xr:uid="{80C7E526-C6A7-4CDD-AF35-6AF48C69EE66}"/>
    <cellStyle name="Normal 4 4 2 2 5 4" xfId="10689" xr:uid="{8B8A3601-60FC-4DC1-8209-4126F09CBB40}"/>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17464" xr:uid="{7AA13FC7-84CE-4653-A445-7433B11661AE}"/>
    <cellStyle name="Normal 4 4 2 2 6 2 3" xfId="13247" xr:uid="{AA5910AA-9DEA-49C3-BC24-BDFC6211B7C2}"/>
    <cellStyle name="Normal 4 4 2 2 6 3" xfId="5993" xr:uid="{00000000-0005-0000-0000-00000E150000}"/>
    <cellStyle name="Normal 4 4 2 2 6 3 2" xfId="15319" xr:uid="{CC6C0B35-B379-466D-AEE0-CED9EB5D7D80}"/>
    <cellStyle name="Normal 4 4 2 2 6 4" xfId="11102" xr:uid="{BF374C53-50B6-4849-A040-7D6BA867D204}"/>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17877" xr:uid="{40C49982-E35A-4D59-8516-694C74AEBD6D}"/>
    <cellStyle name="Normal 4 4 2 2 7 2 3" xfId="13660" xr:uid="{93CAD355-CEB0-43AE-9B81-BBF8DC159023}"/>
    <cellStyle name="Normal 4 4 2 2 7 3" xfId="6406" xr:uid="{00000000-0005-0000-0000-000012150000}"/>
    <cellStyle name="Normal 4 4 2 2 7 3 2" xfId="15732" xr:uid="{5DC78D4B-BDFF-41F6-9E92-46C09B96B37F}"/>
    <cellStyle name="Normal 4 4 2 2 7 4" xfId="11515" xr:uid="{D44D4D0E-D470-471C-BC45-5255AC4CAAB3}"/>
    <cellStyle name="Normal 4 4 2 2 8" xfId="2536" xr:uid="{00000000-0005-0000-0000-000013150000}"/>
    <cellStyle name="Normal 4 4 2 2 8 2" xfId="6819" xr:uid="{00000000-0005-0000-0000-000014150000}"/>
    <cellStyle name="Normal 4 4 2 2 8 2 2" xfId="16145" xr:uid="{9B44D4B6-DB52-421A-9B48-FC0E6B0E65ED}"/>
    <cellStyle name="Normal 4 4 2 2 8 3" xfId="11928" xr:uid="{E32A53D8-DC78-4299-A831-1E094303D630}"/>
    <cellStyle name="Normal 4 4 2 2 9" xfId="4754" xr:uid="{00000000-0005-0000-0000-000015150000}"/>
    <cellStyle name="Normal 4 4 2 2 9 2" xfId="14080" xr:uid="{A648F6EB-F0DD-4FD9-BF46-1E0CF1A2DEAA}"/>
    <cellStyle name="Normal 4 4 2 3" xfId="384" xr:uid="{00000000-0005-0000-0000-000016150000}"/>
    <cellStyle name="Normal 4 4 2 3 10" xfId="9867" xr:uid="{734FF81F-F42D-4D29-B2E7-1B023A21EAEF}"/>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16643" xr:uid="{EE2B3F63-1EAE-4B3D-B02D-694E469CFC55}"/>
    <cellStyle name="Normal 4 4 2 3 2 2 2 3" xfId="12426" xr:uid="{B111B6E8-EA68-44EA-B846-1D699EF64D31}"/>
    <cellStyle name="Normal 4 4 2 3 2 2 3" xfId="5172" xr:uid="{00000000-0005-0000-0000-00001B150000}"/>
    <cellStyle name="Normal 4 4 2 3 2 2 3 2" xfId="14498" xr:uid="{9AF75528-AD0E-44EE-8199-5D02F192A3FA}"/>
    <cellStyle name="Normal 4 4 2 3 2 2 4" xfId="9516" xr:uid="{93008D3B-5827-4778-B167-5B518B5BF56F}"/>
    <cellStyle name="Normal 4 4 2 3 2 2 4 2" xfId="18831" xr:uid="{E81C4F4F-0E08-4D6A-B29C-51CDFDE1EF4E}"/>
    <cellStyle name="Normal 4 4 2 3 2 2 5" xfId="10281" xr:uid="{E1DE365C-9322-4935-8B9E-5E50B9F75CAA}"/>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17056" xr:uid="{0FB6D3B1-5D4F-476B-B6B1-73F01A374DDB}"/>
    <cellStyle name="Normal 4 4 2 3 2 3 2 3" xfId="12839" xr:uid="{577C2048-2F13-4961-B15B-2DBCB46DF91F}"/>
    <cellStyle name="Normal 4 4 2 3 2 3 3" xfId="5585" xr:uid="{00000000-0005-0000-0000-00001F150000}"/>
    <cellStyle name="Normal 4 4 2 3 2 3 3 2" xfId="14911" xr:uid="{45A2904B-03EC-4E8F-888B-FDF299452E5E}"/>
    <cellStyle name="Normal 4 4 2 3 2 3 4" xfId="10694" xr:uid="{79185E8C-E269-4703-A421-2CF5A4F5D826}"/>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17469" xr:uid="{EBFF7E4D-F782-4105-BF5C-8C7A45A9869F}"/>
    <cellStyle name="Normal 4 4 2 3 2 4 2 3" xfId="13252" xr:uid="{EF61ECE5-231C-4811-80D2-A0FB5520D436}"/>
    <cellStyle name="Normal 4 4 2 3 2 4 3" xfId="5998" xr:uid="{00000000-0005-0000-0000-000023150000}"/>
    <cellStyle name="Normal 4 4 2 3 2 4 3 2" xfId="15324" xr:uid="{F60315FB-EF82-4A5B-B5AC-4D936B80D9BE}"/>
    <cellStyle name="Normal 4 4 2 3 2 4 4" xfId="11107" xr:uid="{CEB91674-8959-4E07-A642-0EB1AEB52B88}"/>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17882" xr:uid="{E955640C-2C37-401A-90D4-AB39B3AEA55C}"/>
    <cellStyle name="Normal 4 4 2 3 2 5 2 3" xfId="13665" xr:uid="{5C08DC59-E262-4A1E-AEAE-C1BD305E83F8}"/>
    <cellStyle name="Normal 4 4 2 3 2 5 3" xfId="6411" xr:uid="{00000000-0005-0000-0000-000027150000}"/>
    <cellStyle name="Normal 4 4 2 3 2 5 3 2" xfId="15737" xr:uid="{7CF82521-F744-4BAA-AE59-5AF6CAAE9881}"/>
    <cellStyle name="Normal 4 4 2 3 2 5 4" xfId="11520" xr:uid="{DDE8F95B-C83F-4466-9A28-16D3695E09F1}"/>
    <cellStyle name="Normal 4 4 2 3 2 6" xfId="2541" xr:uid="{00000000-0005-0000-0000-000028150000}"/>
    <cellStyle name="Normal 4 4 2 3 2 6 2" xfId="6824" xr:uid="{00000000-0005-0000-0000-000029150000}"/>
    <cellStyle name="Normal 4 4 2 3 2 6 2 2" xfId="16150" xr:uid="{F2EAE71F-D238-4F6E-B0C1-A0F6A6800347}"/>
    <cellStyle name="Normal 4 4 2 3 2 6 3" xfId="11933" xr:uid="{41D6C058-7D41-4F9D-A449-198EBD57EFC2}"/>
    <cellStyle name="Normal 4 4 2 3 2 7" xfId="4759" xr:uid="{00000000-0005-0000-0000-00002A150000}"/>
    <cellStyle name="Normal 4 4 2 3 2 7 2" xfId="14085" xr:uid="{24945521-0371-4144-BFCA-7E7CC1A8E047}"/>
    <cellStyle name="Normal 4 4 2 3 2 8" xfId="9091" xr:uid="{9DBAED0A-05EE-4674-B1B7-8D03DBB53301}"/>
    <cellStyle name="Normal 4 4 2 3 2 8 2" xfId="18415" xr:uid="{3550B506-2AF3-46B4-9ADE-7381EC3C40E4}"/>
    <cellStyle name="Normal 4 4 2 3 2 9" xfId="9868" xr:uid="{4C83B2B5-75CF-4104-B870-A3205DF7483C}"/>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16642" xr:uid="{AF23F7BA-EDFF-498F-8C7A-AA9B28DC8EE2}"/>
    <cellStyle name="Normal 4 4 2 3 3 2 3" xfId="12425" xr:uid="{AF467E87-34C1-4B6C-9213-88AC00E58D26}"/>
    <cellStyle name="Normal 4 4 2 3 3 3" xfId="5171" xr:uid="{00000000-0005-0000-0000-00002E150000}"/>
    <cellStyle name="Normal 4 4 2 3 3 3 2" xfId="14497" xr:uid="{A7C8D717-4238-46AF-8122-0EBE8BC43778}"/>
    <cellStyle name="Normal 4 4 2 3 3 4" xfId="9309" xr:uid="{73E912F6-92AF-449E-AE53-1DEDEF686C0F}"/>
    <cellStyle name="Normal 4 4 2 3 3 4 2" xfId="18624" xr:uid="{792767B9-CE66-4CB5-9806-4B5DF296F7BB}"/>
    <cellStyle name="Normal 4 4 2 3 3 5" xfId="10280" xr:uid="{8C60CF0A-4A0D-45BB-A1A4-49ACE4093625}"/>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17055" xr:uid="{2683F005-F847-4346-A8B5-D5CE3AA32F85}"/>
    <cellStyle name="Normal 4 4 2 3 4 2 3" xfId="12838" xr:uid="{56A3D6C3-5197-44EF-8A51-4BA0C73D360D}"/>
    <cellStyle name="Normal 4 4 2 3 4 3" xfId="5584" xr:uid="{00000000-0005-0000-0000-000032150000}"/>
    <cellStyle name="Normal 4 4 2 3 4 3 2" xfId="14910" xr:uid="{965EB2EC-5BBB-4C5C-8618-91CE4F5DCB92}"/>
    <cellStyle name="Normal 4 4 2 3 4 4" xfId="10693" xr:uid="{AA689383-B76E-4680-B027-3717F7DEF835}"/>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17468" xr:uid="{D78A759E-B829-4CB1-A970-8AF41E8B9D25}"/>
    <cellStyle name="Normal 4 4 2 3 5 2 3" xfId="13251" xr:uid="{8698B629-6D0C-4C21-90C3-79A769540C68}"/>
    <cellStyle name="Normal 4 4 2 3 5 3" xfId="5997" xr:uid="{00000000-0005-0000-0000-000036150000}"/>
    <cellStyle name="Normal 4 4 2 3 5 3 2" xfId="15323" xr:uid="{D2E75941-36AA-42BB-996A-F02E39E0B99B}"/>
    <cellStyle name="Normal 4 4 2 3 5 4" xfId="11106" xr:uid="{C4FB1F5F-E115-4124-9613-0E7DC649ED12}"/>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17881" xr:uid="{E77542BD-67C3-417A-8F8E-C6A993CB8D9D}"/>
    <cellStyle name="Normal 4 4 2 3 6 2 3" xfId="13664" xr:uid="{DC055BA6-98C3-47B8-973E-6AFC17A45300}"/>
    <cellStyle name="Normal 4 4 2 3 6 3" xfId="6410" xr:uid="{00000000-0005-0000-0000-00003A150000}"/>
    <cellStyle name="Normal 4 4 2 3 6 3 2" xfId="15736" xr:uid="{53DA9FB0-8552-4DA1-BB67-65511E483F05}"/>
    <cellStyle name="Normal 4 4 2 3 6 4" xfId="11519" xr:uid="{AAB7EED6-6479-4180-956C-FCF0524D24DF}"/>
    <cellStyle name="Normal 4 4 2 3 7" xfId="2540" xr:uid="{00000000-0005-0000-0000-00003B150000}"/>
    <cellStyle name="Normal 4 4 2 3 7 2" xfId="6823" xr:uid="{00000000-0005-0000-0000-00003C150000}"/>
    <cellStyle name="Normal 4 4 2 3 7 2 2" xfId="16149" xr:uid="{24B0C1C9-E4B0-48B7-BF6C-1334D65CA011}"/>
    <cellStyle name="Normal 4 4 2 3 7 3" xfId="11932" xr:uid="{F1C31C98-3ACB-4080-92F9-A34619CCC240}"/>
    <cellStyle name="Normal 4 4 2 3 8" xfId="4758" xr:uid="{00000000-0005-0000-0000-00003D150000}"/>
    <cellStyle name="Normal 4 4 2 3 8 2" xfId="14084" xr:uid="{11A3BD8A-8DFC-4778-BCE9-5280B427CA50}"/>
    <cellStyle name="Normal 4 4 2 3 9" xfId="8884" xr:uid="{CBA8CCC0-D2E2-46C8-AC83-39734599F615}"/>
    <cellStyle name="Normal 4 4 2 3 9 2" xfId="18208" xr:uid="{26F99340-9223-4C8D-A333-448EF26A2F58}"/>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16644" xr:uid="{3DE539C3-D7D5-4417-B935-2CDA5C543A0E}"/>
    <cellStyle name="Normal 4 4 2 4 2 2 3" xfId="12427" xr:uid="{7D0E6E9D-6F68-476C-88A6-EEA8A66C28C7}"/>
    <cellStyle name="Normal 4 4 2 4 2 3" xfId="5173" xr:uid="{00000000-0005-0000-0000-000042150000}"/>
    <cellStyle name="Normal 4 4 2 4 2 3 2" xfId="14499" xr:uid="{907682CE-2C29-4C37-9231-1C4631904AE2}"/>
    <cellStyle name="Normal 4 4 2 4 2 4" xfId="9413" xr:uid="{4DC092EA-7C69-4E02-9FE8-33F62D070F54}"/>
    <cellStyle name="Normal 4 4 2 4 2 4 2" xfId="18728" xr:uid="{9FE42FAB-E3F4-4E6C-912C-B577EE39D102}"/>
    <cellStyle name="Normal 4 4 2 4 2 5" xfId="10282" xr:uid="{407F33ED-50CD-450A-9CF9-A3C201511D5F}"/>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17057" xr:uid="{05745138-54FF-49C5-BD87-75F8FAAAE5E5}"/>
    <cellStyle name="Normal 4 4 2 4 3 2 3" xfId="12840" xr:uid="{654D2CDE-04B8-4E8D-BFAF-0FCC117413C5}"/>
    <cellStyle name="Normal 4 4 2 4 3 3" xfId="5586" xr:uid="{00000000-0005-0000-0000-000046150000}"/>
    <cellStyle name="Normal 4 4 2 4 3 3 2" xfId="14912" xr:uid="{0C3C94D9-78BB-470F-BFED-A44E3F1F5507}"/>
    <cellStyle name="Normal 4 4 2 4 3 4" xfId="10695" xr:uid="{8D28DDAF-350F-4C62-8A70-D3DA81B14DA6}"/>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17470" xr:uid="{66F7E2BD-0B5E-453A-8087-C5F150E99391}"/>
    <cellStyle name="Normal 4 4 2 4 4 2 3" xfId="13253" xr:uid="{0430FC72-D85B-4602-A879-411A576EC200}"/>
    <cellStyle name="Normal 4 4 2 4 4 3" xfId="5999" xr:uid="{00000000-0005-0000-0000-00004A150000}"/>
    <cellStyle name="Normal 4 4 2 4 4 3 2" xfId="15325" xr:uid="{5F9279E8-738B-4A08-8250-B22D3194858C}"/>
    <cellStyle name="Normal 4 4 2 4 4 4" xfId="11108" xr:uid="{B239D087-DA22-4F5E-B22C-4F90EF7B037C}"/>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17883" xr:uid="{32FB8A3A-40E8-4258-9203-E0BE5BD82A01}"/>
    <cellStyle name="Normal 4 4 2 4 5 2 3" xfId="13666" xr:uid="{3E9E1DBD-20F5-4A70-A614-53E5895F6934}"/>
    <cellStyle name="Normal 4 4 2 4 5 3" xfId="6412" xr:uid="{00000000-0005-0000-0000-00004E150000}"/>
    <cellStyle name="Normal 4 4 2 4 5 3 2" xfId="15738" xr:uid="{9C89705B-1308-4C22-9A06-19D74BBA1E3A}"/>
    <cellStyle name="Normal 4 4 2 4 5 4" xfId="11521" xr:uid="{1E9A79CD-F5F8-486D-9848-C7C61E545607}"/>
    <cellStyle name="Normal 4 4 2 4 6" xfId="2542" xr:uid="{00000000-0005-0000-0000-00004F150000}"/>
    <cellStyle name="Normal 4 4 2 4 6 2" xfId="6825" xr:uid="{00000000-0005-0000-0000-000050150000}"/>
    <cellStyle name="Normal 4 4 2 4 6 2 2" xfId="16151" xr:uid="{68311CB1-E50E-4D6F-856F-672100E70520}"/>
    <cellStyle name="Normal 4 4 2 4 6 3" xfId="11934" xr:uid="{FA93DEFE-ED6B-4D79-B25B-F1A253848987}"/>
    <cellStyle name="Normal 4 4 2 4 7" xfId="4760" xr:uid="{00000000-0005-0000-0000-000051150000}"/>
    <cellStyle name="Normal 4 4 2 4 7 2" xfId="14086" xr:uid="{B1920819-1D92-44F0-84C6-5D28DACFB1C8}"/>
    <cellStyle name="Normal 4 4 2 4 8" xfId="8988" xr:uid="{F852E7B0-7ACD-4401-B3B6-BE989A5C8AD5}"/>
    <cellStyle name="Normal 4 4 2 4 8 2" xfId="18312" xr:uid="{AD37CB75-0360-4965-8CD4-6CEDE85D69DD}"/>
    <cellStyle name="Normal 4 4 2 4 9" xfId="9869" xr:uid="{56E4F2C1-42E3-43D0-B2A9-66459EA689DE}"/>
    <cellStyle name="Normal 4 4 2 5" xfId="854" xr:uid="{00000000-0005-0000-0000-000052150000}"/>
    <cellStyle name="Normal 4 4 2 5 2" xfId="3089" xr:uid="{00000000-0005-0000-0000-000053150000}"/>
    <cellStyle name="Normal 4 4 2 5 2 2" xfId="7311" xr:uid="{00000000-0005-0000-0000-000054150000}"/>
    <cellStyle name="Normal 4 4 2 5 2 2 2" xfId="16637" xr:uid="{AAE1B7DA-03E9-4583-AD49-72920BFF2AE7}"/>
    <cellStyle name="Normal 4 4 2 5 2 3" xfId="12420" xr:uid="{F59AF71A-7FCC-4D73-8098-0473811F48B8}"/>
    <cellStyle name="Normal 4 4 2 5 3" xfId="5166" xr:uid="{00000000-0005-0000-0000-000055150000}"/>
    <cellStyle name="Normal 4 4 2 5 3 2" xfId="14492" xr:uid="{739A6874-CF4F-4F6B-8893-F85A0A1D0100}"/>
    <cellStyle name="Normal 4 4 2 5 4" xfId="9205" xr:uid="{A63DE01D-3EC8-40FC-A47E-E0EA001EED52}"/>
    <cellStyle name="Normal 4 4 2 5 4 2" xfId="18521" xr:uid="{D06CF248-7ED9-428C-9870-D0AA79D537DF}"/>
    <cellStyle name="Normal 4 4 2 5 5" xfId="10275" xr:uid="{3B41B438-0920-481B-8E23-7184D9C970D9}"/>
    <cellStyle name="Normal 4 4 2 6" xfId="1272" xr:uid="{00000000-0005-0000-0000-000056150000}"/>
    <cellStyle name="Normal 4 4 2 6 2" xfId="3502" xr:uid="{00000000-0005-0000-0000-000057150000}"/>
    <cellStyle name="Normal 4 4 2 6 2 2" xfId="7724" xr:uid="{00000000-0005-0000-0000-000058150000}"/>
    <cellStyle name="Normal 4 4 2 6 2 2 2" xfId="17050" xr:uid="{96339E2D-AFB1-4F8B-ACE9-E24349C73280}"/>
    <cellStyle name="Normal 4 4 2 6 2 3" xfId="12833" xr:uid="{3CAC7223-45BC-45C3-808F-0382C4E91D48}"/>
    <cellStyle name="Normal 4 4 2 6 3" xfId="5579" xr:uid="{00000000-0005-0000-0000-000059150000}"/>
    <cellStyle name="Normal 4 4 2 6 3 2" xfId="14905" xr:uid="{EB003650-022E-46F2-B0B1-B8E9EAC1902B}"/>
    <cellStyle name="Normal 4 4 2 6 4" xfId="10688" xr:uid="{A7E793A1-7052-4B34-827E-36D696A1DD63}"/>
    <cellStyle name="Normal 4 4 2 7" xfId="1685" xr:uid="{00000000-0005-0000-0000-00005A150000}"/>
    <cellStyle name="Normal 4 4 2 7 2" xfId="3915" xr:uid="{00000000-0005-0000-0000-00005B150000}"/>
    <cellStyle name="Normal 4 4 2 7 2 2" xfId="8137" xr:uid="{00000000-0005-0000-0000-00005C150000}"/>
    <cellStyle name="Normal 4 4 2 7 2 2 2" xfId="17463" xr:uid="{B799AEDB-4F5E-4057-8B16-A559614BFF71}"/>
    <cellStyle name="Normal 4 4 2 7 2 3" xfId="13246" xr:uid="{7B0BBDB3-F164-4189-A795-D437FF100F78}"/>
    <cellStyle name="Normal 4 4 2 7 3" xfId="5992" xr:uid="{00000000-0005-0000-0000-00005D150000}"/>
    <cellStyle name="Normal 4 4 2 7 3 2" xfId="15318" xr:uid="{F4FEC0A8-397B-4161-8D50-D2576A5AFC1C}"/>
    <cellStyle name="Normal 4 4 2 7 4" xfId="11101" xr:uid="{EFB19610-2D46-46A2-9CF6-C0B79E530D87}"/>
    <cellStyle name="Normal 4 4 2 8" xfId="2099" xr:uid="{00000000-0005-0000-0000-00005E150000}"/>
    <cellStyle name="Normal 4 4 2 8 2" xfId="4328" xr:uid="{00000000-0005-0000-0000-00005F150000}"/>
    <cellStyle name="Normal 4 4 2 8 2 2" xfId="8550" xr:uid="{00000000-0005-0000-0000-000060150000}"/>
    <cellStyle name="Normal 4 4 2 8 2 2 2" xfId="17876" xr:uid="{7BA08221-3DA1-4D60-B13D-C98744FF6534}"/>
    <cellStyle name="Normal 4 4 2 8 2 3" xfId="13659" xr:uid="{D5A77A6E-D1C8-45A0-B5F4-9B73E1F16AD6}"/>
    <cellStyle name="Normal 4 4 2 8 3" xfId="6405" xr:uid="{00000000-0005-0000-0000-000061150000}"/>
    <cellStyle name="Normal 4 4 2 8 3 2" xfId="15731" xr:uid="{01C4BEDE-18E7-42B7-A291-401C78FFB2F2}"/>
    <cellStyle name="Normal 4 4 2 8 4" xfId="11514" xr:uid="{7C78C639-97B9-4742-9ACF-D9AA3008C0DD}"/>
    <cellStyle name="Normal 4 4 2 9" xfId="2535" xr:uid="{00000000-0005-0000-0000-000062150000}"/>
    <cellStyle name="Normal 4 4 2 9 2" xfId="6818" xr:uid="{00000000-0005-0000-0000-000063150000}"/>
    <cellStyle name="Normal 4 4 2 9 2 2" xfId="16144" xr:uid="{C247EE23-9D14-4033-B09F-0B6667E41570}"/>
    <cellStyle name="Normal 4 4 2 9 3" xfId="11927" xr:uid="{349F3F75-F8FD-4A5A-97E5-C898D0814482}"/>
    <cellStyle name="Normal 4 4 3" xfId="387" xr:uid="{00000000-0005-0000-0000-000064150000}"/>
    <cellStyle name="Normal 4 4 3 10" xfId="8823" xr:uid="{E623F102-F69B-4FD0-BEDA-A1480AF4D892}"/>
    <cellStyle name="Normal 4 4 3 10 2" xfId="18147" xr:uid="{BA563A90-FDCA-4ADC-AD6A-BD895DDC8009}"/>
    <cellStyle name="Normal 4 4 3 11" xfId="9870" xr:uid="{A9C79935-8001-4AA8-9A47-1DF2EDC71FDC}"/>
    <cellStyle name="Normal 4 4 3 2" xfId="388" xr:uid="{00000000-0005-0000-0000-000065150000}"/>
    <cellStyle name="Normal 4 4 3 2 10" xfId="9871" xr:uid="{05733203-C838-45C3-B9C5-02C250A7D4EC}"/>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16647" xr:uid="{E04B6C71-A9BC-41AE-BE1A-BDD2FB4D38AE}"/>
    <cellStyle name="Normal 4 4 3 2 2 2 2 3" xfId="12430" xr:uid="{EE24F7E7-EFBE-4448-840D-EBAD5D8F6AD8}"/>
    <cellStyle name="Normal 4 4 3 2 2 2 3" xfId="5176" xr:uid="{00000000-0005-0000-0000-00006A150000}"/>
    <cellStyle name="Normal 4 4 3 2 2 2 3 2" xfId="14502" xr:uid="{031688FF-6187-4023-839B-CFBA2AA38627}"/>
    <cellStyle name="Normal 4 4 3 2 2 2 4" xfId="9558" xr:uid="{8C9519E6-5920-473D-9749-EC61E4877632}"/>
    <cellStyle name="Normal 4 4 3 2 2 2 4 2" xfId="18873" xr:uid="{B36462A4-F008-4112-8833-E71D370C716A}"/>
    <cellStyle name="Normal 4 4 3 2 2 2 5" xfId="10285" xr:uid="{50413492-5253-4842-9150-6EF0E6367C1F}"/>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17060" xr:uid="{DB5D9691-B091-417D-8260-6F093B16C750}"/>
    <cellStyle name="Normal 4 4 3 2 2 3 2 3" xfId="12843" xr:uid="{1A208421-D062-47C3-BB39-4B0A90409868}"/>
    <cellStyle name="Normal 4 4 3 2 2 3 3" xfId="5589" xr:uid="{00000000-0005-0000-0000-00006E150000}"/>
    <cellStyle name="Normal 4 4 3 2 2 3 3 2" xfId="14915" xr:uid="{149AEB07-4D7A-4710-868E-DCC45FC50D4D}"/>
    <cellStyle name="Normal 4 4 3 2 2 3 4" xfId="10698" xr:uid="{C81B32DE-1C13-4C42-9627-FD65AB5547BE}"/>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17473" xr:uid="{B5224BC3-961C-41AD-9F1D-69EA6608D6D7}"/>
    <cellStyle name="Normal 4 4 3 2 2 4 2 3" xfId="13256" xr:uid="{0CDBE987-B1BD-45DE-B7B8-18D11E9A71D6}"/>
    <cellStyle name="Normal 4 4 3 2 2 4 3" xfId="6002" xr:uid="{00000000-0005-0000-0000-000072150000}"/>
    <cellStyle name="Normal 4 4 3 2 2 4 3 2" xfId="15328" xr:uid="{D60A147C-CA81-4FEB-93D5-8C608421AEDE}"/>
    <cellStyle name="Normal 4 4 3 2 2 4 4" xfId="11111" xr:uid="{F0267F83-EF5C-430B-97BB-DBF6C5D9A29D}"/>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17886" xr:uid="{B0C60BB0-6775-4265-9880-EF11FABEF697}"/>
    <cellStyle name="Normal 4 4 3 2 2 5 2 3" xfId="13669" xr:uid="{9EBA4CD4-9A60-44C3-82E9-BBF3E22E7DA1}"/>
    <cellStyle name="Normal 4 4 3 2 2 5 3" xfId="6415" xr:uid="{00000000-0005-0000-0000-000076150000}"/>
    <cellStyle name="Normal 4 4 3 2 2 5 3 2" xfId="15741" xr:uid="{E3F00EF5-3F18-4FA4-9515-22D5F84A8C58}"/>
    <cellStyle name="Normal 4 4 3 2 2 5 4" xfId="11524" xr:uid="{C76145DC-E023-4FE3-8733-EAB69A0A815F}"/>
    <cellStyle name="Normal 4 4 3 2 2 6" xfId="2545" xr:uid="{00000000-0005-0000-0000-000077150000}"/>
    <cellStyle name="Normal 4 4 3 2 2 6 2" xfId="6828" xr:uid="{00000000-0005-0000-0000-000078150000}"/>
    <cellStyle name="Normal 4 4 3 2 2 6 2 2" xfId="16154" xr:uid="{3F7AFBCA-2124-43DD-9532-BCC696807BE4}"/>
    <cellStyle name="Normal 4 4 3 2 2 6 3" xfId="11937" xr:uid="{569E9F81-FBDB-40B0-A16E-5F60E851DEC7}"/>
    <cellStyle name="Normal 4 4 3 2 2 7" xfId="4763" xr:uid="{00000000-0005-0000-0000-000079150000}"/>
    <cellStyle name="Normal 4 4 3 2 2 7 2" xfId="14089" xr:uid="{ACBCE261-3788-4A86-B69D-033FA7050AA1}"/>
    <cellStyle name="Normal 4 4 3 2 2 8" xfId="9133" xr:uid="{37002A66-D58A-4EF9-8D22-8F1A3EE99E08}"/>
    <cellStyle name="Normal 4 4 3 2 2 8 2" xfId="18457" xr:uid="{A38B6DB4-1A15-44FE-A3CC-8F29564D2506}"/>
    <cellStyle name="Normal 4 4 3 2 2 9" xfId="9872" xr:uid="{E19A30D3-368A-4375-AEA0-6812662FBF4D}"/>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16646" xr:uid="{75CFB27D-54AD-4FDB-8047-E3A5EAD53AD4}"/>
    <cellStyle name="Normal 4 4 3 2 3 2 3" xfId="12429" xr:uid="{31D5D97B-CA56-4EDF-85D2-CD4ABC934022}"/>
    <cellStyle name="Normal 4 4 3 2 3 3" xfId="5175" xr:uid="{00000000-0005-0000-0000-00007D150000}"/>
    <cellStyle name="Normal 4 4 3 2 3 3 2" xfId="14501" xr:uid="{54D24D3B-7372-44F1-9B71-60D9F1A47B3E}"/>
    <cellStyle name="Normal 4 4 3 2 3 4" xfId="9351" xr:uid="{51AD2B95-755A-411D-AA40-98381F5D8294}"/>
    <cellStyle name="Normal 4 4 3 2 3 4 2" xfId="18666" xr:uid="{5FE1CD8B-26EA-4180-9ED9-7C04125E00CC}"/>
    <cellStyle name="Normal 4 4 3 2 3 5" xfId="10284" xr:uid="{B8EDB9C4-2939-4044-9200-1F663F462C9F}"/>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17059" xr:uid="{B432A0DB-339B-442B-81AE-9A1B56805490}"/>
    <cellStyle name="Normal 4 4 3 2 4 2 3" xfId="12842" xr:uid="{2AE6BDB2-3B3B-479F-8CB3-FAEE54604933}"/>
    <cellStyle name="Normal 4 4 3 2 4 3" xfId="5588" xr:uid="{00000000-0005-0000-0000-000081150000}"/>
    <cellStyle name="Normal 4 4 3 2 4 3 2" xfId="14914" xr:uid="{6AB21704-4124-4691-B812-68F47EBB2377}"/>
    <cellStyle name="Normal 4 4 3 2 4 4" xfId="10697" xr:uid="{91239EBA-B078-4B54-BE36-F2944CEE20FC}"/>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17472" xr:uid="{9F24A447-F2B1-4032-8C6D-C5F09BAC2037}"/>
    <cellStyle name="Normal 4 4 3 2 5 2 3" xfId="13255" xr:uid="{8492F3FD-0806-4935-87DE-71DD61EDFE68}"/>
    <cellStyle name="Normal 4 4 3 2 5 3" xfId="6001" xr:uid="{00000000-0005-0000-0000-000085150000}"/>
    <cellStyle name="Normal 4 4 3 2 5 3 2" xfId="15327" xr:uid="{8D5EBC0E-2684-4184-95A1-9F443F6FB1EF}"/>
    <cellStyle name="Normal 4 4 3 2 5 4" xfId="11110" xr:uid="{4EB78022-58C3-4412-A49D-4A274F520588}"/>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17885" xr:uid="{2A75B016-F86E-43D3-BEAF-0CF123B4A479}"/>
    <cellStyle name="Normal 4 4 3 2 6 2 3" xfId="13668" xr:uid="{E3EB5899-A660-4E06-A10A-18699C75F80A}"/>
    <cellStyle name="Normal 4 4 3 2 6 3" xfId="6414" xr:uid="{00000000-0005-0000-0000-000089150000}"/>
    <cellStyle name="Normal 4 4 3 2 6 3 2" xfId="15740" xr:uid="{2F237E7D-0302-4215-99A5-672A295D11FB}"/>
    <cellStyle name="Normal 4 4 3 2 6 4" xfId="11523" xr:uid="{6E82313C-2752-4229-B769-B533C4729753}"/>
    <cellStyle name="Normal 4 4 3 2 7" xfId="2544" xr:uid="{00000000-0005-0000-0000-00008A150000}"/>
    <cellStyle name="Normal 4 4 3 2 7 2" xfId="6827" xr:uid="{00000000-0005-0000-0000-00008B150000}"/>
    <cellStyle name="Normal 4 4 3 2 7 2 2" xfId="16153" xr:uid="{4B492207-72FE-4D02-AAF1-14E2716D0263}"/>
    <cellStyle name="Normal 4 4 3 2 7 3" xfId="11936" xr:uid="{270F2226-2062-4E43-B77A-F157E237058A}"/>
    <cellStyle name="Normal 4 4 3 2 8" xfId="4762" xr:uid="{00000000-0005-0000-0000-00008C150000}"/>
    <cellStyle name="Normal 4 4 3 2 8 2" xfId="14088" xr:uid="{98B8EFE8-DCF0-4C1F-9972-17E5E5D6D3B7}"/>
    <cellStyle name="Normal 4 4 3 2 9" xfId="8926" xr:uid="{821D1F47-EF8D-4C64-BA70-5606A81A57B5}"/>
    <cellStyle name="Normal 4 4 3 2 9 2" xfId="18250" xr:uid="{F236F149-696F-4483-943E-0357FCF416A7}"/>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16648" xr:uid="{6204536F-72AB-4152-B06A-39126965034F}"/>
    <cellStyle name="Normal 4 4 3 3 2 2 3" xfId="12431" xr:uid="{F9559FB8-308F-45F2-84A8-7FD8B1EF3A4B}"/>
    <cellStyle name="Normal 4 4 3 3 2 3" xfId="5177" xr:uid="{00000000-0005-0000-0000-000091150000}"/>
    <cellStyle name="Normal 4 4 3 3 2 3 2" xfId="14503" xr:uid="{76B48100-574A-4C61-B2E2-7A56BE30C43A}"/>
    <cellStyle name="Normal 4 4 3 3 2 4" xfId="9455" xr:uid="{E39EB3A2-D99A-426C-AFEC-E4C90C85BE02}"/>
    <cellStyle name="Normal 4 4 3 3 2 4 2" xfId="18770" xr:uid="{F69A9384-5FC8-47F3-B3E7-138085C7F028}"/>
    <cellStyle name="Normal 4 4 3 3 2 5" xfId="10286" xr:uid="{98982C64-E3C1-4801-91EA-089F8B7C2675}"/>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17061" xr:uid="{0C319496-670E-4384-8827-6D3BBDCC66DA}"/>
    <cellStyle name="Normal 4 4 3 3 3 2 3" xfId="12844" xr:uid="{5864C8A5-E491-4555-AC8F-D4CBDFE7AF19}"/>
    <cellStyle name="Normal 4 4 3 3 3 3" xfId="5590" xr:uid="{00000000-0005-0000-0000-000095150000}"/>
    <cellStyle name="Normal 4 4 3 3 3 3 2" xfId="14916" xr:uid="{0F04862D-7F92-4667-82CA-4DCE6E862362}"/>
    <cellStyle name="Normal 4 4 3 3 3 4" xfId="10699" xr:uid="{1A782B1D-1144-4F00-9468-BD2ACF40674E}"/>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17474" xr:uid="{300EDC1D-E2F8-41E3-909A-DA2692AE7E10}"/>
    <cellStyle name="Normal 4 4 3 3 4 2 3" xfId="13257" xr:uid="{D0EEAF1B-7BB1-4724-9C71-FFE95D6CC015}"/>
    <cellStyle name="Normal 4 4 3 3 4 3" xfId="6003" xr:uid="{00000000-0005-0000-0000-000099150000}"/>
    <cellStyle name="Normal 4 4 3 3 4 3 2" xfId="15329" xr:uid="{11643FD1-66BC-4721-BD2F-E3F49B847E29}"/>
    <cellStyle name="Normal 4 4 3 3 4 4" xfId="11112" xr:uid="{1792F313-F6C0-4686-8246-6D8EBB14D564}"/>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17887" xr:uid="{7E2C62F2-9C52-4C10-BA99-4D45F93A02AA}"/>
    <cellStyle name="Normal 4 4 3 3 5 2 3" xfId="13670" xr:uid="{4291F00D-0070-44A0-8690-056BFBD3FE7D}"/>
    <cellStyle name="Normal 4 4 3 3 5 3" xfId="6416" xr:uid="{00000000-0005-0000-0000-00009D150000}"/>
    <cellStyle name="Normal 4 4 3 3 5 3 2" xfId="15742" xr:uid="{72953236-1021-42F0-8AFD-8B12F2F14FA8}"/>
    <cellStyle name="Normal 4 4 3 3 5 4" xfId="11525" xr:uid="{3A0E2287-2928-4015-AC8A-CB131037D8A4}"/>
    <cellStyle name="Normal 4 4 3 3 6" xfId="2546" xr:uid="{00000000-0005-0000-0000-00009E150000}"/>
    <cellStyle name="Normal 4 4 3 3 6 2" xfId="6829" xr:uid="{00000000-0005-0000-0000-00009F150000}"/>
    <cellStyle name="Normal 4 4 3 3 6 2 2" xfId="16155" xr:uid="{B16F2BAE-0723-4CDA-B34A-30C863F9F202}"/>
    <cellStyle name="Normal 4 4 3 3 6 3" xfId="11938" xr:uid="{06CAC0E6-ECE3-46EF-A0CC-AA50A1B458B9}"/>
    <cellStyle name="Normal 4 4 3 3 7" xfId="4764" xr:uid="{00000000-0005-0000-0000-0000A0150000}"/>
    <cellStyle name="Normal 4 4 3 3 7 2" xfId="14090" xr:uid="{367DF5B1-F740-4F13-86DA-21678BE05884}"/>
    <cellStyle name="Normal 4 4 3 3 8" xfId="9030" xr:uid="{F975DAAD-4546-4770-9976-5C5C66DA227B}"/>
    <cellStyle name="Normal 4 4 3 3 8 2" xfId="18354" xr:uid="{07046B11-EAA8-458B-BEA2-C74684C1113F}"/>
    <cellStyle name="Normal 4 4 3 3 9" xfId="9873" xr:uid="{A804C446-7B19-4C34-8FE9-BA1FC1EA74B6}"/>
    <cellStyle name="Normal 4 4 3 4" xfId="862" xr:uid="{00000000-0005-0000-0000-0000A1150000}"/>
    <cellStyle name="Normal 4 4 3 4 2" xfId="3097" xr:uid="{00000000-0005-0000-0000-0000A2150000}"/>
    <cellStyle name="Normal 4 4 3 4 2 2" xfId="7319" xr:uid="{00000000-0005-0000-0000-0000A3150000}"/>
    <cellStyle name="Normal 4 4 3 4 2 2 2" xfId="16645" xr:uid="{57B6F360-7AF2-4887-ADC3-9EB7B344B1B5}"/>
    <cellStyle name="Normal 4 4 3 4 2 3" xfId="12428" xr:uid="{F6C2936D-6708-40F0-8601-F580B7623843}"/>
    <cellStyle name="Normal 4 4 3 4 3" xfId="5174" xr:uid="{00000000-0005-0000-0000-0000A4150000}"/>
    <cellStyle name="Normal 4 4 3 4 3 2" xfId="14500" xr:uid="{B89B81B4-DE89-40CD-82E4-6BA8848C2A38}"/>
    <cellStyle name="Normal 4 4 3 4 4" xfId="9248" xr:uid="{6C5F877B-48E6-47C2-B849-E53F373D5A86}"/>
    <cellStyle name="Normal 4 4 3 4 4 2" xfId="18563" xr:uid="{5A30874A-3289-43E7-936E-35C464A1AA72}"/>
    <cellStyle name="Normal 4 4 3 4 5" xfId="10283" xr:uid="{C7FF1800-E399-4AD1-A1D7-597045B7C89E}"/>
    <cellStyle name="Normal 4 4 3 5" xfId="1280" xr:uid="{00000000-0005-0000-0000-0000A5150000}"/>
    <cellStyle name="Normal 4 4 3 5 2" xfId="3510" xr:uid="{00000000-0005-0000-0000-0000A6150000}"/>
    <cellStyle name="Normal 4 4 3 5 2 2" xfId="7732" xr:uid="{00000000-0005-0000-0000-0000A7150000}"/>
    <cellStyle name="Normal 4 4 3 5 2 2 2" xfId="17058" xr:uid="{98823283-B075-47D4-A932-9189E7CEFBD7}"/>
    <cellStyle name="Normal 4 4 3 5 2 3" xfId="12841" xr:uid="{00E88F47-C94D-4151-B325-548AAB1C79E7}"/>
    <cellStyle name="Normal 4 4 3 5 3" xfId="5587" xr:uid="{00000000-0005-0000-0000-0000A8150000}"/>
    <cellStyle name="Normal 4 4 3 5 3 2" xfId="14913" xr:uid="{529FE0A2-C0CE-41E0-9DE6-B7A342A7EBC9}"/>
    <cellStyle name="Normal 4 4 3 5 4" xfId="10696" xr:uid="{9703B5E1-FC53-40FA-B683-88AD3E651956}"/>
    <cellStyle name="Normal 4 4 3 6" xfId="1693" xr:uid="{00000000-0005-0000-0000-0000A9150000}"/>
    <cellStyle name="Normal 4 4 3 6 2" xfId="3923" xr:uid="{00000000-0005-0000-0000-0000AA150000}"/>
    <cellStyle name="Normal 4 4 3 6 2 2" xfId="8145" xr:uid="{00000000-0005-0000-0000-0000AB150000}"/>
    <cellStyle name="Normal 4 4 3 6 2 2 2" xfId="17471" xr:uid="{4F4FBD4A-A44B-42F1-84ED-D0348965A0DE}"/>
    <cellStyle name="Normal 4 4 3 6 2 3" xfId="13254" xr:uid="{0C47390B-6D06-49B4-A3FE-4C208148D97A}"/>
    <cellStyle name="Normal 4 4 3 6 3" xfId="6000" xr:uid="{00000000-0005-0000-0000-0000AC150000}"/>
    <cellStyle name="Normal 4 4 3 6 3 2" xfId="15326" xr:uid="{8A0C3FA2-0A9F-48D6-9E80-53E53F1BA988}"/>
    <cellStyle name="Normal 4 4 3 6 4" xfId="11109" xr:uid="{C69FE0DF-F7A0-403B-AF5E-485314C3FF4A}"/>
    <cellStyle name="Normal 4 4 3 7" xfId="2107" xr:uid="{00000000-0005-0000-0000-0000AD150000}"/>
    <cellStyle name="Normal 4 4 3 7 2" xfId="4336" xr:uid="{00000000-0005-0000-0000-0000AE150000}"/>
    <cellStyle name="Normal 4 4 3 7 2 2" xfId="8558" xr:uid="{00000000-0005-0000-0000-0000AF150000}"/>
    <cellStyle name="Normal 4 4 3 7 2 2 2" xfId="17884" xr:uid="{5EF32069-F65D-4FAE-B0F0-9138C980CD0A}"/>
    <cellStyle name="Normal 4 4 3 7 2 3" xfId="13667" xr:uid="{65C7957E-F1A2-44FC-9815-9D6D9459B5E6}"/>
    <cellStyle name="Normal 4 4 3 7 3" xfId="6413" xr:uid="{00000000-0005-0000-0000-0000B0150000}"/>
    <cellStyle name="Normal 4 4 3 7 3 2" xfId="15739" xr:uid="{53A78124-44F4-41DE-A441-DE89535F3CD5}"/>
    <cellStyle name="Normal 4 4 3 7 4" xfId="11522" xr:uid="{198A69E2-A5F7-4E87-9189-8EFA9FCDB9F4}"/>
    <cellStyle name="Normal 4 4 3 8" xfId="2543" xr:uid="{00000000-0005-0000-0000-0000B1150000}"/>
    <cellStyle name="Normal 4 4 3 8 2" xfId="6826" xr:uid="{00000000-0005-0000-0000-0000B2150000}"/>
    <cellStyle name="Normal 4 4 3 8 2 2" xfId="16152" xr:uid="{AA7174E0-F956-4D41-95EB-090629EA6523}"/>
    <cellStyle name="Normal 4 4 3 8 3" xfId="11935" xr:uid="{FDF03269-67D1-40EE-A5AD-CF475B0734E0}"/>
    <cellStyle name="Normal 4 4 3 9" xfId="4761" xr:uid="{00000000-0005-0000-0000-0000B3150000}"/>
    <cellStyle name="Normal 4 4 3 9 2" xfId="14087" xr:uid="{4525255F-3D62-4136-954F-E099972CC507}"/>
    <cellStyle name="Normal 4 4 4" xfId="391" xr:uid="{00000000-0005-0000-0000-0000B4150000}"/>
    <cellStyle name="Normal 4 4 4 10" xfId="9874" xr:uid="{7E86C332-5B8F-4BF0-9BE6-3C19F49A2F5F}"/>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16650" xr:uid="{149EF36D-7EDC-4304-8D04-7DF96D32309E}"/>
    <cellStyle name="Normal 4 4 4 2 2 2 3" xfId="12433" xr:uid="{B74E964A-59FB-4D84-9CC3-C3FA6E7CE708}"/>
    <cellStyle name="Normal 4 4 4 2 2 3" xfId="5179" xr:uid="{00000000-0005-0000-0000-0000B9150000}"/>
    <cellStyle name="Normal 4 4 4 2 2 3 2" xfId="14505" xr:uid="{B71A1E7E-0763-4279-B614-2F797E756918}"/>
    <cellStyle name="Normal 4 4 4 2 2 4" xfId="9484" xr:uid="{69910E0C-08C8-41C5-A6FC-61B52F6CD538}"/>
    <cellStyle name="Normal 4 4 4 2 2 4 2" xfId="18799" xr:uid="{A83E9522-32B9-4AD4-97C0-73692F767C6E}"/>
    <cellStyle name="Normal 4 4 4 2 2 5" xfId="10288" xr:uid="{B5B7434D-DE0C-4203-BDCB-A9DF3D1F8598}"/>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17063" xr:uid="{D04C694C-56B3-4EF6-8845-2D9164E7A154}"/>
    <cellStyle name="Normal 4 4 4 2 3 2 3" xfId="12846" xr:uid="{19FEF894-345E-46C1-AD51-F9FC987F10C0}"/>
    <cellStyle name="Normal 4 4 4 2 3 3" xfId="5592" xr:uid="{00000000-0005-0000-0000-0000BD150000}"/>
    <cellStyle name="Normal 4 4 4 2 3 3 2" xfId="14918" xr:uid="{42526771-D62D-4A13-826A-672A667BD390}"/>
    <cellStyle name="Normal 4 4 4 2 3 4" xfId="10701" xr:uid="{5CF6D28C-B2F6-49AC-BB34-B7A80E530580}"/>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17476" xr:uid="{7FD040FD-0CBA-48D4-B812-99430C78079C}"/>
    <cellStyle name="Normal 4 4 4 2 4 2 3" xfId="13259" xr:uid="{242C3576-425C-4617-9487-AD9034595F49}"/>
    <cellStyle name="Normal 4 4 4 2 4 3" xfId="6005" xr:uid="{00000000-0005-0000-0000-0000C1150000}"/>
    <cellStyle name="Normal 4 4 4 2 4 3 2" xfId="15331" xr:uid="{3DF1FADF-59CF-4028-B798-3A6CB0E92579}"/>
    <cellStyle name="Normal 4 4 4 2 4 4" xfId="11114" xr:uid="{7FA7630B-4165-43DA-8359-A672C613FCE9}"/>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17889" xr:uid="{C0AD21F1-9CDD-43EA-8083-11F73BC03914}"/>
    <cellStyle name="Normal 4 4 4 2 5 2 3" xfId="13672" xr:uid="{F97E6261-9348-42E4-9E70-40C7250BC255}"/>
    <cellStyle name="Normal 4 4 4 2 5 3" xfId="6418" xr:uid="{00000000-0005-0000-0000-0000C5150000}"/>
    <cellStyle name="Normal 4 4 4 2 5 3 2" xfId="15744" xr:uid="{A802B5BA-6F3F-4034-98D8-642AAE66B355}"/>
    <cellStyle name="Normal 4 4 4 2 5 4" xfId="11527" xr:uid="{59CA332E-28D0-49EC-8EBE-057277FE4705}"/>
    <cellStyle name="Normal 4 4 4 2 6" xfId="2548" xr:uid="{00000000-0005-0000-0000-0000C6150000}"/>
    <cellStyle name="Normal 4 4 4 2 6 2" xfId="6831" xr:uid="{00000000-0005-0000-0000-0000C7150000}"/>
    <cellStyle name="Normal 4 4 4 2 6 2 2" xfId="16157" xr:uid="{F8C595BC-C721-4E16-B9CE-E82447AE1525}"/>
    <cellStyle name="Normal 4 4 4 2 6 3" xfId="11940" xr:uid="{C385B92F-8CAE-4919-81F5-D5FC84BFC646}"/>
    <cellStyle name="Normal 4 4 4 2 7" xfId="4766" xr:uid="{00000000-0005-0000-0000-0000C8150000}"/>
    <cellStyle name="Normal 4 4 4 2 7 2" xfId="14092" xr:uid="{1CECB703-1467-42F7-8A19-948D30FBE493}"/>
    <cellStyle name="Normal 4 4 4 2 8" xfId="9059" xr:uid="{76617FCA-DBA6-4291-BD32-6340A19903F7}"/>
    <cellStyle name="Normal 4 4 4 2 8 2" xfId="18383" xr:uid="{5116A0C1-CB98-41CE-84C7-9A7DED942234}"/>
    <cellStyle name="Normal 4 4 4 2 9" xfId="9875" xr:uid="{06C04A95-F279-455B-B5AC-8024EF1A45F3}"/>
    <cellStyle name="Normal 4 4 4 3" xfId="866" xr:uid="{00000000-0005-0000-0000-0000C9150000}"/>
    <cellStyle name="Normal 4 4 4 3 2" xfId="3101" xr:uid="{00000000-0005-0000-0000-0000CA150000}"/>
    <cellStyle name="Normal 4 4 4 3 2 2" xfId="7323" xr:uid="{00000000-0005-0000-0000-0000CB150000}"/>
    <cellStyle name="Normal 4 4 4 3 2 2 2" xfId="16649" xr:uid="{1865F996-E066-48C7-9DF5-65DD5F5E2142}"/>
    <cellStyle name="Normal 4 4 4 3 2 3" xfId="12432" xr:uid="{72613700-60A7-4743-9B8B-2C730C78E47B}"/>
    <cellStyle name="Normal 4 4 4 3 3" xfId="5178" xr:uid="{00000000-0005-0000-0000-0000CC150000}"/>
    <cellStyle name="Normal 4 4 4 3 3 2" xfId="14504" xr:uid="{29DF2A81-E241-41B3-BF27-D673FD9A982D}"/>
    <cellStyle name="Normal 4 4 4 3 4" xfId="9277" xr:uid="{DD01CD29-2559-4BCC-919C-99D1D75C445F}"/>
    <cellStyle name="Normal 4 4 4 3 4 2" xfId="18592" xr:uid="{C75B758E-F8AF-4B48-876F-83EA15928C02}"/>
    <cellStyle name="Normal 4 4 4 3 5" xfId="10287" xr:uid="{3EBDDF76-3384-45D5-BC43-BF50EF211A7A}"/>
    <cellStyle name="Normal 4 4 4 4" xfId="1284" xr:uid="{00000000-0005-0000-0000-0000CD150000}"/>
    <cellStyle name="Normal 4 4 4 4 2" xfId="3514" xr:uid="{00000000-0005-0000-0000-0000CE150000}"/>
    <cellStyle name="Normal 4 4 4 4 2 2" xfId="7736" xr:uid="{00000000-0005-0000-0000-0000CF150000}"/>
    <cellStyle name="Normal 4 4 4 4 2 2 2" xfId="17062" xr:uid="{315BA985-4D3B-434B-BE3F-4261D2DDAF5A}"/>
    <cellStyle name="Normal 4 4 4 4 2 3" xfId="12845" xr:uid="{7B238F47-4C33-41DA-8B40-3E9CDDCB2F16}"/>
    <cellStyle name="Normal 4 4 4 4 3" xfId="5591" xr:uid="{00000000-0005-0000-0000-0000D0150000}"/>
    <cellStyle name="Normal 4 4 4 4 3 2" xfId="14917" xr:uid="{63ACCD89-0253-4FD1-BC3A-8C71C143F513}"/>
    <cellStyle name="Normal 4 4 4 4 4" xfId="10700" xr:uid="{81EA5DBD-40A7-4BAB-AAAE-8D471E2C831D}"/>
    <cellStyle name="Normal 4 4 4 5" xfId="1697" xr:uid="{00000000-0005-0000-0000-0000D1150000}"/>
    <cellStyle name="Normal 4 4 4 5 2" xfId="3927" xr:uid="{00000000-0005-0000-0000-0000D2150000}"/>
    <cellStyle name="Normal 4 4 4 5 2 2" xfId="8149" xr:uid="{00000000-0005-0000-0000-0000D3150000}"/>
    <cellStyle name="Normal 4 4 4 5 2 2 2" xfId="17475" xr:uid="{DAF2C5F2-D672-44EE-AF7C-BBCA2A1F872B}"/>
    <cellStyle name="Normal 4 4 4 5 2 3" xfId="13258" xr:uid="{A53FAEDA-BBAD-40C7-BC12-0D48FB646849}"/>
    <cellStyle name="Normal 4 4 4 5 3" xfId="6004" xr:uid="{00000000-0005-0000-0000-0000D4150000}"/>
    <cellStyle name="Normal 4 4 4 5 3 2" xfId="15330" xr:uid="{6AB80A40-8AFB-490C-8932-052D73058084}"/>
    <cellStyle name="Normal 4 4 4 5 4" xfId="11113" xr:uid="{DFEA3CD5-A27D-40ED-ADA9-0D69175BE6FE}"/>
    <cellStyle name="Normal 4 4 4 6" xfId="2111" xr:uid="{00000000-0005-0000-0000-0000D5150000}"/>
    <cellStyle name="Normal 4 4 4 6 2" xfId="4340" xr:uid="{00000000-0005-0000-0000-0000D6150000}"/>
    <cellStyle name="Normal 4 4 4 6 2 2" xfId="8562" xr:uid="{00000000-0005-0000-0000-0000D7150000}"/>
    <cellStyle name="Normal 4 4 4 6 2 2 2" xfId="17888" xr:uid="{034B9759-DE63-4E77-8E29-97BBE254D407}"/>
    <cellStyle name="Normal 4 4 4 6 2 3" xfId="13671" xr:uid="{1162D4A6-83A3-4B39-953B-2DD12F0812F2}"/>
    <cellStyle name="Normal 4 4 4 6 3" xfId="6417" xr:uid="{00000000-0005-0000-0000-0000D8150000}"/>
    <cellStyle name="Normal 4 4 4 6 3 2" xfId="15743" xr:uid="{36BC855C-3080-4382-9208-19CC94FA7F69}"/>
    <cellStyle name="Normal 4 4 4 6 4" xfId="11526" xr:uid="{828CAB69-047C-4CC0-ADB8-C8E782FA156F}"/>
    <cellStyle name="Normal 4 4 4 7" xfId="2547" xr:uid="{00000000-0005-0000-0000-0000D9150000}"/>
    <cellStyle name="Normal 4 4 4 7 2" xfId="6830" xr:uid="{00000000-0005-0000-0000-0000DA150000}"/>
    <cellStyle name="Normal 4 4 4 7 2 2" xfId="16156" xr:uid="{B5B41E0B-3700-45B0-9372-A2E99FA4AC84}"/>
    <cellStyle name="Normal 4 4 4 7 3" xfId="11939" xr:uid="{58F71EBA-EB95-4429-A387-380403154106}"/>
    <cellStyle name="Normal 4 4 4 8" xfId="4765" xr:uid="{00000000-0005-0000-0000-0000DB150000}"/>
    <cellStyle name="Normal 4 4 4 8 2" xfId="14091" xr:uid="{DB648BD1-A101-4EA7-AA6F-84ACB24CD23C}"/>
    <cellStyle name="Normal 4 4 4 9" xfId="8852" xr:uid="{DF4BB962-85B1-44B5-A0FE-735796672772}"/>
    <cellStyle name="Normal 4 4 4 9 2" xfId="18176" xr:uid="{CDBCE2CC-D1BD-43C1-B864-D8C72F92843A}"/>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2 2 2" xfId="16651" xr:uid="{D1E647B4-BBC3-4BAA-BC7C-DE39310AB706}"/>
    <cellStyle name="Normal 4 4 5 2 2 3" xfId="12434" xr:uid="{121C8706-4B1B-4A50-8D83-2D3D4624AF87}"/>
    <cellStyle name="Normal 4 4 5 2 3" xfId="5180" xr:uid="{00000000-0005-0000-0000-0000E0150000}"/>
    <cellStyle name="Normal 4 4 5 2 3 2" xfId="14506" xr:uid="{AEC2E2FA-D4E6-4202-A30E-DAA7790A7252}"/>
    <cellStyle name="Normal 4 4 5 2 4" xfId="9393" xr:uid="{C2991CC4-4E0B-46C4-B338-C6A1C9BA2DE9}"/>
    <cellStyle name="Normal 4 4 5 2 4 2" xfId="18708" xr:uid="{515C9C3F-A58A-466F-8F96-97A3C17A3736}"/>
    <cellStyle name="Normal 4 4 5 2 5" xfId="10289" xr:uid="{B965A4CE-CC21-430E-8904-3E064C749ECD}"/>
    <cellStyle name="Normal 4 4 5 3" xfId="1286" xr:uid="{00000000-0005-0000-0000-0000E1150000}"/>
    <cellStyle name="Normal 4 4 5 3 2" xfId="3516" xr:uid="{00000000-0005-0000-0000-0000E2150000}"/>
    <cellStyle name="Normal 4 4 5 3 2 2" xfId="7738" xr:uid="{00000000-0005-0000-0000-0000E3150000}"/>
    <cellStyle name="Normal 4 4 5 3 2 2 2" xfId="17064" xr:uid="{AC3B1898-A75C-406F-8B83-9AC5CA948FA2}"/>
    <cellStyle name="Normal 4 4 5 3 2 3" xfId="12847" xr:uid="{9D11BE04-174F-444E-B028-3583F5A5F3CB}"/>
    <cellStyle name="Normal 4 4 5 3 3" xfId="5593" xr:uid="{00000000-0005-0000-0000-0000E4150000}"/>
    <cellStyle name="Normal 4 4 5 3 3 2" xfId="14919" xr:uid="{733F316E-CF1D-45B4-A0D8-5D41947ACA03}"/>
    <cellStyle name="Normal 4 4 5 3 4" xfId="10702" xr:uid="{97C9746B-9FB2-4E8D-AB14-408F5F52F1BC}"/>
    <cellStyle name="Normal 4 4 5 4" xfId="1699" xr:uid="{00000000-0005-0000-0000-0000E5150000}"/>
    <cellStyle name="Normal 4 4 5 4 2" xfId="3929" xr:uid="{00000000-0005-0000-0000-0000E6150000}"/>
    <cellStyle name="Normal 4 4 5 4 2 2" xfId="8151" xr:uid="{00000000-0005-0000-0000-0000E7150000}"/>
    <cellStyle name="Normal 4 4 5 4 2 2 2" xfId="17477" xr:uid="{7CDD47FC-F1DA-46E2-9853-338C5891F91D}"/>
    <cellStyle name="Normal 4 4 5 4 2 3" xfId="13260" xr:uid="{3385B541-99A1-4B1E-9B2B-74E3C93630DB}"/>
    <cellStyle name="Normal 4 4 5 4 3" xfId="6006" xr:uid="{00000000-0005-0000-0000-0000E8150000}"/>
    <cellStyle name="Normal 4 4 5 4 3 2" xfId="15332" xr:uid="{B5C90A29-5370-4506-83B8-560F284BAB20}"/>
    <cellStyle name="Normal 4 4 5 4 4" xfId="11115" xr:uid="{206C964C-FC09-47AE-8AE9-CE56F9E4F50B}"/>
    <cellStyle name="Normal 4 4 5 5" xfId="2113" xr:uid="{00000000-0005-0000-0000-0000E9150000}"/>
    <cellStyle name="Normal 4 4 5 5 2" xfId="4342" xr:uid="{00000000-0005-0000-0000-0000EA150000}"/>
    <cellStyle name="Normal 4 4 5 5 2 2" xfId="8564" xr:uid="{00000000-0005-0000-0000-0000EB150000}"/>
    <cellStyle name="Normal 4 4 5 5 2 2 2" xfId="17890" xr:uid="{3FFE4F87-1F9F-4BBA-9BF7-1916C8A1B948}"/>
    <cellStyle name="Normal 4 4 5 5 2 3" xfId="13673" xr:uid="{8E71C521-9C2A-4A50-8FC5-D7BD900FD3CE}"/>
    <cellStyle name="Normal 4 4 5 5 3" xfId="6419" xr:uid="{00000000-0005-0000-0000-0000EC150000}"/>
    <cellStyle name="Normal 4 4 5 5 3 2" xfId="15745" xr:uid="{9E0C3620-FBB8-4BD6-97C1-EC7DA0A375B2}"/>
    <cellStyle name="Normal 4 4 5 5 4" xfId="11528" xr:uid="{3CF1A8D5-F98F-4242-AD06-271C84EFFCEF}"/>
    <cellStyle name="Normal 4 4 5 6" xfId="2549" xr:uid="{00000000-0005-0000-0000-0000ED150000}"/>
    <cellStyle name="Normal 4 4 5 6 2" xfId="6832" xr:uid="{00000000-0005-0000-0000-0000EE150000}"/>
    <cellStyle name="Normal 4 4 5 6 2 2" xfId="16158" xr:uid="{F0A1E223-3545-47BA-8A4F-FBEF5ED3C2F1}"/>
    <cellStyle name="Normal 4 4 5 6 3" xfId="11941" xr:uid="{2FC43888-ACE4-4A6B-ADF1-0F41F4C54155}"/>
    <cellStyle name="Normal 4 4 5 7" xfId="4767" xr:uid="{00000000-0005-0000-0000-0000EF150000}"/>
    <cellStyle name="Normal 4 4 5 7 2" xfId="14093" xr:uid="{B9388CB2-6DFB-4EAA-B1DA-AE830A1FBE6E}"/>
    <cellStyle name="Normal 4 4 5 8" xfId="8968" xr:uid="{BE877DDE-435D-4CBA-84F2-0372D1DDE771}"/>
    <cellStyle name="Normal 4 4 5 8 2" xfId="18292" xr:uid="{A200304A-60A6-4719-BC71-3F70E957A3CE}"/>
    <cellStyle name="Normal 4 4 5 9" xfId="9876" xr:uid="{565E2D12-BC1F-4027-AAB2-593650E9C147}"/>
    <cellStyle name="Normal 4 4 6" xfId="853" xr:uid="{00000000-0005-0000-0000-0000F0150000}"/>
    <cellStyle name="Normal 4 4 6 2" xfId="3088" xr:uid="{00000000-0005-0000-0000-0000F1150000}"/>
    <cellStyle name="Normal 4 4 6 2 2" xfId="7310" xr:uid="{00000000-0005-0000-0000-0000F2150000}"/>
    <cellStyle name="Normal 4 4 6 2 2 2" xfId="16636" xr:uid="{31A2CF70-1F27-42D6-86A8-20E416DEBA5C}"/>
    <cellStyle name="Normal 4 4 6 2 3" xfId="12419" xr:uid="{87032268-ADFD-4E42-811F-8E18F7A5F14E}"/>
    <cellStyle name="Normal 4 4 6 3" xfId="5165" xr:uid="{00000000-0005-0000-0000-0000F3150000}"/>
    <cellStyle name="Normal 4 4 6 3 2" xfId="14491" xr:uid="{6796FEAC-3DE6-43C5-851F-56C08936F4FC}"/>
    <cellStyle name="Normal 4 4 6 4" xfId="9171" xr:uid="{C474601B-95F0-4C9E-AB77-B3E61D2A21D7}"/>
    <cellStyle name="Normal 4 4 6 4 2" xfId="18489" xr:uid="{31CBDF63-94D5-419D-8994-CFCAE5723FA4}"/>
    <cellStyle name="Normal 4 4 6 5" xfId="10274" xr:uid="{5D0C93AD-7729-4174-81A7-F41C1E366FF7}"/>
    <cellStyle name="Normal 4 4 7" xfId="1271" xr:uid="{00000000-0005-0000-0000-0000F4150000}"/>
    <cellStyle name="Normal 4 4 7 2" xfId="3501" xr:uid="{00000000-0005-0000-0000-0000F5150000}"/>
    <cellStyle name="Normal 4 4 7 2 2" xfId="7723" xr:uid="{00000000-0005-0000-0000-0000F6150000}"/>
    <cellStyle name="Normal 4 4 7 2 2 2" xfId="17049" xr:uid="{B6D8D76C-A654-4B31-8C26-AA77156C5578}"/>
    <cellStyle name="Normal 4 4 7 2 3" xfId="12832" xr:uid="{9AAFB44F-FE9A-442A-8191-E8E2852509E9}"/>
    <cellStyle name="Normal 4 4 7 3" xfId="5578" xr:uid="{00000000-0005-0000-0000-0000F7150000}"/>
    <cellStyle name="Normal 4 4 7 3 2" xfId="14904" xr:uid="{6412CB70-CF86-44C1-A590-4A96BF0E767A}"/>
    <cellStyle name="Normal 4 4 7 4" xfId="10687" xr:uid="{9B311C8A-9982-4DEF-816B-DFD8EB07918D}"/>
    <cellStyle name="Normal 4 4 8" xfId="1684" xr:uid="{00000000-0005-0000-0000-0000F8150000}"/>
    <cellStyle name="Normal 4 4 8 2" xfId="3914" xr:uid="{00000000-0005-0000-0000-0000F9150000}"/>
    <cellStyle name="Normal 4 4 8 2 2" xfId="8136" xr:uid="{00000000-0005-0000-0000-0000FA150000}"/>
    <cellStyle name="Normal 4 4 8 2 2 2" xfId="17462" xr:uid="{5FA32B2D-9A7B-4450-8B90-3B7D214B2802}"/>
    <cellStyle name="Normal 4 4 8 2 3" xfId="13245" xr:uid="{C99FF071-50E7-41E9-8654-C3B8FCA96AB6}"/>
    <cellStyle name="Normal 4 4 8 3" xfId="5991" xr:uid="{00000000-0005-0000-0000-0000FB150000}"/>
    <cellStyle name="Normal 4 4 8 3 2" xfId="15317" xr:uid="{5DA58D26-2C24-4568-ABF8-731D5A9822C9}"/>
    <cellStyle name="Normal 4 4 8 4" xfId="11100" xr:uid="{66C06996-1276-44C6-BFAC-CC04027268BA}"/>
    <cellStyle name="Normal 4 4 9" xfId="2098" xr:uid="{00000000-0005-0000-0000-0000FC150000}"/>
    <cellStyle name="Normal 4 4 9 2" xfId="4327" xr:uid="{00000000-0005-0000-0000-0000FD150000}"/>
    <cellStyle name="Normal 4 4 9 2 2" xfId="8549" xr:uid="{00000000-0005-0000-0000-0000FE150000}"/>
    <cellStyle name="Normal 4 4 9 2 2 2" xfId="17875" xr:uid="{A3C34D51-753D-4F0F-92F3-75E9535CEE44}"/>
    <cellStyle name="Normal 4 4 9 2 3" xfId="13658" xr:uid="{1E29ECC9-4181-4149-8E50-E2C4090ED563}"/>
    <cellStyle name="Normal 4 4 9 3" xfId="6404" xr:uid="{00000000-0005-0000-0000-0000FF150000}"/>
    <cellStyle name="Normal 4 4 9 3 2" xfId="15730" xr:uid="{63FB6538-F585-473C-8DC1-D76CD409D4A7}"/>
    <cellStyle name="Normal 4 4 9 4" xfId="11513" xr:uid="{FF561118-3503-4132-ADE6-EBF95B4264AD}"/>
    <cellStyle name="Normal 4 5" xfId="394" xr:uid="{00000000-0005-0000-0000-000000160000}"/>
    <cellStyle name="Normal 4 6" xfId="395" xr:uid="{00000000-0005-0000-0000-000001160000}"/>
    <cellStyle name="Normal 4 6 10" xfId="4768" xr:uid="{00000000-0005-0000-0000-000002160000}"/>
    <cellStyle name="Normal 4 6 10 2" xfId="14094" xr:uid="{CA8FBF02-792C-42CD-9EF0-1A0872B17830}"/>
    <cellStyle name="Normal 4 6 11" xfId="8772" xr:uid="{23628FEE-4113-4B2C-B2A0-0106FC7F55C2}"/>
    <cellStyle name="Normal 4 6 11 2" xfId="18096" xr:uid="{6771AB81-CDB3-49A5-B2BC-D05A37723FA7}"/>
    <cellStyle name="Normal 4 6 12" xfId="9877" xr:uid="{13DF8EE3-95D2-4C36-B8F1-F274A92F954A}"/>
    <cellStyle name="Normal 4 6 2" xfId="396" xr:uid="{00000000-0005-0000-0000-000003160000}"/>
    <cellStyle name="Normal 4 6 2 10" xfId="8825" xr:uid="{C3062495-9D56-441B-95F6-B73E7DAC524C}"/>
    <cellStyle name="Normal 4 6 2 10 2" xfId="18149" xr:uid="{9C8B34A9-307E-4735-9938-68216961ECE1}"/>
    <cellStyle name="Normal 4 6 2 11" xfId="9878" xr:uid="{F7770808-52D8-447D-9D23-3E10A3254183}"/>
    <cellStyle name="Normal 4 6 2 2" xfId="397" xr:uid="{00000000-0005-0000-0000-000004160000}"/>
    <cellStyle name="Normal 4 6 2 2 10" xfId="9879" xr:uid="{0E5A593F-4BA2-408C-8BF9-09145498D205}"/>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16655" xr:uid="{A30C0887-DCBD-470C-8013-DD315C68BA5B}"/>
    <cellStyle name="Normal 4 6 2 2 2 2 2 3" xfId="12438" xr:uid="{4C5DA679-EFA3-4DA1-8D31-D8101B2299FE}"/>
    <cellStyle name="Normal 4 6 2 2 2 2 3" xfId="5184" xr:uid="{00000000-0005-0000-0000-000009160000}"/>
    <cellStyle name="Normal 4 6 2 2 2 2 3 2" xfId="14510" xr:uid="{259E97BD-C1BC-4C06-BC60-A86AB7FCBBCF}"/>
    <cellStyle name="Normal 4 6 2 2 2 2 4" xfId="9560" xr:uid="{04DAEE11-A96E-4522-8546-8A0C107E12B9}"/>
    <cellStyle name="Normal 4 6 2 2 2 2 4 2" xfId="18875" xr:uid="{FB5951EF-32E0-41DE-B2C6-413FC7D76964}"/>
    <cellStyle name="Normal 4 6 2 2 2 2 5" xfId="10293" xr:uid="{CA92AA60-01E9-45E3-BB70-E743A26D9188}"/>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17068" xr:uid="{EDD32C22-1BA3-48C6-B256-B89821A371E9}"/>
    <cellStyle name="Normal 4 6 2 2 2 3 2 3" xfId="12851" xr:uid="{59C12B6E-7784-4ECB-B7A5-3764D5004D69}"/>
    <cellStyle name="Normal 4 6 2 2 2 3 3" xfId="5597" xr:uid="{00000000-0005-0000-0000-00000D160000}"/>
    <cellStyle name="Normal 4 6 2 2 2 3 3 2" xfId="14923" xr:uid="{D23EC4D1-ED53-42E6-9BE3-81F4363BF5B2}"/>
    <cellStyle name="Normal 4 6 2 2 2 3 4" xfId="10706" xr:uid="{01B4F50D-0533-4125-A2CF-2BA87937DBB3}"/>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17481" xr:uid="{8FBBFF1A-D3FB-42C3-80DA-6026B63CB550}"/>
    <cellStyle name="Normal 4 6 2 2 2 4 2 3" xfId="13264" xr:uid="{DAC0AE37-B407-4135-B42A-801020062636}"/>
    <cellStyle name="Normal 4 6 2 2 2 4 3" xfId="6010" xr:uid="{00000000-0005-0000-0000-000011160000}"/>
    <cellStyle name="Normal 4 6 2 2 2 4 3 2" xfId="15336" xr:uid="{EB6D59B8-F3F5-4238-B78F-2CCA33A2FB6C}"/>
    <cellStyle name="Normal 4 6 2 2 2 4 4" xfId="11119" xr:uid="{C70E9B3A-7537-46AC-ADFD-D92D10DB7805}"/>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17894" xr:uid="{64C2F3A0-FA7A-49FD-AA21-A8527AC9E2CA}"/>
    <cellStyle name="Normal 4 6 2 2 2 5 2 3" xfId="13677" xr:uid="{766FDF67-939A-4205-9E67-69926B8F7940}"/>
    <cellStyle name="Normal 4 6 2 2 2 5 3" xfId="6423" xr:uid="{00000000-0005-0000-0000-000015160000}"/>
    <cellStyle name="Normal 4 6 2 2 2 5 3 2" xfId="15749" xr:uid="{065D80DF-B1B9-4FE2-8900-11B48F35505D}"/>
    <cellStyle name="Normal 4 6 2 2 2 5 4" xfId="11532" xr:uid="{45318340-43F7-4130-B401-DAEC991C42DB}"/>
    <cellStyle name="Normal 4 6 2 2 2 6" xfId="2553" xr:uid="{00000000-0005-0000-0000-000016160000}"/>
    <cellStyle name="Normal 4 6 2 2 2 6 2" xfId="6836" xr:uid="{00000000-0005-0000-0000-000017160000}"/>
    <cellStyle name="Normal 4 6 2 2 2 6 2 2" xfId="16162" xr:uid="{09EA89F1-D3D2-4E23-BA40-0B39E43F76CE}"/>
    <cellStyle name="Normal 4 6 2 2 2 6 3" xfId="11945" xr:uid="{716A0C10-262E-4CFA-B3DB-29F8A248C373}"/>
    <cellStyle name="Normal 4 6 2 2 2 7" xfId="4771" xr:uid="{00000000-0005-0000-0000-000018160000}"/>
    <cellStyle name="Normal 4 6 2 2 2 7 2" xfId="14097" xr:uid="{C4D09AAC-1E94-4217-A005-E2790370C35A}"/>
    <cellStyle name="Normal 4 6 2 2 2 8" xfId="9135" xr:uid="{2F4C420F-13DD-45DD-99DD-C7AFF7CD7823}"/>
    <cellStyle name="Normal 4 6 2 2 2 8 2" xfId="18459" xr:uid="{C1C595E1-380A-424B-B373-A642BBA73456}"/>
    <cellStyle name="Normal 4 6 2 2 2 9" xfId="9880" xr:uid="{B530C3A7-DC37-4F15-A921-EFADC4CC071A}"/>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16654" xr:uid="{C6E811A6-EE7F-47DE-B313-28A185B1AF38}"/>
    <cellStyle name="Normal 4 6 2 2 3 2 3" xfId="12437" xr:uid="{04B40E8E-F16F-4F1B-9D19-E7741EEC0B0B}"/>
    <cellStyle name="Normal 4 6 2 2 3 3" xfId="5183" xr:uid="{00000000-0005-0000-0000-00001C160000}"/>
    <cellStyle name="Normal 4 6 2 2 3 3 2" xfId="14509" xr:uid="{FA10FFED-6E8E-40DA-917F-23A9D12AE210}"/>
    <cellStyle name="Normal 4 6 2 2 3 4" xfId="9353" xr:uid="{60C7EC16-17DE-43AF-A246-41C667B376B7}"/>
    <cellStyle name="Normal 4 6 2 2 3 4 2" xfId="18668" xr:uid="{65B13A68-988A-407D-877D-4B19E00850AD}"/>
    <cellStyle name="Normal 4 6 2 2 3 5" xfId="10292" xr:uid="{B1287987-B15C-439E-9C76-206E2ABDBE96}"/>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17067" xr:uid="{EE46E689-F3E9-46C9-B17D-F718CA6595E3}"/>
    <cellStyle name="Normal 4 6 2 2 4 2 3" xfId="12850" xr:uid="{98C63E61-93C4-4E46-A3C2-700162753ADB}"/>
    <cellStyle name="Normal 4 6 2 2 4 3" xfId="5596" xr:uid="{00000000-0005-0000-0000-000020160000}"/>
    <cellStyle name="Normal 4 6 2 2 4 3 2" xfId="14922" xr:uid="{7B55DF37-D38F-4C6B-9084-6A51B8737BB8}"/>
    <cellStyle name="Normal 4 6 2 2 4 4" xfId="10705" xr:uid="{0AF49209-9A31-41FE-AEF3-12F40F75B66F}"/>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17480" xr:uid="{77BD97EC-C1A3-42C4-85A0-167CCEF8FDD4}"/>
    <cellStyle name="Normal 4 6 2 2 5 2 3" xfId="13263" xr:uid="{09177640-DDBD-4B96-BAEE-4AE454853739}"/>
    <cellStyle name="Normal 4 6 2 2 5 3" xfId="6009" xr:uid="{00000000-0005-0000-0000-000024160000}"/>
    <cellStyle name="Normal 4 6 2 2 5 3 2" xfId="15335" xr:uid="{00D17CD3-48F3-4206-9137-92326E437AF5}"/>
    <cellStyle name="Normal 4 6 2 2 5 4" xfId="11118" xr:uid="{032EF1ED-D0C2-4CD3-BACE-BAE593ACD61B}"/>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17893" xr:uid="{5C4A6473-3D7E-4755-84A5-B89A7792645A}"/>
    <cellStyle name="Normal 4 6 2 2 6 2 3" xfId="13676" xr:uid="{BC91109D-FA9E-405A-82AA-10D7C46911D3}"/>
    <cellStyle name="Normal 4 6 2 2 6 3" xfId="6422" xr:uid="{00000000-0005-0000-0000-000028160000}"/>
    <cellStyle name="Normal 4 6 2 2 6 3 2" xfId="15748" xr:uid="{AC0AE8EB-7622-4A9D-884D-C29DAB92ECFB}"/>
    <cellStyle name="Normal 4 6 2 2 6 4" xfId="11531" xr:uid="{339F40BC-DEE6-46A0-A253-CCCF86397D9B}"/>
    <cellStyle name="Normal 4 6 2 2 7" xfId="2552" xr:uid="{00000000-0005-0000-0000-000029160000}"/>
    <cellStyle name="Normal 4 6 2 2 7 2" xfId="6835" xr:uid="{00000000-0005-0000-0000-00002A160000}"/>
    <cellStyle name="Normal 4 6 2 2 7 2 2" xfId="16161" xr:uid="{1B605975-622A-4751-A17F-704249C5935F}"/>
    <cellStyle name="Normal 4 6 2 2 7 3" xfId="11944" xr:uid="{B35BA86D-7B02-4ED9-B95D-9C4C47C8061B}"/>
    <cellStyle name="Normal 4 6 2 2 8" xfId="4770" xr:uid="{00000000-0005-0000-0000-00002B160000}"/>
    <cellStyle name="Normal 4 6 2 2 8 2" xfId="14096" xr:uid="{30DEEC92-FF9A-4AD2-8B75-FDC054BFA19D}"/>
    <cellStyle name="Normal 4 6 2 2 9" xfId="8928" xr:uid="{EC58FE5E-68BA-4864-AD86-0F9D1DB17AD0}"/>
    <cellStyle name="Normal 4 6 2 2 9 2" xfId="18252" xr:uid="{A364E72D-C027-4D37-AC30-B3CC9B66EF22}"/>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16656" xr:uid="{D4E22427-D7DC-4477-BA9E-751A8755E153}"/>
    <cellStyle name="Normal 4 6 2 3 2 2 3" xfId="12439" xr:uid="{D6543230-1600-48B6-8DCC-9B9653D766B7}"/>
    <cellStyle name="Normal 4 6 2 3 2 3" xfId="5185" xr:uid="{00000000-0005-0000-0000-000030160000}"/>
    <cellStyle name="Normal 4 6 2 3 2 3 2" xfId="14511" xr:uid="{EE4B44F0-BDC9-4C4E-9889-1A231AA00C73}"/>
    <cellStyle name="Normal 4 6 2 3 2 4" xfId="9457" xr:uid="{E86AED2D-42AD-49DE-9461-1FA72B82C89E}"/>
    <cellStyle name="Normal 4 6 2 3 2 4 2" xfId="18772" xr:uid="{9B54DCA9-E431-45F8-845C-25A4DD678116}"/>
    <cellStyle name="Normal 4 6 2 3 2 5" xfId="10294" xr:uid="{669BD1B9-A657-4B66-B2C2-7E82EDCBF66B}"/>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17069" xr:uid="{421E1C37-08F2-46C4-BE2A-6C2F670AAE77}"/>
    <cellStyle name="Normal 4 6 2 3 3 2 3" xfId="12852" xr:uid="{366C4DF4-8EB2-4D8B-B43B-56E188111757}"/>
    <cellStyle name="Normal 4 6 2 3 3 3" xfId="5598" xr:uid="{00000000-0005-0000-0000-000034160000}"/>
    <cellStyle name="Normal 4 6 2 3 3 3 2" xfId="14924" xr:uid="{6665CA55-7402-463F-A9F3-E817A466A208}"/>
    <cellStyle name="Normal 4 6 2 3 3 4" xfId="10707" xr:uid="{4CC9EBCE-C930-4943-B6A9-540230A9BB3C}"/>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17482" xr:uid="{96F66C2E-7D4A-41DD-BE43-279DDC49DD54}"/>
    <cellStyle name="Normal 4 6 2 3 4 2 3" xfId="13265" xr:uid="{E5CFD75E-634F-46FB-814C-CDBE6816144A}"/>
    <cellStyle name="Normal 4 6 2 3 4 3" xfId="6011" xr:uid="{00000000-0005-0000-0000-000038160000}"/>
    <cellStyle name="Normal 4 6 2 3 4 3 2" xfId="15337" xr:uid="{1C8D1C9A-8A69-4315-AFE1-E54C782B9713}"/>
    <cellStyle name="Normal 4 6 2 3 4 4" xfId="11120" xr:uid="{52660DAC-DACF-44A1-A99D-F30E0F098C3C}"/>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17895" xr:uid="{55F239DE-A692-4190-9328-F294138EF00D}"/>
    <cellStyle name="Normal 4 6 2 3 5 2 3" xfId="13678" xr:uid="{9245DFFC-7DF7-4B5D-9C08-C11D6E296460}"/>
    <cellStyle name="Normal 4 6 2 3 5 3" xfId="6424" xr:uid="{00000000-0005-0000-0000-00003C160000}"/>
    <cellStyle name="Normal 4 6 2 3 5 3 2" xfId="15750" xr:uid="{8CDADC24-2D1B-46A7-838A-145B37A1760A}"/>
    <cellStyle name="Normal 4 6 2 3 5 4" xfId="11533" xr:uid="{99D69820-DCCF-4F1B-BD5B-BE6BC9E78D6B}"/>
    <cellStyle name="Normal 4 6 2 3 6" xfId="2554" xr:uid="{00000000-0005-0000-0000-00003D160000}"/>
    <cellStyle name="Normal 4 6 2 3 6 2" xfId="6837" xr:uid="{00000000-0005-0000-0000-00003E160000}"/>
    <cellStyle name="Normal 4 6 2 3 6 2 2" xfId="16163" xr:uid="{5C84CF28-CB00-42DD-A7D7-A4A588AC5E08}"/>
    <cellStyle name="Normal 4 6 2 3 6 3" xfId="11946" xr:uid="{39A39B71-1B61-46BE-B281-AC03B6FDB756}"/>
    <cellStyle name="Normal 4 6 2 3 7" xfId="4772" xr:uid="{00000000-0005-0000-0000-00003F160000}"/>
    <cellStyle name="Normal 4 6 2 3 7 2" xfId="14098" xr:uid="{2A933CA5-5486-468B-854A-158CD324A0D0}"/>
    <cellStyle name="Normal 4 6 2 3 8" xfId="9032" xr:uid="{576A1DC5-5971-4772-803F-0A60F80D4C41}"/>
    <cellStyle name="Normal 4 6 2 3 8 2" xfId="18356" xr:uid="{C9637C55-E44E-4201-AE3B-5D107BBB1943}"/>
    <cellStyle name="Normal 4 6 2 3 9" xfId="9881" xr:uid="{1AC55671-89C7-4045-A9A9-3E5E43C2DC4E}"/>
    <cellStyle name="Normal 4 6 2 4" xfId="870" xr:uid="{00000000-0005-0000-0000-000040160000}"/>
    <cellStyle name="Normal 4 6 2 4 2" xfId="3105" xr:uid="{00000000-0005-0000-0000-000041160000}"/>
    <cellStyle name="Normal 4 6 2 4 2 2" xfId="7327" xr:uid="{00000000-0005-0000-0000-000042160000}"/>
    <cellStyle name="Normal 4 6 2 4 2 2 2" xfId="16653" xr:uid="{4D45DFBE-6892-415B-978C-ADEF08C0EC49}"/>
    <cellStyle name="Normal 4 6 2 4 2 3" xfId="12436" xr:uid="{DE9CE21B-7E28-47F8-A56A-6ACDF78F6F26}"/>
    <cellStyle name="Normal 4 6 2 4 3" xfId="5182" xr:uid="{00000000-0005-0000-0000-000043160000}"/>
    <cellStyle name="Normal 4 6 2 4 3 2" xfId="14508" xr:uid="{F7B7E3B0-6E25-4CB6-9AE8-132BFE9F923C}"/>
    <cellStyle name="Normal 4 6 2 4 4" xfId="9250" xr:uid="{CBBC9A51-5203-4C00-93C7-FE7C973DCDD1}"/>
    <cellStyle name="Normal 4 6 2 4 4 2" xfId="18565" xr:uid="{D7D66F13-BCBA-446B-83F8-2FAED2772B81}"/>
    <cellStyle name="Normal 4 6 2 4 5" xfId="10291" xr:uid="{6ACDAFC1-5FC8-41B2-B0B5-FE2046B981C7}"/>
    <cellStyle name="Normal 4 6 2 5" xfId="1288" xr:uid="{00000000-0005-0000-0000-000044160000}"/>
    <cellStyle name="Normal 4 6 2 5 2" xfId="3518" xr:uid="{00000000-0005-0000-0000-000045160000}"/>
    <cellStyle name="Normal 4 6 2 5 2 2" xfId="7740" xr:uid="{00000000-0005-0000-0000-000046160000}"/>
    <cellStyle name="Normal 4 6 2 5 2 2 2" xfId="17066" xr:uid="{4C44B675-E5B5-407A-8C46-5F428BFB4323}"/>
    <cellStyle name="Normal 4 6 2 5 2 3" xfId="12849" xr:uid="{FFF254F4-8714-40AF-9544-A7C28DE12367}"/>
    <cellStyle name="Normal 4 6 2 5 3" xfId="5595" xr:uid="{00000000-0005-0000-0000-000047160000}"/>
    <cellStyle name="Normal 4 6 2 5 3 2" xfId="14921" xr:uid="{6EE801E4-A946-405A-A86C-873420706593}"/>
    <cellStyle name="Normal 4 6 2 5 4" xfId="10704" xr:uid="{3167FFC0-86DE-4B8B-B9E9-8A27CCC700CF}"/>
    <cellStyle name="Normal 4 6 2 6" xfId="1701" xr:uid="{00000000-0005-0000-0000-000048160000}"/>
    <cellStyle name="Normal 4 6 2 6 2" xfId="3931" xr:uid="{00000000-0005-0000-0000-000049160000}"/>
    <cellStyle name="Normal 4 6 2 6 2 2" xfId="8153" xr:uid="{00000000-0005-0000-0000-00004A160000}"/>
    <cellStyle name="Normal 4 6 2 6 2 2 2" xfId="17479" xr:uid="{7FAB1F7D-D578-47CF-854B-1EB6EC38B30C}"/>
    <cellStyle name="Normal 4 6 2 6 2 3" xfId="13262" xr:uid="{B3E53284-2778-4C6F-93BD-7C0EE61493D7}"/>
    <cellStyle name="Normal 4 6 2 6 3" xfId="6008" xr:uid="{00000000-0005-0000-0000-00004B160000}"/>
    <cellStyle name="Normal 4 6 2 6 3 2" xfId="15334" xr:uid="{E05B4EC5-EB42-4C15-8D62-0224B4B53065}"/>
    <cellStyle name="Normal 4 6 2 6 4" xfId="11117" xr:uid="{D63848F2-AC88-4503-AC54-4E8E1C6E1AB3}"/>
    <cellStyle name="Normal 4 6 2 7" xfId="2115" xr:uid="{00000000-0005-0000-0000-00004C160000}"/>
    <cellStyle name="Normal 4 6 2 7 2" xfId="4344" xr:uid="{00000000-0005-0000-0000-00004D160000}"/>
    <cellStyle name="Normal 4 6 2 7 2 2" xfId="8566" xr:uid="{00000000-0005-0000-0000-00004E160000}"/>
    <cellStyle name="Normal 4 6 2 7 2 2 2" xfId="17892" xr:uid="{25392B91-CE5D-45B4-A9DF-D5EE14BE4CE8}"/>
    <cellStyle name="Normal 4 6 2 7 2 3" xfId="13675" xr:uid="{6B0696B6-8615-441E-8A4C-F8ABF60E9A0B}"/>
    <cellStyle name="Normal 4 6 2 7 3" xfId="6421" xr:uid="{00000000-0005-0000-0000-00004F160000}"/>
    <cellStyle name="Normal 4 6 2 7 3 2" xfId="15747" xr:uid="{1271D75E-A430-48E7-8677-909FC70170B5}"/>
    <cellStyle name="Normal 4 6 2 7 4" xfId="11530" xr:uid="{FE014996-E266-468B-A788-62FB611DC0BF}"/>
    <cellStyle name="Normal 4 6 2 8" xfId="2551" xr:uid="{00000000-0005-0000-0000-000050160000}"/>
    <cellStyle name="Normal 4 6 2 8 2" xfId="6834" xr:uid="{00000000-0005-0000-0000-000051160000}"/>
    <cellStyle name="Normal 4 6 2 8 2 2" xfId="16160" xr:uid="{A12DC870-EA9F-4441-841F-62C0A2D27822}"/>
    <cellStyle name="Normal 4 6 2 8 3" xfId="11943" xr:uid="{220C6BEB-EC12-4777-BAD2-B881910A67C9}"/>
    <cellStyle name="Normal 4 6 2 9" xfId="4769" xr:uid="{00000000-0005-0000-0000-000052160000}"/>
    <cellStyle name="Normal 4 6 2 9 2" xfId="14095" xr:uid="{858C1532-B6CB-4B0D-923E-7B1E868D8A05}"/>
    <cellStyle name="Normal 4 6 3" xfId="400" xr:uid="{00000000-0005-0000-0000-000053160000}"/>
    <cellStyle name="Normal 4 6 3 10" xfId="9882" xr:uid="{726BE50B-18D9-4D71-A0B1-7862D65B1761}"/>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16658" xr:uid="{4D3F0BFF-4211-4594-A6D1-853947B5AFEB}"/>
    <cellStyle name="Normal 4 6 3 2 2 2 3" xfId="12441" xr:uid="{50A3BA11-B6C1-4493-9903-5035D13D7CE5}"/>
    <cellStyle name="Normal 4 6 3 2 2 3" xfId="5187" xr:uid="{00000000-0005-0000-0000-000058160000}"/>
    <cellStyle name="Normal 4 6 3 2 2 3 2" xfId="14513" xr:uid="{104FDF8D-1902-4765-BC91-67DC32B2F204}"/>
    <cellStyle name="Normal 4 6 3 2 2 4" xfId="9507" xr:uid="{63E4C3EA-8BE6-4CDE-9E44-1D64049D4CF5}"/>
    <cellStyle name="Normal 4 6 3 2 2 4 2" xfId="18822" xr:uid="{3350D627-183E-43FE-AFCC-52F939D4384E}"/>
    <cellStyle name="Normal 4 6 3 2 2 5" xfId="10296" xr:uid="{79831F7F-F92B-4130-98AB-D1C4FFCC632B}"/>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17071" xr:uid="{BA5C7113-DE73-48CD-B25A-0018A9100841}"/>
    <cellStyle name="Normal 4 6 3 2 3 2 3" xfId="12854" xr:uid="{55C5BFDC-15C8-4327-8C5D-08BC46D1338D}"/>
    <cellStyle name="Normal 4 6 3 2 3 3" xfId="5600" xr:uid="{00000000-0005-0000-0000-00005C160000}"/>
    <cellStyle name="Normal 4 6 3 2 3 3 2" xfId="14926" xr:uid="{7253334B-0F09-4999-90BB-F878584C5200}"/>
    <cellStyle name="Normal 4 6 3 2 3 4" xfId="10709" xr:uid="{FADC5E5A-4085-4EA7-A059-3E2348BF0834}"/>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17484" xr:uid="{454D2925-6956-4CF9-8494-4B4182FFA836}"/>
    <cellStyle name="Normal 4 6 3 2 4 2 3" xfId="13267" xr:uid="{11783E29-E951-47D7-958D-283788CE94B2}"/>
    <cellStyle name="Normal 4 6 3 2 4 3" xfId="6013" xr:uid="{00000000-0005-0000-0000-000060160000}"/>
    <cellStyle name="Normal 4 6 3 2 4 3 2" xfId="15339" xr:uid="{5D4541A2-FF41-4A73-A4F2-222E15F75C9D}"/>
    <cellStyle name="Normal 4 6 3 2 4 4" xfId="11122" xr:uid="{1631EDC8-E0A2-4CF7-B343-422E762B2705}"/>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17897" xr:uid="{E9040D58-0991-48B8-9F94-DB40E67074DA}"/>
    <cellStyle name="Normal 4 6 3 2 5 2 3" xfId="13680" xr:uid="{E7C1E15A-D298-46CA-9A12-A476E4A1C655}"/>
    <cellStyle name="Normal 4 6 3 2 5 3" xfId="6426" xr:uid="{00000000-0005-0000-0000-000064160000}"/>
    <cellStyle name="Normal 4 6 3 2 5 3 2" xfId="15752" xr:uid="{DB3133E5-EAE9-4294-B9BB-64BBB1E875A6}"/>
    <cellStyle name="Normal 4 6 3 2 5 4" xfId="11535" xr:uid="{23F78479-E407-458A-B7FB-CAD22987830F}"/>
    <cellStyle name="Normal 4 6 3 2 6" xfId="2556" xr:uid="{00000000-0005-0000-0000-000065160000}"/>
    <cellStyle name="Normal 4 6 3 2 6 2" xfId="6839" xr:uid="{00000000-0005-0000-0000-000066160000}"/>
    <cellStyle name="Normal 4 6 3 2 6 2 2" xfId="16165" xr:uid="{7111F807-F642-4500-8578-5C3411517E90}"/>
    <cellStyle name="Normal 4 6 3 2 6 3" xfId="11948" xr:uid="{2E43D694-B70B-4573-B2BE-B91C677BFC6A}"/>
    <cellStyle name="Normal 4 6 3 2 7" xfId="4774" xr:uid="{00000000-0005-0000-0000-000067160000}"/>
    <cellStyle name="Normal 4 6 3 2 7 2" xfId="14100" xr:uid="{2C8C7E8F-4F0C-4F84-9DA7-21E4AD5F23C8}"/>
    <cellStyle name="Normal 4 6 3 2 8" xfId="9082" xr:uid="{B272D1AE-3713-4AD0-AE3F-D1A7344AD432}"/>
    <cellStyle name="Normal 4 6 3 2 8 2" xfId="18406" xr:uid="{8E464B05-57BD-425B-8CA1-D00B2F6855AE}"/>
    <cellStyle name="Normal 4 6 3 2 9" xfId="9883" xr:uid="{C5BD1511-AE32-4F19-B7EA-920EDC4039FB}"/>
    <cellStyle name="Normal 4 6 3 3" xfId="874" xr:uid="{00000000-0005-0000-0000-000068160000}"/>
    <cellStyle name="Normal 4 6 3 3 2" xfId="3109" xr:uid="{00000000-0005-0000-0000-000069160000}"/>
    <cellStyle name="Normal 4 6 3 3 2 2" xfId="7331" xr:uid="{00000000-0005-0000-0000-00006A160000}"/>
    <cellStyle name="Normal 4 6 3 3 2 2 2" xfId="16657" xr:uid="{7A9376D3-A599-4975-8B3F-E902AC187024}"/>
    <cellStyle name="Normal 4 6 3 3 2 3" xfId="12440" xr:uid="{11EF8FC7-BD65-436A-AFFF-10F4B3A1378A}"/>
    <cellStyle name="Normal 4 6 3 3 3" xfId="5186" xr:uid="{00000000-0005-0000-0000-00006B160000}"/>
    <cellStyle name="Normal 4 6 3 3 3 2" xfId="14512" xr:uid="{A3425146-05A5-460F-991F-9AABC38E5A30}"/>
    <cellStyle name="Normal 4 6 3 3 4" xfId="9300" xr:uid="{955A2E97-C871-4115-A4F5-A642AE2D2C4B}"/>
    <cellStyle name="Normal 4 6 3 3 4 2" xfId="18615" xr:uid="{C6CD7532-DF57-4D7D-A40D-99F757A9CE7F}"/>
    <cellStyle name="Normal 4 6 3 3 5" xfId="10295" xr:uid="{0AD18D4A-9800-43BA-8DD9-2D285F428E3F}"/>
    <cellStyle name="Normal 4 6 3 4" xfId="1292" xr:uid="{00000000-0005-0000-0000-00006C160000}"/>
    <cellStyle name="Normal 4 6 3 4 2" xfId="3522" xr:uid="{00000000-0005-0000-0000-00006D160000}"/>
    <cellStyle name="Normal 4 6 3 4 2 2" xfId="7744" xr:uid="{00000000-0005-0000-0000-00006E160000}"/>
    <cellStyle name="Normal 4 6 3 4 2 2 2" xfId="17070" xr:uid="{EAF2E99E-EE69-4766-BA11-73C730A07861}"/>
    <cellStyle name="Normal 4 6 3 4 2 3" xfId="12853" xr:uid="{F1300ED3-2198-403E-A5EE-9780F22ABC7D}"/>
    <cellStyle name="Normal 4 6 3 4 3" xfId="5599" xr:uid="{00000000-0005-0000-0000-00006F160000}"/>
    <cellStyle name="Normal 4 6 3 4 3 2" xfId="14925" xr:uid="{D5E0EC70-D9D1-4990-BFFA-D622F54569ED}"/>
    <cellStyle name="Normal 4 6 3 4 4" xfId="10708" xr:uid="{66929E45-9861-45D6-A39E-15A9D07B9EC0}"/>
    <cellStyle name="Normal 4 6 3 5" xfId="1705" xr:uid="{00000000-0005-0000-0000-000070160000}"/>
    <cellStyle name="Normal 4 6 3 5 2" xfId="3935" xr:uid="{00000000-0005-0000-0000-000071160000}"/>
    <cellStyle name="Normal 4 6 3 5 2 2" xfId="8157" xr:uid="{00000000-0005-0000-0000-000072160000}"/>
    <cellStyle name="Normal 4 6 3 5 2 2 2" xfId="17483" xr:uid="{EE3D2476-CD69-4F0F-B12E-9F1A73407EC7}"/>
    <cellStyle name="Normal 4 6 3 5 2 3" xfId="13266" xr:uid="{0CFA56DB-C32F-40E3-B6DF-A4C3B5246D42}"/>
    <cellStyle name="Normal 4 6 3 5 3" xfId="6012" xr:uid="{00000000-0005-0000-0000-000073160000}"/>
    <cellStyle name="Normal 4 6 3 5 3 2" xfId="15338" xr:uid="{63A4A019-49E7-4DE9-AA94-5953F0BDFE6A}"/>
    <cellStyle name="Normal 4 6 3 5 4" xfId="11121" xr:uid="{7E96CD52-7086-4E73-B015-D9E419547B56}"/>
    <cellStyle name="Normal 4 6 3 6" xfId="2119" xr:uid="{00000000-0005-0000-0000-000074160000}"/>
    <cellStyle name="Normal 4 6 3 6 2" xfId="4348" xr:uid="{00000000-0005-0000-0000-000075160000}"/>
    <cellStyle name="Normal 4 6 3 6 2 2" xfId="8570" xr:uid="{00000000-0005-0000-0000-000076160000}"/>
    <cellStyle name="Normal 4 6 3 6 2 2 2" xfId="17896" xr:uid="{04081D08-E676-4418-A6D5-42ACB8E770E3}"/>
    <cellStyle name="Normal 4 6 3 6 2 3" xfId="13679" xr:uid="{2B85E86C-BEAC-4D8C-82A9-E0E2BCFAD9B3}"/>
    <cellStyle name="Normal 4 6 3 6 3" xfId="6425" xr:uid="{00000000-0005-0000-0000-000077160000}"/>
    <cellStyle name="Normal 4 6 3 6 3 2" xfId="15751" xr:uid="{8939FE7C-3B06-4626-97D7-546D29A6B90C}"/>
    <cellStyle name="Normal 4 6 3 6 4" xfId="11534" xr:uid="{783AAF00-30DC-44BE-95FC-778F504CD8C1}"/>
    <cellStyle name="Normal 4 6 3 7" xfId="2555" xr:uid="{00000000-0005-0000-0000-000078160000}"/>
    <cellStyle name="Normal 4 6 3 7 2" xfId="6838" xr:uid="{00000000-0005-0000-0000-000079160000}"/>
    <cellStyle name="Normal 4 6 3 7 2 2" xfId="16164" xr:uid="{DF157125-C259-4717-9FEC-3007B5CA8243}"/>
    <cellStyle name="Normal 4 6 3 7 3" xfId="11947" xr:uid="{677B10D6-F206-4B5E-BB6E-E67A8B1105C0}"/>
    <cellStyle name="Normal 4 6 3 8" xfId="4773" xr:uid="{00000000-0005-0000-0000-00007A160000}"/>
    <cellStyle name="Normal 4 6 3 8 2" xfId="14099" xr:uid="{6D8DC209-3B53-40F1-8EE6-1E2DE102D572}"/>
    <cellStyle name="Normal 4 6 3 9" xfId="8875" xr:uid="{DFD24C28-B729-444D-A0F6-B5522ED354D5}"/>
    <cellStyle name="Normal 4 6 3 9 2" xfId="18199" xr:uid="{D5861EBF-EC55-4571-9D25-5A6F6FD80517}"/>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2 2 2" xfId="16659" xr:uid="{CD0158C4-06F6-4E6C-BD7E-56DD07CB11B9}"/>
    <cellStyle name="Normal 4 6 4 2 2 3" xfId="12442" xr:uid="{77CF9576-5DC8-4ECF-B348-CD8D36BD61E6}"/>
    <cellStyle name="Normal 4 6 4 2 3" xfId="5188" xr:uid="{00000000-0005-0000-0000-00007F160000}"/>
    <cellStyle name="Normal 4 6 4 2 3 2" xfId="14514" xr:uid="{1CF2F381-D9F8-4117-A0AD-E50186E64828}"/>
    <cellStyle name="Normal 4 6 4 2 4" xfId="9404" xr:uid="{D1BAB6D6-35EF-4C34-91EA-2EB17352CDF9}"/>
    <cellStyle name="Normal 4 6 4 2 4 2" xfId="18719" xr:uid="{AEC3CEB4-17B5-4D33-864D-C3756052911E}"/>
    <cellStyle name="Normal 4 6 4 2 5" xfId="10297" xr:uid="{F8E77F90-6F80-45EC-A6BE-3DA70027E6ED}"/>
    <cellStyle name="Normal 4 6 4 3" xfId="1294" xr:uid="{00000000-0005-0000-0000-000080160000}"/>
    <cellStyle name="Normal 4 6 4 3 2" xfId="3524" xr:uid="{00000000-0005-0000-0000-000081160000}"/>
    <cellStyle name="Normal 4 6 4 3 2 2" xfId="7746" xr:uid="{00000000-0005-0000-0000-000082160000}"/>
    <cellStyle name="Normal 4 6 4 3 2 2 2" xfId="17072" xr:uid="{47BA5084-9D39-4D9C-AC23-2CA47B28221C}"/>
    <cellStyle name="Normal 4 6 4 3 2 3" xfId="12855" xr:uid="{EA37E2F2-3E51-4094-A065-CB0728C8F08E}"/>
    <cellStyle name="Normal 4 6 4 3 3" xfId="5601" xr:uid="{00000000-0005-0000-0000-000083160000}"/>
    <cellStyle name="Normal 4 6 4 3 3 2" xfId="14927" xr:uid="{CC1A4497-4481-4459-B0BC-170DF9F65F82}"/>
    <cellStyle name="Normal 4 6 4 3 4" xfId="10710" xr:uid="{0C021438-C996-44CC-9CEE-96E855AA70B4}"/>
    <cellStyle name="Normal 4 6 4 4" xfId="1707" xr:uid="{00000000-0005-0000-0000-000084160000}"/>
    <cellStyle name="Normal 4 6 4 4 2" xfId="3937" xr:uid="{00000000-0005-0000-0000-000085160000}"/>
    <cellStyle name="Normal 4 6 4 4 2 2" xfId="8159" xr:uid="{00000000-0005-0000-0000-000086160000}"/>
    <cellStyle name="Normal 4 6 4 4 2 2 2" xfId="17485" xr:uid="{AAF697A3-05A4-4785-B61E-1D263558C87C}"/>
    <cellStyle name="Normal 4 6 4 4 2 3" xfId="13268" xr:uid="{4B63D2CD-E7B3-44BF-B924-9CEFDBF26D67}"/>
    <cellStyle name="Normal 4 6 4 4 3" xfId="6014" xr:uid="{00000000-0005-0000-0000-000087160000}"/>
    <cellStyle name="Normal 4 6 4 4 3 2" xfId="15340" xr:uid="{98211577-15B6-4966-886B-38EDBDFF1AB0}"/>
    <cellStyle name="Normal 4 6 4 4 4" xfId="11123" xr:uid="{9F0ECB79-8892-45E7-86BC-4C8931D6DBB3}"/>
    <cellStyle name="Normal 4 6 4 5" xfId="2121" xr:uid="{00000000-0005-0000-0000-000088160000}"/>
    <cellStyle name="Normal 4 6 4 5 2" xfId="4350" xr:uid="{00000000-0005-0000-0000-000089160000}"/>
    <cellStyle name="Normal 4 6 4 5 2 2" xfId="8572" xr:uid="{00000000-0005-0000-0000-00008A160000}"/>
    <cellStyle name="Normal 4 6 4 5 2 2 2" xfId="17898" xr:uid="{80D11909-3630-4865-97CB-4FECDD6F9B46}"/>
    <cellStyle name="Normal 4 6 4 5 2 3" xfId="13681" xr:uid="{95A098B4-88DE-4BA5-AFD4-43814900E9DB}"/>
    <cellStyle name="Normal 4 6 4 5 3" xfId="6427" xr:uid="{00000000-0005-0000-0000-00008B160000}"/>
    <cellStyle name="Normal 4 6 4 5 3 2" xfId="15753" xr:uid="{336ABA20-0E40-4B78-8951-562DF4240AB5}"/>
    <cellStyle name="Normal 4 6 4 5 4" xfId="11536" xr:uid="{1FA4F7EA-7F41-4878-94A8-D9387C475881}"/>
    <cellStyle name="Normal 4 6 4 6" xfId="2557" xr:uid="{00000000-0005-0000-0000-00008C160000}"/>
    <cellStyle name="Normal 4 6 4 6 2" xfId="6840" xr:uid="{00000000-0005-0000-0000-00008D160000}"/>
    <cellStyle name="Normal 4 6 4 6 2 2" xfId="16166" xr:uid="{564379FD-6C87-4D05-B72B-E8D82756E89A}"/>
    <cellStyle name="Normal 4 6 4 6 3" xfId="11949" xr:uid="{0FB0D90D-73AD-41D9-A023-6437AEEB5804}"/>
    <cellStyle name="Normal 4 6 4 7" xfId="4775" xr:uid="{00000000-0005-0000-0000-00008E160000}"/>
    <cellStyle name="Normal 4 6 4 7 2" xfId="14101" xr:uid="{6623CB56-41BF-488F-8CBE-C8F3291889E0}"/>
    <cellStyle name="Normal 4 6 4 8" xfId="8979" xr:uid="{358D1440-F461-4509-8416-8F78F7D13FF4}"/>
    <cellStyle name="Normal 4 6 4 8 2" xfId="18303" xr:uid="{7C1247FC-0D0B-4EF7-91B8-FEAE3A439F0B}"/>
    <cellStyle name="Normal 4 6 4 9" xfId="9884" xr:uid="{5A49AB6D-466B-494F-94C6-2D2E0E0786F2}"/>
    <cellStyle name="Normal 4 6 5" xfId="869" xr:uid="{00000000-0005-0000-0000-00008F160000}"/>
    <cellStyle name="Normal 4 6 5 2" xfId="3104" xr:uid="{00000000-0005-0000-0000-000090160000}"/>
    <cellStyle name="Normal 4 6 5 2 2" xfId="7326" xr:uid="{00000000-0005-0000-0000-000091160000}"/>
    <cellStyle name="Normal 4 6 5 2 2 2" xfId="16652" xr:uid="{1C18523A-EED6-410F-86FD-8F157FA35439}"/>
    <cellStyle name="Normal 4 6 5 2 3" xfId="12435" xr:uid="{34D9A96C-F867-442D-830D-53956859E64B}"/>
    <cellStyle name="Normal 4 6 5 3" xfId="5181" xr:uid="{00000000-0005-0000-0000-000092160000}"/>
    <cellStyle name="Normal 4 6 5 3 2" xfId="14507" xr:uid="{C8DD03A0-1797-46EE-8F87-F48C266B6049}"/>
    <cellStyle name="Normal 4 6 5 4" xfId="9196" xr:uid="{8DF5D81E-BEC3-4373-A99C-2D9CDEEBBA3C}"/>
    <cellStyle name="Normal 4 6 5 4 2" xfId="18512" xr:uid="{F6EDDD22-285E-4A30-B95F-EB3CB6A62374}"/>
    <cellStyle name="Normal 4 6 5 5" xfId="10290" xr:uid="{30C0BFEA-3C1E-4558-86FC-67F758537BD7}"/>
    <cellStyle name="Normal 4 6 6" xfId="1287" xr:uid="{00000000-0005-0000-0000-000093160000}"/>
    <cellStyle name="Normal 4 6 6 2" xfId="3517" xr:uid="{00000000-0005-0000-0000-000094160000}"/>
    <cellStyle name="Normal 4 6 6 2 2" xfId="7739" xr:uid="{00000000-0005-0000-0000-000095160000}"/>
    <cellStyle name="Normal 4 6 6 2 2 2" xfId="17065" xr:uid="{E4AE076D-0B29-4EBD-AF9C-79225E6E7F91}"/>
    <cellStyle name="Normal 4 6 6 2 3" xfId="12848" xr:uid="{EF41B630-D13F-4733-86C5-3F54F9A8A598}"/>
    <cellStyle name="Normal 4 6 6 3" xfId="5594" xr:uid="{00000000-0005-0000-0000-000096160000}"/>
    <cellStyle name="Normal 4 6 6 3 2" xfId="14920" xr:uid="{C999F5A8-7A2C-4184-9D31-5B0392097C02}"/>
    <cellStyle name="Normal 4 6 6 4" xfId="10703" xr:uid="{0125800D-285E-4C06-9F4C-E1FA0781B8B6}"/>
    <cellStyle name="Normal 4 6 7" xfId="1700" xr:uid="{00000000-0005-0000-0000-000097160000}"/>
    <cellStyle name="Normal 4 6 7 2" xfId="3930" xr:uid="{00000000-0005-0000-0000-000098160000}"/>
    <cellStyle name="Normal 4 6 7 2 2" xfId="8152" xr:uid="{00000000-0005-0000-0000-000099160000}"/>
    <cellStyle name="Normal 4 6 7 2 2 2" xfId="17478" xr:uid="{4EF8856D-E4C1-4C31-A56C-594D1A0A09DE}"/>
    <cellStyle name="Normal 4 6 7 2 3" xfId="13261" xr:uid="{F4DA021C-F75A-4543-9104-D5A55C838DAA}"/>
    <cellStyle name="Normal 4 6 7 3" xfId="6007" xr:uid="{00000000-0005-0000-0000-00009A160000}"/>
    <cellStyle name="Normal 4 6 7 3 2" xfId="15333" xr:uid="{90E11B0C-D518-4989-884E-05D205E65C8F}"/>
    <cellStyle name="Normal 4 6 7 4" xfId="11116" xr:uid="{BAA1FC35-76E6-4B0C-AA8C-A69156D82257}"/>
    <cellStyle name="Normal 4 6 8" xfId="2114" xr:uid="{00000000-0005-0000-0000-00009B160000}"/>
    <cellStyle name="Normal 4 6 8 2" xfId="4343" xr:uid="{00000000-0005-0000-0000-00009C160000}"/>
    <cellStyle name="Normal 4 6 8 2 2" xfId="8565" xr:uid="{00000000-0005-0000-0000-00009D160000}"/>
    <cellStyle name="Normal 4 6 8 2 2 2" xfId="17891" xr:uid="{936A0F90-E1B1-4C54-98AE-832E7BA9FF67}"/>
    <cellStyle name="Normal 4 6 8 2 3" xfId="13674" xr:uid="{298CC145-196F-4F33-BB65-38BEDD4D69CE}"/>
    <cellStyle name="Normal 4 6 8 3" xfId="6420" xr:uid="{00000000-0005-0000-0000-00009E160000}"/>
    <cellStyle name="Normal 4 6 8 3 2" xfId="15746" xr:uid="{4AA6154A-8623-4BB1-A093-38F4DB856EF2}"/>
    <cellStyle name="Normal 4 6 8 4" xfId="11529" xr:uid="{370DE132-D9F7-4C60-9288-16CC8ACFE575}"/>
    <cellStyle name="Normal 4 6 9" xfId="2550" xr:uid="{00000000-0005-0000-0000-00009F160000}"/>
    <cellStyle name="Normal 4 6 9 2" xfId="6833" xr:uid="{00000000-0005-0000-0000-0000A0160000}"/>
    <cellStyle name="Normal 4 6 9 2 2" xfId="16159" xr:uid="{F4A44247-401A-486C-BBBA-6AD2D2BAEA8D}"/>
    <cellStyle name="Normal 4 6 9 3" xfId="11942" xr:uid="{C4EEDCE2-DD18-49A1-BA1F-F409848D7984}"/>
    <cellStyle name="Normal 4 7" xfId="403" xr:uid="{00000000-0005-0000-0000-0000A1160000}"/>
    <cellStyle name="Normal 4 7 10" xfId="9885" xr:uid="{4233C457-957D-4088-A59F-609DD1E76B82}"/>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2 2 2" xfId="16661" xr:uid="{34C40785-06E7-4881-839E-17F7808F8F3C}"/>
    <cellStyle name="Normal 4 7 2 2 2 3" xfId="12444" xr:uid="{BD8F870A-0417-4205-9FCF-888A2F5EC1DE}"/>
    <cellStyle name="Normal 4 7 2 2 3" xfId="5190" xr:uid="{00000000-0005-0000-0000-0000A6160000}"/>
    <cellStyle name="Normal 4 7 2 2 3 2" xfId="14516" xr:uid="{689559CA-B409-494A-A7D5-A31044424272}"/>
    <cellStyle name="Normal 4 7 2 2 4" xfId="9475" xr:uid="{1E309EF6-7D7C-4A4D-B2F1-E00D0CF6E167}"/>
    <cellStyle name="Normal 4 7 2 2 4 2" xfId="18790" xr:uid="{6FCA131C-12F0-4CD6-B75C-652E5FFAD780}"/>
    <cellStyle name="Normal 4 7 2 2 5" xfId="10299" xr:uid="{4A9F4ADF-0B26-43F0-BF52-9B171688C106}"/>
    <cellStyle name="Normal 4 7 2 3" xfId="1296" xr:uid="{00000000-0005-0000-0000-0000A7160000}"/>
    <cellStyle name="Normal 4 7 2 3 2" xfId="3526" xr:uid="{00000000-0005-0000-0000-0000A8160000}"/>
    <cellStyle name="Normal 4 7 2 3 2 2" xfId="7748" xr:uid="{00000000-0005-0000-0000-0000A9160000}"/>
    <cellStyle name="Normal 4 7 2 3 2 2 2" xfId="17074" xr:uid="{C3800D5F-8038-451A-97AC-AE847F572978}"/>
    <cellStyle name="Normal 4 7 2 3 2 3" xfId="12857" xr:uid="{4B122E9D-422A-4A14-9CE7-F041E7D3C42C}"/>
    <cellStyle name="Normal 4 7 2 3 3" xfId="5603" xr:uid="{00000000-0005-0000-0000-0000AA160000}"/>
    <cellStyle name="Normal 4 7 2 3 3 2" xfId="14929" xr:uid="{6D08B8E1-ADCE-4DA0-96E4-7E8ED7D489D9}"/>
    <cellStyle name="Normal 4 7 2 3 4" xfId="10712" xr:uid="{B671C258-AB2C-499A-9D0F-F6C808E0E4B0}"/>
    <cellStyle name="Normal 4 7 2 4" xfId="1709" xr:uid="{00000000-0005-0000-0000-0000AB160000}"/>
    <cellStyle name="Normal 4 7 2 4 2" xfId="3939" xr:uid="{00000000-0005-0000-0000-0000AC160000}"/>
    <cellStyle name="Normal 4 7 2 4 2 2" xfId="8161" xr:uid="{00000000-0005-0000-0000-0000AD160000}"/>
    <cellStyle name="Normal 4 7 2 4 2 2 2" xfId="17487" xr:uid="{5BD97A4B-D695-4608-90FF-388207F99D12}"/>
    <cellStyle name="Normal 4 7 2 4 2 3" xfId="13270" xr:uid="{4F03818A-1137-4C1C-87B8-85081C333BE7}"/>
    <cellStyle name="Normal 4 7 2 4 3" xfId="6016" xr:uid="{00000000-0005-0000-0000-0000AE160000}"/>
    <cellStyle name="Normal 4 7 2 4 3 2" xfId="15342" xr:uid="{82CDCE22-62A2-417E-97C2-EDE0D2EF3705}"/>
    <cellStyle name="Normal 4 7 2 4 4" xfId="11125" xr:uid="{E20B62B9-AE03-48A6-8CB1-B2AD987CC1F9}"/>
    <cellStyle name="Normal 4 7 2 5" xfId="2123" xr:uid="{00000000-0005-0000-0000-0000AF160000}"/>
    <cellStyle name="Normal 4 7 2 5 2" xfId="4352" xr:uid="{00000000-0005-0000-0000-0000B0160000}"/>
    <cellStyle name="Normal 4 7 2 5 2 2" xfId="8574" xr:uid="{00000000-0005-0000-0000-0000B1160000}"/>
    <cellStyle name="Normal 4 7 2 5 2 2 2" xfId="17900" xr:uid="{E4B44419-51ED-4EE2-A071-A1EC4B800A39}"/>
    <cellStyle name="Normal 4 7 2 5 2 3" xfId="13683" xr:uid="{CBD4A2A1-C12A-4784-8FB0-16FF91B5328C}"/>
    <cellStyle name="Normal 4 7 2 5 3" xfId="6429" xr:uid="{00000000-0005-0000-0000-0000B2160000}"/>
    <cellStyle name="Normal 4 7 2 5 3 2" xfId="15755" xr:uid="{220A43BC-90FE-48CC-A082-2A72F357DDB0}"/>
    <cellStyle name="Normal 4 7 2 5 4" xfId="11538" xr:uid="{6CA32776-831D-4238-B4D3-6252EE890ADF}"/>
    <cellStyle name="Normal 4 7 2 6" xfId="2559" xr:uid="{00000000-0005-0000-0000-0000B3160000}"/>
    <cellStyle name="Normal 4 7 2 6 2" xfId="6842" xr:uid="{00000000-0005-0000-0000-0000B4160000}"/>
    <cellStyle name="Normal 4 7 2 6 2 2" xfId="16168" xr:uid="{54BBC55E-5B4F-4259-9722-B613226CA544}"/>
    <cellStyle name="Normal 4 7 2 6 3" xfId="11951" xr:uid="{E1C55B77-6422-4D17-A757-DAFB2C8077EB}"/>
    <cellStyle name="Normal 4 7 2 7" xfId="4777" xr:uid="{00000000-0005-0000-0000-0000B5160000}"/>
    <cellStyle name="Normal 4 7 2 7 2" xfId="14103" xr:uid="{DA913710-176E-41F4-9DD0-7BD7077643E2}"/>
    <cellStyle name="Normal 4 7 2 8" xfId="9050" xr:uid="{C18A0BCD-6C40-47C4-AC72-E06914F008F6}"/>
    <cellStyle name="Normal 4 7 2 8 2" xfId="18374" xr:uid="{C5C3E109-9F1D-4CB1-957A-B04C6BCCAB9C}"/>
    <cellStyle name="Normal 4 7 2 9" xfId="9886" xr:uid="{2A1C3533-32D3-4512-BF85-D5F77A763F9B}"/>
    <cellStyle name="Normal 4 7 3" xfId="877" xr:uid="{00000000-0005-0000-0000-0000B6160000}"/>
    <cellStyle name="Normal 4 7 3 2" xfId="3112" xr:uid="{00000000-0005-0000-0000-0000B7160000}"/>
    <cellStyle name="Normal 4 7 3 2 2" xfId="7334" xr:uid="{00000000-0005-0000-0000-0000B8160000}"/>
    <cellStyle name="Normal 4 7 3 2 2 2" xfId="16660" xr:uid="{789A92AA-DB42-40EA-B9E8-4B0683E9D483}"/>
    <cellStyle name="Normal 4 7 3 2 3" xfId="12443" xr:uid="{376A3930-2F88-4CB5-BB1C-915A9DB7BE4B}"/>
    <cellStyle name="Normal 4 7 3 3" xfId="5189" xr:uid="{00000000-0005-0000-0000-0000B9160000}"/>
    <cellStyle name="Normal 4 7 3 3 2" xfId="14515" xr:uid="{01BA85D1-C694-48E8-B3BB-1042185C6432}"/>
    <cellStyle name="Normal 4 7 3 4" xfId="9268" xr:uid="{83DA99B2-5D77-4110-AEB9-304D3ECEF3EB}"/>
    <cellStyle name="Normal 4 7 3 4 2" xfId="18583" xr:uid="{96BF536A-200C-4AE7-B52D-373F385E7984}"/>
    <cellStyle name="Normal 4 7 3 5" xfId="10298" xr:uid="{C26FEB4F-64F6-48F9-BE12-4302E559C57D}"/>
    <cellStyle name="Normal 4 7 4" xfId="1295" xr:uid="{00000000-0005-0000-0000-0000BA160000}"/>
    <cellStyle name="Normal 4 7 4 2" xfId="3525" xr:uid="{00000000-0005-0000-0000-0000BB160000}"/>
    <cellStyle name="Normal 4 7 4 2 2" xfId="7747" xr:uid="{00000000-0005-0000-0000-0000BC160000}"/>
    <cellStyle name="Normal 4 7 4 2 2 2" xfId="17073" xr:uid="{2F0CFB64-4672-4E20-9315-93DB01C0D921}"/>
    <cellStyle name="Normal 4 7 4 2 3" xfId="12856" xr:uid="{BDBADF04-D0F0-4864-9057-CEEA220D5715}"/>
    <cellStyle name="Normal 4 7 4 3" xfId="5602" xr:uid="{00000000-0005-0000-0000-0000BD160000}"/>
    <cellStyle name="Normal 4 7 4 3 2" xfId="14928" xr:uid="{CCA3369C-D4B2-4C25-BD46-FE1E86DF9DD2}"/>
    <cellStyle name="Normal 4 7 4 4" xfId="10711" xr:uid="{3C9FA833-B774-4A2B-83FF-DC6A09A5EAD3}"/>
    <cellStyle name="Normal 4 7 5" xfId="1708" xr:uid="{00000000-0005-0000-0000-0000BE160000}"/>
    <cellStyle name="Normal 4 7 5 2" xfId="3938" xr:uid="{00000000-0005-0000-0000-0000BF160000}"/>
    <cellStyle name="Normal 4 7 5 2 2" xfId="8160" xr:uid="{00000000-0005-0000-0000-0000C0160000}"/>
    <cellStyle name="Normal 4 7 5 2 2 2" xfId="17486" xr:uid="{C52E8A1C-64A6-4384-99AC-25F37C0F6462}"/>
    <cellStyle name="Normal 4 7 5 2 3" xfId="13269" xr:uid="{35848329-A826-42AA-A4DF-7B06E5EAEE91}"/>
    <cellStyle name="Normal 4 7 5 3" xfId="6015" xr:uid="{00000000-0005-0000-0000-0000C1160000}"/>
    <cellStyle name="Normal 4 7 5 3 2" xfId="15341" xr:uid="{814C7434-57D0-4E7D-9F63-9C05E52D259C}"/>
    <cellStyle name="Normal 4 7 5 4" xfId="11124" xr:uid="{D7C6AFB7-75F2-4612-82A9-0EE736E5CFB1}"/>
    <cellStyle name="Normal 4 7 6" xfId="2122" xr:uid="{00000000-0005-0000-0000-0000C2160000}"/>
    <cellStyle name="Normal 4 7 6 2" xfId="4351" xr:uid="{00000000-0005-0000-0000-0000C3160000}"/>
    <cellStyle name="Normal 4 7 6 2 2" xfId="8573" xr:uid="{00000000-0005-0000-0000-0000C4160000}"/>
    <cellStyle name="Normal 4 7 6 2 2 2" xfId="17899" xr:uid="{4493FE84-5B84-4362-9061-7C22B60CB787}"/>
    <cellStyle name="Normal 4 7 6 2 3" xfId="13682" xr:uid="{8BD2CF0B-25E7-4936-8BE1-4456D77EA6CB}"/>
    <cellStyle name="Normal 4 7 6 3" xfId="6428" xr:uid="{00000000-0005-0000-0000-0000C5160000}"/>
    <cellStyle name="Normal 4 7 6 3 2" xfId="15754" xr:uid="{3CD33D5A-9EAA-4577-B1C6-71CED3081F6D}"/>
    <cellStyle name="Normal 4 7 6 4" xfId="11537" xr:uid="{452FB9BD-63E8-4DB5-B208-06AD206BEA27}"/>
    <cellStyle name="Normal 4 7 7" xfId="2558" xr:uid="{00000000-0005-0000-0000-0000C6160000}"/>
    <cellStyle name="Normal 4 7 7 2" xfId="6841" xr:uid="{00000000-0005-0000-0000-0000C7160000}"/>
    <cellStyle name="Normal 4 7 7 2 2" xfId="16167" xr:uid="{5F3CF70C-74C9-4B06-BFC6-E370CA1E6523}"/>
    <cellStyle name="Normal 4 7 7 3" xfId="11950" xr:uid="{218CE8DD-C919-4835-A98C-B2AEA5F7B772}"/>
    <cellStyle name="Normal 4 7 8" xfId="4776" xr:uid="{00000000-0005-0000-0000-0000C8160000}"/>
    <cellStyle name="Normal 4 7 8 2" xfId="14102" xr:uid="{3BDCDEC0-61F8-49DF-B778-AD03B8C13970}"/>
    <cellStyle name="Normal 4 7 9" xfId="8843" xr:uid="{092972D9-0015-4C5A-94A6-5AFD2026266B}"/>
    <cellStyle name="Normal 4 7 9 2" xfId="18167" xr:uid="{9B757568-951F-4441-8316-CD79D60831FE}"/>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2 2 2" xfId="16662" xr:uid="{4E727067-FE61-44A0-8B0E-7EFBF8ED0146}"/>
    <cellStyle name="Normal 4 8 2 2 3" xfId="12445" xr:uid="{60061874-19DD-441E-9A9D-6E5B4D83EE96}"/>
    <cellStyle name="Normal 4 8 2 3" xfId="5191" xr:uid="{00000000-0005-0000-0000-0000CD160000}"/>
    <cellStyle name="Normal 4 8 2 3 2" xfId="14517" xr:uid="{A44C1467-41D8-446C-98F3-ADD078A9DCDE}"/>
    <cellStyle name="Normal 4 8 2 4" xfId="9384" xr:uid="{6351F1DA-E485-4044-8429-C0AE76E79EEE}"/>
    <cellStyle name="Normal 4 8 2 4 2" xfId="18699" xr:uid="{BC84065B-FDC6-4A70-8445-EC35C9AEEDE3}"/>
    <cellStyle name="Normal 4 8 2 5" xfId="10300" xr:uid="{91D35B8E-3A45-4B67-8B50-2C348616122E}"/>
    <cellStyle name="Normal 4 8 3" xfId="1297" xr:uid="{00000000-0005-0000-0000-0000CE160000}"/>
    <cellStyle name="Normal 4 8 3 2" xfId="3527" xr:uid="{00000000-0005-0000-0000-0000CF160000}"/>
    <cellStyle name="Normal 4 8 3 2 2" xfId="7749" xr:uid="{00000000-0005-0000-0000-0000D0160000}"/>
    <cellStyle name="Normal 4 8 3 2 2 2" xfId="17075" xr:uid="{EEB1C00D-C6AF-47BD-8EF4-37947912B893}"/>
    <cellStyle name="Normal 4 8 3 2 3" xfId="12858" xr:uid="{2CBE4252-5A28-49C3-B422-7F2B09B812DE}"/>
    <cellStyle name="Normal 4 8 3 3" xfId="5604" xr:uid="{00000000-0005-0000-0000-0000D1160000}"/>
    <cellStyle name="Normal 4 8 3 3 2" xfId="14930" xr:uid="{E38943BB-D63F-42B3-90CC-ECC719624A70}"/>
    <cellStyle name="Normal 4 8 3 4" xfId="10713" xr:uid="{BCF1F5D6-E5CE-4AC6-B9C6-7F244ECACA9F}"/>
    <cellStyle name="Normal 4 8 4" xfId="1710" xr:uid="{00000000-0005-0000-0000-0000D2160000}"/>
    <cellStyle name="Normal 4 8 4 2" xfId="3940" xr:uid="{00000000-0005-0000-0000-0000D3160000}"/>
    <cellStyle name="Normal 4 8 4 2 2" xfId="8162" xr:uid="{00000000-0005-0000-0000-0000D4160000}"/>
    <cellStyle name="Normal 4 8 4 2 2 2" xfId="17488" xr:uid="{DC51F82D-86BB-4436-BED0-9EFEAFDB24D7}"/>
    <cellStyle name="Normal 4 8 4 2 3" xfId="13271" xr:uid="{022A3523-E8AF-4230-93F1-5E06604CE0CA}"/>
    <cellStyle name="Normal 4 8 4 3" xfId="6017" xr:uid="{00000000-0005-0000-0000-0000D5160000}"/>
    <cellStyle name="Normal 4 8 4 3 2" xfId="15343" xr:uid="{E22A678B-0DB6-4BFE-8294-F6A8FDC14697}"/>
    <cellStyle name="Normal 4 8 4 4" xfId="11126" xr:uid="{D4F38107-8A74-48AD-AC74-CD0FA891241B}"/>
    <cellStyle name="Normal 4 8 5" xfId="2124" xr:uid="{00000000-0005-0000-0000-0000D6160000}"/>
    <cellStyle name="Normal 4 8 5 2" xfId="4353" xr:uid="{00000000-0005-0000-0000-0000D7160000}"/>
    <cellStyle name="Normal 4 8 5 2 2" xfId="8575" xr:uid="{00000000-0005-0000-0000-0000D8160000}"/>
    <cellStyle name="Normal 4 8 5 2 2 2" xfId="17901" xr:uid="{B9308DCE-AC27-4FD5-AA24-BE5AAA864CB6}"/>
    <cellStyle name="Normal 4 8 5 2 3" xfId="13684" xr:uid="{F0E8F7B9-FCE8-40B3-8DBD-291131776B8E}"/>
    <cellStyle name="Normal 4 8 5 3" xfId="6430" xr:uid="{00000000-0005-0000-0000-0000D9160000}"/>
    <cellStyle name="Normal 4 8 5 3 2" xfId="15756" xr:uid="{FBAA0CE5-1859-4584-8C57-0985E68652C0}"/>
    <cellStyle name="Normal 4 8 5 4" xfId="11539" xr:uid="{A7EB4429-004D-43BF-91B4-D2E43AD1512A}"/>
    <cellStyle name="Normal 4 8 6" xfId="2560" xr:uid="{00000000-0005-0000-0000-0000DA160000}"/>
    <cellStyle name="Normal 4 8 6 2" xfId="6843" xr:uid="{00000000-0005-0000-0000-0000DB160000}"/>
    <cellStyle name="Normal 4 8 6 2 2" xfId="16169" xr:uid="{2448B4DF-DB3D-41C4-A18A-E7071AACCC80}"/>
    <cellStyle name="Normal 4 8 6 3" xfId="11952" xr:uid="{5DCDCEFB-EA1E-47BC-9C0F-FF02BB484887}"/>
    <cellStyle name="Normal 4 8 7" xfId="4778" xr:uid="{00000000-0005-0000-0000-0000DC160000}"/>
    <cellStyle name="Normal 4 8 7 2" xfId="14104" xr:uid="{2D62E102-73DC-4614-A0B7-B2B587D176B7}"/>
    <cellStyle name="Normal 4 8 8" xfId="8959" xr:uid="{E3216EF3-66EB-48FF-967C-A258B3C3F4FF}"/>
    <cellStyle name="Normal 4 8 8 2" xfId="18283" xr:uid="{273B83E7-20F5-4850-9EC6-AC42E556C6D2}"/>
    <cellStyle name="Normal 4 8 9" xfId="9887" xr:uid="{4B6EEF89-4F0E-433C-99A5-9AAA4639B4DE}"/>
    <cellStyle name="Normal 4 9" xfId="4715" xr:uid="{00000000-0005-0000-0000-0000DD160000}"/>
    <cellStyle name="Normal 4 9 2" xfId="9162" xr:uid="{BC355FAB-4557-4712-A03F-EB5522B29E6A}"/>
    <cellStyle name="Normal 4 9 2 2" xfId="18480" xr:uid="{A60E7190-9649-4946-AB7D-94542D69A94C}"/>
    <cellStyle name="Normal 4 9 3" xfId="14041" xr:uid="{2E9A7E20-808E-4F0B-9221-941F45D5E4AE}"/>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17489" xr:uid="{B29316DE-FED7-4048-A19D-1BFC43F0F9F1}"/>
    <cellStyle name="Normal 5 10 2 3" xfId="13272" xr:uid="{A7142E7F-8305-4389-9228-EDDF739B8088}"/>
    <cellStyle name="Normal 5 10 3" xfId="6018" xr:uid="{00000000-0005-0000-0000-0000E2160000}"/>
    <cellStyle name="Normal 5 10 3 2" xfId="15344" xr:uid="{0A019849-5099-4EC7-A5D0-2D645567D5E1}"/>
    <cellStyle name="Normal 5 10 4" xfId="11127" xr:uid="{1E8D6D58-8BC4-457E-A588-9905C0D6F840}"/>
    <cellStyle name="Normal 5 11" xfId="2125" xr:uid="{00000000-0005-0000-0000-0000E3160000}"/>
    <cellStyle name="Normal 5 11 2" xfId="4354" xr:uid="{00000000-0005-0000-0000-0000E4160000}"/>
    <cellStyle name="Normal 5 11 2 2" xfId="8576" xr:uid="{00000000-0005-0000-0000-0000E5160000}"/>
    <cellStyle name="Normal 5 11 2 2 2" xfId="17902" xr:uid="{5639EFEC-8441-433F-9A44-FE9EA8F94FD0}"/>
    <cellStyle name="Normal 5 11 2 3" xfId="13685" xr:uid="{9373C548-ECB7-4CB8-9C7B-FCDA2B45499A}"/>
    <cellStyle name="Normal 5 11 3" xfId="6431" xr:uid="{00000000-0005-0000-0000-0000E6160000}"/>
    <cellStyle name="Normal 5 11 3 2" xfId="15757" xr:uid="{6DFF92F6-31BD-4D5A-B84D-402E18AAA64B}"/>
    <cellStyle name="Normal 5 11 4" xfId="11540" xr:uid="{5EE3B09D-A53E-4FA7-9210-ACCE42BA1235}"/>
    <cellStyle name="Normal 5 12" xfId="2561" xr:uid="{00000000-0005-0000-0000-0000E7160000}"/>
    <cellStyle name="Normal 5 12 2" xfId="6844" xr:uid="{00000000-0005-0000-0000-0000E8160000}"/>
    <cellStyle name="Normal 5 12 2 2" xfId="16170" xr:uid="{C220D9D8-EF64-42F5-9E18-D08316FD8EC3}"/>
    <cellStyle name="Normal 5 12 3" xfId="11953" xr:uid="{1D16A427-C8C3-4CBE-BC3B-8BBB3BC0CC94}"/>
    <cellStyle name="Normal 5 13" xfId="4779" xr:uid="{00000000-0005-0000-0000-0000E9160000}"/>
    <cellStyle name="Normal 5 13 2" xfId="14105" xr:uid="{60B7BA69-8129-4149-9F3E-9EC1F6AD6700}"/>
    <cellStyle name="Normal 5 14" xfId="8741" xr:uid="{6467398C-BC57-47BF-AF01-9B3356F8431F}"/>
    <cellStyle name="Normal 5 14 2" xfId="18065" xr:uid="{62EB9D4C-18E1-407C-9D3B-AC40166ACFB8}"/>
    <cellStyle name="Normal 5 15" xfId="9888" xr:uid="{183965A6-2183-4416-9214-3EC6C73F2EE1}"/>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17903" xr:uid="{31ED8B2A-FE46-47C4-88C2-61D25242ECAC}"/>
    <cellStyle name="Normal 5 2 10 2 3" xfId="13686" xr:uid="{2E4CE1BC-B7FC-45E3-A1F0-DE4BC3E10BAE}"/>
    <cellStyle name="Normal 5 2 10 3" xfId="6432" xr:uid="{00000000-0005-0000-0000-0000EE160000}"/>
    <cellStyle name="Normal 5 2 10 3 2" xfId="15758" xr:uid="{A375EB61-3449-4985-9F84-A8534F0AD060}"/>
    <cellStyle name="Normal 5 2 10 4" xfId="11541" xr:uid="{0ADCEDEF-A6CE-4813-B968-A49E0336B85C}"/>
    <cellStyle name="Normal 5 2 11" xfId="2562" xr:uid="{00000000-0005-0000-0000-0000EF160000}"/>
    <cellStyle name="Normal 5 2 11 2" xfId="6845" xr:uid="{00000000-0005-0000-0000-0000F0160000}"/>
    <cellStyle name="Normal 5 2 11 2 2" xfId="16171" xr:uid="{1F81B442-6ACC-4327-A4E4-1983E5AB735D}"/>
    <cellStyle name="Normal 5 2 11 3" xfId="11954" xr:uid="{F8EB5A16-60AA-4AFA-BE66-F3FE9DF82C2A}"/>
    <cellStyle name="Normal 5 2 12" xfId="4780" xr:uid="{00000000-0005-0000-0000-0000F1160000}"/>
    <cellStyle name="Normal 5 2 12 2" xfId="14106" xr:uid="{2C0278C8-D85D-4A78-9C3A-FF6F5446986A}"/>
    <cellStyle name="Normal 5 2 13" xfId="8744" xr:uid="{40D5DF2B-E9DF-4D52-AAE0-3E5A94050B59}"/>
    <cellStyle name="Normal 5 2 13 2" xfId="18068" xr:uid="{6D4D6EEA-ABBD-43AF-BBB3-40D5ECE89A99}"/>
    <cellStyle name="Normal 5 2 14" xfId="9889" xr:uid="{CEE8E012-DD96-402A-B147-5324EF912A5A}"/>
    <cellStyle name="Normal 5 2 2" xfId="408" xr:uid="{00000000-0005-0000-0000-0000F2160000}"/>
    <cellStyle name="Normal 5 2 2 10" xfId="2563" xr:uid="{00000000-0005-0000-0000-0000F3160000}"/>
    <cellStyle name="Normal 5 2 2 10 2" xfId="6846" xr:uid="{00000000-0005-0000-0000-0000F4160000}"/>
    <cellStyle name="Normal 5 2 2 10 2 2" xfId="16172" xr:uid="{EBE9C1BE-3E14-4045-AED6-675365EEB0B0}"/>
    <cellStyle name="Normal 5 2 2 10 3" xfId="11955" xr:uid="{0E0BD4E2-3E9A-4CCC-9F94-E9068287785E}"/>
    <cellStyle name="Normal 5 2 2 11" xfId="4781" xr:uid="{00000000-0005-0000-0000-0000F5160000}"/>
    <cellStyle name="Normal 5 2 2 11 2" xfId="14107" xr:uid="{12EC177C-84F4-4189-A9D0-27A007F1AA56}"/>
    <cellStyle name="Normal 5 2 2 12" xfId="8753" xr:uid="{96D04E2F-D92F-448D-9FDA-8261D8BEE094}"/>
    <cellStyle name="Normal 5 2 2 12 2" xfId="18077" xr:uid="{C153372A-E82B-4304-91C1-D32B412DA694}"/>
    <cellStyle name="Normal 5 2 2 13" xfId="9890" xr:uid="{5C303E64-5784-41FA-9F9B-34C5DEFB86A2}"/>
    <cellStyle name="Normal 5 2 2 2" xfId="409" xr:uid="{00000000-0005-0000-0000-0000F6160000}"/>
    <cellStyle name="Normal 5 2 2 2 10" xfId="4782" xr:uid="{00000000-0005-0000-0000-0000F7160000}"/>
    <cellStyle name="Normal 5 2 2 2 10 2" xfId="14108" xr:uid="{CF281338-DE73-4EDF-820F-2E2942B7F6A6}"/>
    <cellStyle name="Normal 5 2 2 2 11" xfId="8771" xr:uid="{0E58ED1C-12F1-4692-801F-170CA6F7CBDB}"/>
    <cellStyle name="Normal 5 2 2 2 11 2" xfId="18095" xr:uid="{F3CD7F0C-0DA4-4A0F-BEA9-1EC731D78BC1}"/>
    <cellStyle name="Normal 5 2 2 2 12" xfId="9891" xr:uid="{D661B616-2C8A-49D7-9E37-663A5545A26E}"/>
    <cellStyle name="Normal 5 2 2 2 2" xfId="410" xr:uid="{00000000-0005-0000-0000-0000F8160000}"/>
    <cellStyle name="Normal 5 2 2 2 2 10" xfId="8829" xr:uid="{AC161972-21E9-4E03-8D2E-9F95632CB08D}"/>
    <cellStyle name="Normal 5 2 2 2 2 10 2" xfId="18153" xr:uid="{56B6C30A-5AB0-4390-8476-CBA8863A67C7}"/>
    <cellStyle name="Normal 5 2 2 2 2 11" xfId="9892" xr:uid="{1A312747-6C8F-4342-8FCD-08ACEBEEEB6A}"/>
    <cellStyle name="Normal 5 2 2 2 2 2" xfId="411" xr:uid="{00000000-0005-0000-0000-0000F9160000}"/>
    <cellStyle name="Normal 5 2 2 2 2 2 10" xfId="9893" xr:uid="{338AFFC0-AA2C-4BBE-8BFA-7EAB894DCC13}"/>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16669" xr:uid="{125A677D-CCF3-431E-864E-FB7FD093449F}"/>
    <cellStyle name="Normal 5 2 2 2 2 2 2 2 2 3" xfId="12452" xr:uid="{3AF1ACEE-20B6-41B2-810E-15BE1452E490}"/>
    <cellStyle name="Normal 5 2 2 2 2 2 2 2 3" xfId="5198" xr:uid="{00000000-0005-0000-0000-0000FE160000}"/>
    <cellStyle name="Normal 5 2 2 2 2 2 2 2 3 2" xfId="14524" xr:uid="{F6D0E594-8D65-42D5-BCDD-A986D4A49843}"/>
    <cellStyle name="Normal 5 2 2 2 2 2 2 2 4" xfId="9564" xr:uid="{15884BE4-44C0-46E7-A184-FC102AAADEB4}"/>
    <cellStyle name="Normal 5 2 2 2 2 2 2 2 4 2" xfId="18879" xr:uid="{9E789441-F2CD-4996-B0CF-CA58CD363985}"/>
    <cellStyle name="Normal 5 2 2 2 2 2 2 2 5" xfId="10307" xr:uid="{10A3931D-BF08-4A94-8024-6C943DD38C5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17082" xr:uid="{4C3CCF0F-CCF8-4817-9ECE-D67746489A1C}"/>
    <cellStyle name="Normal 5 2 2 2 2 2 2 3 2 3" xfId="12865" xr:uid="{8D5EF671-DFCE-40C7-A590-B27E17762B51}"/>
    <cellStyle name="Normal 5 2 2 2 2 2 2 3 3" xfId="5611" xr:uid="{00000000-0005-0000-0000-000002170000}"/>
    <cellStyle name="Normal 5 2 2 2 2 2 2 3 3 2" xfId="14937" xr:uid="{943CC463-653A-4A98-B216-126799F61D8F}"/>
    <cellStyle name="Normal 5 2 2 2 2 2 2 3 4" xfId="10720" xr:uid="{6AB0B78D-F476-4A75-82EF-29406CFFF6C2}"/>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17495" xr:uid="{14B16693-12BF-4AF1-8374-567104F4E546}"/>
    <cellStyle name="Normal 5 2 2 2 2 2 2 4 2 3" xfId="13278" xr:uid="{AAA536BC-A6BD-4504-8EF4-D448146B88DB}"/>
    <cellStyle name="Normal 5 2 2 2 2 2 2 4 3" xfId="6024" xr:uid="{00000000-0005-0000-0000-000006170000}"/>
    <cellStyle name="Normal 5 2 2 2 2 2 2 4 3 2" xfId="15350" xr:uid="{92754188-C891-42DD-8733-0C53CB6FBC6B}"/>
    <cellStyle name="Normal 5 2 2 2 2 2 2 4 4" xfId="11133" xr:uid="{B3115492-4469-457C-9A19-77EB476AB8AE}"/>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17908" xr:uid="{0A18E095-2EA6-4E99-8C65-C2EE53477D7E}"/>
    <cellStyle name="Normal 5 2 2 2 2 2 2 5 2 3" xfId="13691" xr:uid="{3499893A-6312-4EA4-B8C7-3D86E4D810F0}"/>
    <cellStyle name="Normal 5 2 2 2 2 2 2 5 3" xfId="6437" xr:uid="{00000000-0005-0000-0000-00000A170000}"/>
    <cellStyle name="Normal 5 2 2 2 2 2 2 5 3 2" xfId="15763" xr:uid="{AB58A9B7-A654-439C-9D3D-DDE7BF8C9092}"/>
    <cellStyle name="Normal 5 2 2 2 2 2 2 5 4" xfId="11546" xr:uid="{A2CD9C19-EE8C-4BFD-A715-3E0EAE4E5FA3}"/>
    <cellStyle name="Normal 5 2 2 2 2 2 2 6" xfId="2567" xr:uid="{00000000-0005-0000-0000-00000B170000}"/>
    <cellStyle name="Normal 5 2 2 2 2 2 2 6 2" xfId="6850" xr:uid="{00000000-0005-0000-0000-00000C170000}"/>
    <cellStyle name="Normal 5 2 2 2 2 2 2 6 2 2" xfId="16176" xr:uid="{38B08A18-413A-44E3-BAE6-9EE4153F889D}"/>
    <cellStyle name="Normal 5 2 2 2 2 2 2 6 3" xfId="11959" xr:uid="{78ED8622-80BE-494C-B922-A56CF4FD9AA3}"/>
    <cellStyle name="Normal 5 2 2 2 2 2 2 7" xfId="4785" xr:uid="{00000000-0005-0000-0000-00000D170000}"/>
    <cellStyle name="Normal 5 2 2 2 2 2 2 7 2" xfId="14111" xr:uid="{3E793BE6-CDF0-48A4-891B-86D7CFF4964E}"/>
    <cellStyle name="Normal 5 2 2 2 2 2 2 8" xfId="9139" xr:uid="{CFCC7179-F81D-4929-81F2-C6E64655A093}"/>
    <cellStyle name="Normal 5 2 2 2 2 2 2 8 2" xfId="18463" xr:uid="{FBC8D7A9-8D0E-46CD-AD9D-6F279CFB289E}"/>
    <cellStyle name="Normal 5 2 2 2 2 2 2 9" xfId="9894" xr:uid="{B8EAF0B3-0794-4406-9547-2E4AAC987F34}"/>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16668" xr:uid="{A97CFB11-7CDB-4567-9FC6-A7CDA04E3166}"/>
    <cellStyle name="Normal 5 2 2 2 2 2 3 2 3" xfId="12451" xr:uid="{5A1DCDE0-7CE7-4A32-9D0F-FBE36560FBD9}"/>
    <cellStyle name="Normal 5 2 2 2 2 2 3 3" xfId="5197" xr:uid="{00000000-0005-0000-0000-000011170000}"/>
    <cellStyle name="Normal 5 2 2 2 2 2 3 3 2" xfId="14523" xr:uid="{8A659BB3-6C18-4049-AF80-8AB7592178EC}"/>
    <cellStyle name="Normal 5 2 2 2 2 2 3 4" xfId="9357" xr:uid="{1809EB60-9E69-4954-99A5-643CD830C5FB}"/>
    <cellStyle name="Normal 5 2 2 2 2 2 3 4 2" xfId="18672" xr:uid="{9D21FFCB-BBB8-47B4-8BEE-C9182951437D}"/>
    <cellStyle name="Normal 5 2 2 2 2 2 3 5" xfId="10306" xr:uid="{B4FEE355-A068-482A-A74A-4EC7EEB9E823}"/>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17081" xr:uid="{45D4F70F-BDFD-4BD7-89B4-15C1D953E441}"/>
    <cellStyle name="Normal 5 2 2 2 2 2 4 2 3" xfId="12864" xr:uid="{39A0D011-8FF0-4886-9675-902AF447B47A}"/>
    <cellStyle name="Normal 5 2 2 2 2 2 4 3" xfId="5610" xr:uid="{00000000-0005-0000-0000-000015170000}"/>
    <cellStyle name="Normal 5 2 2 2 2 2 4 3 2" xfId="14936" xr:uid="{F31284ED-F7F2-4C8A-86DF-BEA2645FA1B6}"/>
    <cellStyle name="Normal 5 2 2 2 2 2 4 4" xfId="10719" xr:uid="{6E505D39-DF27-4320-A635-23235B9A5535}"/>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17494" xr:uid="{EC9BE376-1E4F-45DF-946D-23FF1900EBF8}"/>
    <cellStyle name="Normal 5 2 2 2 2 2 5 2 3" xfId="13277" xr:uid="{6AC92788-C1BB-4D15-8FBF-BCCD9272DC3F}"/>
    <cellStyle name="Normal 5 2 2 2 2 2 5 3" xfId="6023" xr:uid="{00000000-0005-0000-0000-000019170000}"/>
    <cellStyle name="Normal 5 2 2 2 2 2 5 3 2" xfId="15349" xr:uid="{3B208AFC-FEA6-429C-832A-3D9EB15DC9B0}"/>
    <cellStyle name="Normal 5 2 2 2 2 2 5 4" xfId="11132" xr:uid="{666FA9E8-A8ED-4080-8520-F1292DCA9112}"/>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17907" xr:uid="{ABD2C62A-4690-49E4-9450-FCE3F4E57834}"/>
    <cellStyle name="Normal 5 2 2 2 2 2 6 2 3" xfId="13690" xr:uid="{69709F35-6E90-4D54-BFD3-35980A20F270}"/>
    <cellStyle name="Normal 5 2 2 2 2 2 6 3" xfId="6436" xr:uid="{00000000-0005-0000-0000-00001D170000}"/>
    <cellStyle name="Normal 5 2 2 2 2 2 6 3 2" xfId="15762" xr:uid="{49003C34-E869-426F-9266-4A3E230AD885}"/>
    <cellStyle name="Normal 5 2 2 2 2 2 6 4" xfId="11545" xr:uid="{A86D8359-377C-43CC-AECC-DD980A2196B3}"/>
    <cellStyle name="Normal 5 2 2 2 2 2 7" xfId="2566" xr:uid="{00000000-0005-0000-0000-00001E170000}"/>
    <cellStyle name="Normal 5 2 2 2 2 2 7 2" xfId="6849" xr:uid="{00000000-0005-0000-0000-00001F170000}"/>
    <cellStyle name="Normal 5 2 2 2 2 2 7 2 2" xfId="16175" xr:uid="{51D42F03-A95E-48F6-97E8-4B927673C1ED}"/>
    <cellStyle name="Normal 5 2 2 2 2 2 7 3" xfId="11958" xr:uid="{68B90D50-DE48-4C2E-978B-5FF36E524C89}"/>
    <cellStyle name="Normal 5 2 2 2 2 2 8" xfId="4784" xr:uid="{00000000-0005-0000-0000-000020170000}"/>
    <cellStyle name="Normal 5 2 2 2 2 2 8 2" xfId="14110" xr:uid="{020F4B87-4728-44EB-A3CB-DC59898393E1}"/>
    <cellStyle name="Normal 5 2 2 2 2 2 9" xfId="8932" xr:uid="{8A89D9DD-5FCE-4028-8D52-F4758EFA866E}"/>
    <cellStyle name="Normal 5 2 2 2 2 2 9 2" xfId="18256" xr:uid="{99190B04-5D5D-4B4A-9878-83545FD9B25F}"/>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16670" xr:uid="{4DE37330-272A-4BD0-9D7F-4DED235E884C}"/>
    <cellStyle name="Normal 5 2 2 2 2 3 2 2 3" xfId="12453" xr:uid="{37DB338E-1183-4D87-9AD3-DDFA30FC8358}"/>
    <cellStyle name="Normal 5 2 2 2 2 3 2 3" xfId="5199" xr:uid="{00000000-0005-0000-0000-000025170000}"/>
    <cellStyle name="Normal 5 2 2 2 2 3 2 3 2" xfId="14525" xr:uid="{1728726E-E30E-4ACF-B367-143951DF3AEF}"/>
    <cellStyle name="Normal 5 2 2 2 2 3 2 4" xfId="9461" xr:uid="{815E4D9A-ED64-4B6C-A17A-F6D83CC40A47}"/>
    <cellStyle name="Normal 5 2 2 2 2 3 2 4 2" xfId="18776" xr:uid="{4028A249-2C43-43F0-AB38-2441574A7176}"/>
    <cellStyle name="Normal 5 2 2 2 2 3 2 5" xfId="10308" xr:uid="{13FED078-CCEE-42D5-95B6-FF59E4524A41}"/>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17083" xr:uid="{18EFF4A1-AD7A-47B2-8D48-6D104A1247F2}"/>
    <cellStyle name="Normal 5 2 2 2 2 3 3 2 3" xfId="12866" xr:uid="{E24964F7-D8E7-43A3-985C-53D908433AFE}"/>
    <cellStyle name="Normal 5 2 2 2 2 3 3 3" xfId="5612" xr:uid="{00000000-0005-0000-0000-000029170000}"/>
    <cellStyle name="Normal 5 2 2 2 2 3 3 3 2" xfId="14938" xr:uid="{5CD5D70D-D858-4F4D-9FB7-4E83DA0F38E7}"/>
    <cellStyle name="Normal 5 2 2 2 2 3 3 4" xfId="10721" xr:uid="{2FC97185-ECA3-475D-80C2-6C11E40DD8BD}"/>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17496" xr:uid="{EC5C499F-C5D4-4948-B5AF-5E361684BB3C}"/>
    <cellStyle name="Normal 5 2 2 2 2 3 4 2 3" xfId="13279" xr:uid="{DC461C08-1D85-4D3B-A98A-4B3581F34D47}"/>
    <cellStyle name="Normal 5 2 2 2 2 3 4 3" xfId="6025" xr:uid="{00000000-0005-0000-0000-00002D170000}"/>
    <cellStyle name="Normal 5 2 2 2 2 3 4 3 2" xfId="15351" xr:uid="{C9B7CD43-4CE3-4B59-A2CA-051C9F253E6E}"/>
    <cellStyle name="Normal 5 2 2 2 2 3 4 4" xfId="11134" xr:uid="{CFFF7263-A7E1-4649-9C49-CF8F5672A7FB}"/>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17909" xr:uid="{F964DBB1-187C-4339-AF32-E6F6B65AA62B}"/>
    <cellStyle name="Normal 5 2 2 2 2 3 5 2 3" xfId="13692" xr:uid="{67A084C4-4CE3-470F-BC07-24B0F65C478C}"/>
    <cellStyle name="Normal 5 2 2 2 2 3 5 3" xfId="6438" xr:uid="{00000000-0005-0000-0000-000031170000}"/>
    <cellStyle name="Normal 5 2 2 2 2 3 5 3 2" xfId="15764" xr:uid="{7C5972AC-F62A-47CB-89DE-C58E6FC38454}"/>
    <cellStyle name="Normal 5 2 2 2 2 3 5 4" xfId="11547" xr:uid="{C51AB281-7986-435C-B79C-0754ECFA7C20}"/>
    <cellStyle name="Normal 5 2 2 2 2 3 6" xfId="2568" xr:uid="{00000000-0005-0000-0000-000032170000}"/>
    <cellStyle name="Normal 5 2 2 2 2 3 6 2" xfId="6851" xr:uid="{00000000-0005-0000-0000-000033170000}"/>
    <cellStyle name="Normal 5 2 2 2 2 3 6 2 2" xfId="16177" xr:uid="{A6C867D7-2DCC-4BF8-92B1-20F99B0538CC}"/>
    <cellStyle name="Normal 5 2 2 2 2 3 6 3" xfId="11960" xr:uid="{DCF5141D-A41B-4E62-98E0-775EF6323BE1}"/>
    <cellStyle name="Normal 5 2 2 2 2 3 7" xfId="4786" xr:uid="{00000000-0005-0000-0000-000034170000}"/>
    <cellStyle name="Normal 5 2 2 2 2 3 7 2" xfId="14112" xr:uid="{C54EC5C2-2B97-4A56-A5C0-5BE1BF94ED40}"/>
    <cellStyle name="Normal 5 2 2 2 2 3 8" xfId="9036" xr:uid="{2B9BC3AC-900A-42EE-A23F-E5574B6E75BC}"/>
    <cellStyle name="Normal 5 2 2 2 2 3 8 2" xfId="18360" xr:uid="{D98FEE8A-8CD5-4D54-81B6-C8CE66D992D7}"/>
    <cellStyle name="Normal 5 2 2 2 2 3 9" xfId="9895" xr:uid="{151940F9-42BF-40C0-AF8D-6BDD495DE61F}"/>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16667" xr:uid="{F9FA64C5-4AD2-45A8-A309-847479B468AA}"/>
    <cellStyle name="Normal 5 2 2 2 2 4 2 3" xfId="12450" xr:uid="{944235FB-CCEB-4FED-8A67-AE56EA7908A2}"/>
    <cellStyle name="Normal 5 2 2 2 2 4 3" xfId="5196" xr:uid="{00000000-0005-0000-0000-000038170000}"/>
    <cellStyle name="Normal 5 2 2 2 2 4 3 2" xfId="14522" xr:uid="{15500F8A-CE4B-49E6-B254-163DB1E79A9D}"/>
    <cellStyle name="Normal 5 2 2 2 2 4 4" xfId="9254" xr:uid="{B0B4DA0D-4C0F-4712-8BF0-280C2A85D575}"/>
    <cellStyle name="Normal 5 2 2 2 2 4 4 2" xfId="18569" xr:uid="{1DBE0971-EA17-49A7-84E0-909DD1E352BB}"/>
    <cellStyle name="Normal 5 2 2 2 2 4 5" xfId="10305" xr:uid="{E458DC92-D8F3-463B-ABAB-DC2B65BC18F3}"/>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17080" xr:uid="{E96AEBB5-C0B0-47E5-BC4D-5378DBE427ED}"/>
    <cellStyle name="Normal 5 2 2 2 2 5 2 3" xfId="12863" xr:uid="{C5EA42DC-50D8-48E7-8AF8-2D52ADDB3218}"/>
    <cellStyle name="Normal 5 2 2 2 2 5 3" xfId="5609" xr:uid="{00000000-0005-0000-0000-00003C170000}"/>
    <cellStyle name="Normal 5 2 2 2 2 5 3 2" xfId="14935" xr:uid="{9A3592DA-51A3-446E-9D17-E5A744C328A6}"/>
    <cellStyle name="Normal 5 2 2 2 2 5 4" xfId="10718" xr:uid="{62ADDED2-DA55-4E08-A395-CF96C4E7D2A3}"/>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17493" xr:uid="{578822C7-E01F-459B-B9C5-35BB4D5B03C1}"/>
    <cellStyle name="Normal 5 2 2 2 2 6 2 3" xfId="13276" xr:uid="{64400DC4-B982-4DBA-92CE-7643DB4A764A}"/>
    <cellStyle name="Normal 5 2 2 2 2 6 3" xfId="6022" xr:uid="{00000000-0005-0000-0000-000040170000}"/>
    <cellStyle name="Normal 5 2 2 2 2 6 3 2" xfId="15348" xr:uid="{117191A6-75F7-4B1A-8305-42668BB989DF}"/>
    <cellStyle name="Normal 5 2 2 2 2 6 4" xfId="11131" xr:uid="{C0D1DE88-94C8-4E76-9DCE-70AD84E85B63}"/>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17906" xr:uid="{64246266-C9E0-4E7E-8EE8-AF2DA4D86A05}"/>
    <cellStyle name="Normal 5 2 2 2 2 7 2 3" xfId="13689" xr:uid="{B24ECD2A-1B99-4E76-B149-2C24BD9075C9}"/>
    <cellStyle name="Normal 5 2 2 2 2 7 3" xfId="6435" xr:uid="{00000000-0005-0000-0000-000044170000}"/>
    <cellStyle name="Normal 5 2 2 2 2 7 3 2" xfId="15761" xr:uid="{60A7B6FA-7BD9-4E21-A415-5E47ECA48F00}"/>
    <cellStyle name="Normal 5 2 2 2 2 7 4" xfId="11544" xr:uid="{117DBCBC-94AE-4D5C-92F0-0071FC34D30A}"/>
    <cellStyle name="Normal 5 2 2 2 2 8" xfId="2565" xr:uid="{00000000-0005-0000-0000-000045170000}"/>
    <cellStyle name="Normal 5 2 2 2 2 8 2" xfId="6848" xr:uid="{00000000-0005-0000-0000-000046170000}"/>
    <cellStyle name="Normal 5 2 2 2 2 8 2 2" xfId="16174" xr:uid="{4C2A22BB-28D6-45A5-B070-FAFCDFC66198}"/>
    <cellStyle name="Normal 5 2 2 2 2 8 3" xfId="11957" xr:uid="{BEAA5E07-36AC-4F3E-8AFD-8A8454453447}"/>
    <cellStyle name="Normal 5 2 2 2 2 9" xfId="4783" xr:uid="{00000000-0005-0000-0000-000047170000}"/>
    <cellStyle name="Normal 5 2 2 2 2 9 2" xfId="14109" xr:uid="{A5ECEEAC-B6AD-4370-89C0-B6E58C7AC9C9}"/>
    <cellStyle name="Normal 5 2 2 2 3" xfId="414" xr:uid="{00000000-0005-0000-0000-000048170000}"/>
    <cellStyle name="Normal 5 2 2 2 3 10" xfId="9896" xr:uid="{5FA42CFC-DAAD-4BB5-8E7F-6A58383D997B}"/>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16672" xr:uid="{4BC7833B-F724-4E8B-85D1-028CD53BC2CF}"/>
    <cellStyle name="Normal 5 2 2 2 3 2 2 2 3" xfId="12455" xr:uid="{48EF24C8-95C2-49D1-8406-680C700896D5}"/>
    <cellStyle name="Normal 5 2 2 2 3 2 2 3" xfId="5201" xr:uid="{00000000-0005-0000-0000-00004D170000}"/>
    <cellStyle name="Normal 5 2 2 2 3 2 2 3 2" xfId="14527" xr:uid="{853D96B4-E05F-4BF3-A1AF-8C2734CFD191}"/>
    <cellStyle name="Normal 5 2 2 2 3 2 2 4" xfId="9506" xr:uid="{65E8E1F9-5B62-47C9-8131-412DF42F5268}"/>
    <cellStyle name="Normal 5 2 2 2 3 2 2 4 2" xfId="18821" xr:uid="{DE651B4E-BA5D-454A-AF97-DCD337660E37}"/>
    <cellStyle name="Normal 5 2 2 2 3 2 2 5" xfId="10310" xr:uid="{51D68F9E-208F-40B6-9703-A2C65D019ACA}"/>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17085" xr:uid="{8F824199-E0D2-45EC-926D-3490081689FC}"/>
    <cellStyle name="Normal 5 2 2 2 3 2 3 2 3" xfId="12868" xr:uid="{45C7A5CC-5174-47AF-9689-BDFACC7C9F25}"/>
    <cellStyle name="Normal 5 2 2 2 3 2 3 3" xfId="5614" xr:uid="{00000000-0005-0000-0000-000051170000}"/>
    <cellStyle name="Normal 5 2 2 2 3 2 3 3 2" xfId="14940" xr:uid="{5E5C662F-6815-4715-A4FC-52AFC65765A2}"/>
    <cellStyle name="Normal 5 2 2 2 3 2 3 4" xfId="10723" xr:uid="{621C2E2C-7C8B-4B99-819B-5B9899554D5E}"/>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17498" xr:uid="{AFA14484-210E-4AD3-943B-F3BA9C6E72E0}"/>
    <cellStyle name="Normal 5 2 2 2 3 2 4 2 3" xfId="13281" xr:uid="{16814608-2594-43FE-8115-54E8F9778AC3}"/>
    <cellStyle name="Normal 5 2 2 2 3 2 4 3" xfId="6027" xr:uid="{00000000-0005-0000-0000-000055170000}"/>
    <cellStyle name="Normal 5 2 2 2 3 2 4 3 2" xfId="15353" xr:uid="{A49C9392-F017-4855-B762-ED23824CB515}"/>
    <cellStyle name="Normal 5 2 2 2 3 2 4 4" xfId="11136" xr:uid="{EB10AFF9-0080-4622-826D-C04773EC7003}"/>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17911" xr:uid="{B5EA22D9-E2AA-43DA-80DE-785DDA6FBCC1}"/>
    <cellStyle name="Normal 5 2 2 2 3 2 5 2 3" xfId="13694" xr:uid="{A307B2C5-9831-4AD4-942B-D55507E7543D}"/>
    <cellStyle name="Normal 5 2 2 2 3 2 5 3" xfId="6440" xr:uid="{00000000-0005-0000-0000-000059170000}"/>
    <cellStyle name="Normal 5 2 2 2 3 2 5 3 2" xfId="15766" xr:uid="{1A58ED3D-32FF-4D78-B2CD-D4854C2883B4}"/>
    <cellStyle name="Normal 5 2 2 2 3 2 5 4" xfId="11549" xr:uid="{63F47C77-B0D6-407E-B84A-F413F82A885C}"/>
    <cellStyle name="Normal 5 2 2 2 3 2 6" xfId="2570" xr:uid="{00000000-0005-0000-0000-00005A170000}"/>
    <cellStyle name="Normal 5 2 2 2 3 2 6 2" xfId="6853" xr:uid="{00000000-0005-0000-0000-00005B170000}"/>
    <cellStyle name="Normal 5 2 2 2 3 2 6 2 2" xfId="16179" xr:uid="{A9B666E4-3F41-4C86-94ED-0378348870DE}"/>
    <cellStyle name="Normal 5 2 2 2 3 2 6 3" xfId="11962" xr:uid="{7EF8DD4C-261E-4D9F-A43E-741BDA5DDAA6}"/>
    <cellStyle name="Normal 5 2 2 2 3 2 7" xfId="4788" xr:uid="{00000000-0005-0000-0000-00005C170000}"/>
    <cellStyle name="Normal 5 2 2 2 3 2 7 2" xfId="14114" xr:uid="{7AA9DB8A-8A90-4441-99E3-C2B04074C546}"/>
    <cellStyle name="Normal 5 2 2 2 3 2 8" xfId="9081" xr:uid="{B0400C6D-4400-4F06-9092-2DCAD3324CF1}"/>
    <cellStyle name="Normal 5 2 2 2 3 2 8 2" xfId="18405" xr:uid="{0B479CD9-7121-4286-BE34-6E8F33424018}"/>
    <cellStyle name="Normal 5 2 2 2 3 2 9" xfId="9897" xr:uid="{67B8AC07-5B29-4BC9-80D3-798C97042EE4}"/>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16671" xr:uid="{B0D51E11-AA21-41CC-95BC-8BA33CDF56AA}"/>
    <cellStyle name="Normal 5 2 2 2 3 3 2 3" xfId="12454" xr:uid="{15098B1E-CFCB-4C09-8CE5-6CAC7311A12B}"/>
    <cellStyle name="Normal 5 2 2 2 3 3 3" xfId="5200" xr:uid="{00000000-0005-0000-0000-000060170000}"/>
    <cellStyle name="Normal 5 2 2 2 3 3 3 2" xfId="14526" xr:uid="{05396049-A029-4C2C-8157-39AB99F8266C}"/>
    <cellStyle name="Normal 5 2 2 2 3 3 4" xfId="9299" xr:uid="{85780536-A38F-4D86-8846-D9FA6BB2D61D}"/>
    <cellStyle name="Normal 5 2 2 2 3 3 4 2" xfId="18614" xr:uid="{2F554F0A-84DA-4A20-993A-36E9D10FB995}"/>
    <cellStyle name="Normal 5 2 2 2 3 3 5" xfId="10309" xr:uid="{2F477223-C8FF-4311-9E4D-DEE9DFA33993}"/>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17084" xr:uid="{16BDE269-EF80-42B1-B317-8461529A6DC4}"/>
    <cellStyle name="Normal 5 2 2 2 3 4 2 3" xfId="12867" xr:uid="{FC7636BA-08B1-44B7-9591-EB0455160506}"/>
    <cellStyle name="Normal 5 2 2 2 3 4 3" xfId="5613" xr:uid="{00000000-0005-0000-0000-000064170000}"/>
    <cellStyle name="Normal 5 2 2 2 3 4 3 2" xfId="14939" xr:uid="{94CD4B89-B7A8-47AA-A298-21657203E4BC}"/>
    <cellStyle name="Normal 5 2 2 2 3 4 4" xfId="10722" xr:uid="{307C7600-9C74-4749-9075-539B9735349F}"/>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17497" xr:uid="{D9811E90-CB30-4F6E-936A-05E67D306806}"/>
    <cellStyle name="Normal 5 2 2 2 3 5 2 3" xfId="13280" xr:uid="{3CA789E1-2868-4FB9-8AED-D8B479A767C4}"/>
    <cellStyle name="Normal 5 2 2 2 3 5 3" xfId="6026" xr:uid="{00000000-0005-0000-0000-000068170000}"/>
    <cellStyle name="Normal 5 2 2 2 3 5 3 2" xfId="15352" xr:uid="{85C97063-AC27-4583-BA65-1EEB85EF8F65}"/>
    <cellStyle name="Normal 5 2 2 2 3 5 4" xfId="11135" xr:uid="{DE48F974-1671-4EE5-9B4D-CD53E1B4AAD2}"/>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17910" xr:uid="{B0EA3E7E-A7B3-4532-9EE7-7B34D1FC5777}"/>
    <cellStyle name="Normal 5 2 2 2 3 6 2 3" xfId="13693" xr:uid="{79861A42-19FB-4169-BDAB-8CDF7899DA42}"/>
    <cellStyle name="Normal 5 2 2 2 3 6 3" xfId="6439" xr:uid="{00000000-0005-0000-0000-00006C170000}"/>
    <cellStyle name="Normal 5 2 2 2 3 6 3 2" xfId="15765" xr:uid="{4FC935FC-09AE-4857-8FCF-73417675B0EE}"/>
    <cellStyle name="Normal 5 2 2 2 3 6 4" xfId="11548" xr:uid="{4180B117-7E45-49E9-8A59-7CE8455FFE00}"/>
    <cellStyle name="Normal 5 2 2 2 3 7" xfId="2569" xr:uid="{00000000-0005-0000-0000-00006D170000}"/>
    <cellStyle name="Normal 5 2 2 2 3 7 2" xfId="6852" xr:uid="{00000000-0005-0000-0000-00006E170000}"/>
    <cellStyle name="Normal 5 2 2 2 3 7 2 2" xfId="16178" xr:uid="{8C7DCD86-43FC-4000-9F47-1EB07C7C80F7}"/>
    <cellStyle name="Normal 5 2 2 2 3 7 3" xfId="11961" xr:uid="{5354DBCC-B20B-4050-8D94-21A615B18D61}"/>
    <cellStyle name="Normal 5 2 2 2 3 8" xfId="4787" xr:uid="{00000000-0005-0000-0000-00006F170000}"/>
    <cellStyle name="Normal 5 2 2 2 3 8 2" xfId="14113" xr:uid="{7B64ABDD-3822-4BB6-BABA-7DA7535C0440}"/>
    <cellStyle name="Normal 5 2 2 2 3 9" xfId="8874" xr:uid="{D7CEB9F3-DFA5-483F-B08A-C4A582DD7FE8}"/>
    <cellStyle name="Normal 5 2 2 2 3 9 2" xfId="18198" xr:uid="{23F677A0-AE52-4D40-978B-4475B4530531}"/>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16673" xr:uid="{0300CD21-4F5F-49B5-BC38-AFFD92BA459E}"/>
    <cellStyle name="Normal 5 2 2 2 4 2 2 3" xfId="12456" xr:uid="{4459D3F5-BEDD-4EDA-BBE9-E4737D51B9E7}"/>
    <cellStyle name="Normal 5 2 2 2 4 2 3" xfId="5202" xr:uid="{00000000-0005-0000-0000-000074170000}"/>
    <cellStyle name="Normal 5 2 2 2 4 2 3 2" xfId="14528" xr:uid="{03AFA93E-C82D-47DC-A66A-98BBB68F7058}"/>
    <cellStyle name="Normal 5 2 2 2 4 2 4" xfId="9403" xr:uid="{DDA7C497-662A-4A76-A324-A27E6A0A2B3D}"/>
    <cellStyle name="Normal 5 2 2 2 4 2 4 2" xfId="18718" xr:uid="{DF96D0D4-E82C-46B6-87DE-80A3DB191586}"/>
    <cellStyle name="Normal 5 2 2 2 4 2 5" xfId="10311" xr:uid="{52C7DE08-BA4C-4D86-80FB-AE0813825D7E}"/>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17086" xr:uid="{511D8C3C-20C0-483B-B34C-69433DF47E70}"/>
    <cellStyle name="Normal 5 2 2 2 4 3 2 3" xfId="12869" xr:uid="{9875FB83-6B37-4CD1-8237-C4DE9CE90490}"/>
    <cellStyle name="Normal 5 2 2 2 4 3 3" xfId="5615" xr:uid="{00000000-0005-0000-0000-000078170000}"/>
    <cellStyle name="Normal 5 2 2 2 4 3 3 2" xfId="14941" xr:uid="{D7FC747C-E24D-4388-AA34-C44803A0D1E5}"/>
    <cellStyle name="Normal 5 2 2 2 4 3 4" xfId="10724" xr:uid="{5B168C08-0059-478D-AB35-CE351AF916F4}"/>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17499" xr:uid="{18C989DF-A67E-4A4B-BC25-BFF5C7B0C464}"/>
    <cellStyle name="Normal 5 2 2 2 4 4 2 3" xfId="13282" xr:uid="{9FB39D5B-B460-45AA-8EEE-46A176291685}"/>
    <cellStyle name="Normal 5 2 2 2 4 4 3" xfId="6028" xr:uid="{00000000-0005-0000-0000-00007C170000}"/>
    <cellStyle name="Normal 5 2 2 2 4 4 3 2" xfId="15354" xr:uid="{9C6FFB02-221D-4797-9A6F-9DAB817453A6}"/>
    <cellStyle name="Normal 5 2 2 2 4 4 4" xfId="11137" xr:uid="{C8966019-A35D-4A9B-AF05-B45352437C29}"/>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17912" xr:uid="{9F82C6E8-6FA2-47C0-8E36-06A7CFBC13F3}"/>
    <cellStyle name="Normal 5 2 2 2 4 5 2 3" xfId="13695" xr:uid="{82307D0D-829C-4809-85D0-33A6243FB0A4}"/>
    <cellStyle name="Normal 5 2 2 2 4 5 3" xfId="6441" xr:uid="{00000000-0005-0000-0000-000080170000}"/>
    <cellStyle name="Normal 5 2 2 2 4 5 3 2" xfId="15767" xr:uid="{1D317E35-B491-463A-8B66-51994C2116ED}"/>
    <cellStyle name="Normal 5 2 2 2 4 5 4" xfId="11550" xr:uid="{4508FDEC-CEA0-4040-A1EB-895B04AE68FC}"/>
    <cellStyle name="Normal 5 2 2 2 4 6" xfId="2571" xr:uid="{00000000-0005-0000-0000-000081170000}"/>
    <cellStyle name="Normal 5 2 2 2 4 6 2" xfId="6854" xr:uid="{00000000-0005-0000-0000-000082170000}"/>
    <cellStyle name="Normal 5 2 2 2 4 6 2 2" xfId="16180" xr:uid="{8C1028BD-5799-48BB-AF65-96DFE4E88BA0}"/>
    <cellStyle name="Normal 5 2 2 2 4 6 3" xfId="11963" xr:uid="{5D3C54D2-3C94-4E41-BC48-02FEE9611434}"/>
    <cellStyle name="Normal 5 2 2 2 4 7" xfId="4789" xr:uid="{00000000-0005-0000-0000-000083170000}"/>
    <cellStyle name="Normal 5 2 2 2 4 7 2" xfId="14115" xr:uid="{7B9FB586-524E-4B8B-9969-958E82F4BC3F}"/>
    <cellStyle name="Normal 5 2 2 2 4 8" xfId="8978" xr:uid="{5B5F86B4-BA0F-43A7-920A-E466FD014739}"/>
    <cellStyle name="Normal 5 2 2 2 4 8 2" xfId="18302" xr:uid="{2C5D4391-9AAE-4BF5-99D1-AF133FEF5BCA}"/>
    <cellStyle name="Normal 5 2 2 2 4 9" xfId="9898" xr:uid="{B1509332-4416-4FEA-AF91-D443CF53152C}"/>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16666" xr:uid="{808DC491-72A5-4A63-AE8F-ABCED49CC768}"/>
    <cellStyle name="Normal 5 2 2 2 5 2 3" xfId="12449" xr:uid="{C153EA0B-0A03-4423-8693-43BC2E862467}"/>
    <cellStyle name="Normal 5 2 2 2 5 3" xfId="5195" xr:uid="{00000000-0005-0000-0000-000087170000}"/>
    <cellStyle name="Normal 5 2 2 2 5 3 2" xfId="14521" xr:uid="{9C23D3C2-FBDF-458C-83AD-624F3D746F85}"/>
    <cellStyle name="Normal 5 2 2 2 5 4" xfId="9195" xr:uid="{A7E71EA0-2CA4-4918-870E-A32EEF45C61A}"/>
    <cellStyle name="Normal 5 2 2 2 5 4 2" xfId="18511" xr:uid="{20BB3C84-BEFC-4373-A88E-808928BD471B}"/>
    <cellStyle name="Normal 5 2 2 2 5 5" xfId="10304" xr:uid="{6B8562C2-C921-4F69-A700-E71C0D6A3FE9}"/>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17079" xr:uid="{54BC3463-8254-44C0-AA60-EE5FC6BF8C47}"/>
    <cellStyle name="Normal 5 2 2 2 6 2 3" xfId="12862" xr:uid="{1F8699ED-7049-4AB0-B5B0-E058EB72BDD4}"/>
    <cellStyle name="Normal 5 2 2 2 6 3" xfId="5608" xr:uid="{00000000-0005-0000-0000-00008B170000}"/>
    <cellStyle name="Normal 5 2 2 2 6 3 2" xfId="14934" xr:uid="{FA4D2F07-2B55-46D0-85AA-B7E5574C844D}"/>
    <cellStyle name="Normal 5 2 2 2 6 4" xfId="10717" xr:uid="{6AD82960-72DB-42FA-9A90-9343CF194565}"/>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17492" xr:uid="{C951DBAD-A5FD-4CFF-9DE8-95625EDBE583}"/>
    <cellStyle name="Normal 5 2 2 2 7 2 3" xfId="13275" xr:uid="{7AC647C1-2FDF-45BC-9BD2-11F87C0366D1}"/>
    <cellStyle name="Normal 5 2 2 2 7 3" xfId="6021" xr:uid="{00000000-0005-0000-0000-00008F170000}"/>
    <cellStyle name="Normal 5 2 2 2 7 3 2" xfId="15347" xr:uid="{2B384563-0AE7-4D04-9815-3598430D14A5}"/>
    <cellStyle name="Normal 5 2 2 2 7 4" xfId="11130" xr:uid="{00079DD0-DE7A-4945-9929-203FACC52E75}"/>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17905" xr:uid="{9CF14A25-B4F9-441E-BE03-FB27C879EA8C}"/>
    <cellStyle name="Normal 5 2 2 2 8 2 3" xfId="13688" xr:uid="{FE61D15A-5F4D-4367-A8C7-332C6781C3F3}"/>
    <cellStyle name="Normal 5 2 2 2 8 3" xfId="6434" xr:uid="{00000000-0005-0000-0000-000093170000}"/>
    <cellStyle name="Normal 5 2 2 2 8 3 2" xfId="15760" xr:uid="{A9E6B55D-7938-4775-B9CB-44310AD4BBFC}"/>
    <cellStyle name="Normal 5 2 2 2 8 4" xfId="11543" xr:uid="{D7571F97-B1FC-4A67-81C8-20A9CFEBF1AB}"/>
    <cellStyle name="Normal 5 2 2 2 9" xfId="2564" xr:uid="{00000000-0005-0000-0000-000094170000}"/>
    <cellStyle name="Normal 5 2 2 2 9 2" xfId="6847" xr:uid="{00000000-0005-0000-0000-000095170000}"/>
    <cellStyle name="Normal 5 2 2 2 9 2 2" xfId="16173" xr:uid="{266FF6D8-A0EE-4DA1-B534-F4AF4F71D628}"/>
    <cellStyle name="Normal 5 2 2 2 9 3" xfId="11956" xr:uid="{F8C63CFF-E187-448C-A284-954C0B08E00D}"/>
    <cellStyle name="Normal 5 2 2 3" xfId="417" xr:uid="{00000000-0005-0000-0000-000096170000}"/>
    <cellStyle name="Normal 5 2 2 3 10" xfId="8828" xr:uid="{5CED8211-F967-469B-812B-9DF6FC250177}"/>
    <cellStyle name="Normal 5 2 2 3 10 2" xfId="18152" xr:uid="{63620654-76EC-4A84-B729-473B791F67CC}"/>
    <cellStyle name="Normal 5 2 2 3 11" xfId="9899" xr:uid="{30B57709-A544-4E3E-8652-6C49C0B04CD6}"/>
    <cellStyle name="Normal 5 2 2 3 2" xfId="418" xr:uid="{00000000-0005-0000-0000-000097170000}"/>
    <cellStyle name="Normal 5 2 2 3 2 10" xfId="9900" xr:uid="{5CD70578-5124-4C39-9A70-5F92C1118E13}"/>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16676" xr:uid="{A07C21D7-C3E1-443D-BC6A-9C52371A72F5}"/>
    <cellStyle name="Normal 5 2 2 3 2 2 2 2 3" xfId="12459" xr:uid="{6D9C4B3A-0743-4FD3-B41D-936B4D17DA55}"/>
    <cellStyle name="Normal 5 2 2 3 2 2 2 3" xfId="5205" xr:uid="{00000000-0005-0000-0000-00009C170000}"/>
    <cellStyle name="Normal 5 2 2 3 2 2 2 3 2" xfId="14531" xr:uid="{F852D4B8-DCA0-4FFE-8C11-156297BBC1B0}"/>
    <cellStyle name="Normal 5 2 2 3 2 2 2 4" xfId="9563" xr:uid="{804E641C-B5FA-46A3-B805-C1D4AF390C28}"/>
    <cellStyle name="Normal 5 2 2 3 2 2 2 4 2" xfId="18878" xr:uid="{DEC0BF62-5E43-4CD3-B760-53EEB951A49D}"/>
    <cellStyle name="Normal 5 2 2 3 2 2 2 5" xfId="10314" xr:uid="{19789B0E-1B9C-4CBB-92E9-9AD63B8EEBFA}"/>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17089" xr:uid="{BF086173-AE32-42ED-9228-2C3BD7D809C4}"/>
    <cellStyle name="Normal 5 2 2 3 2 2 3 2 3" xfId="12872" xr:uid="{3096E5D9-1B89-4A12-B7F4-525C7D675641}"/>
    <cellStyle name="Normal 5 2 2 3 2 2 3 3" xfId="5618" xr:uid="{00000000-0005-0000-0000-0000A0170000}"/>
    <cellStyle name="Normal 5 2 2 3 2 2 3 3 2" xfId="14944" xr:uid="{4B4CD5E7-EE68-4659-B65B-FBE2704D99E2}"/>
    <cellStyle name="Normal 5 2 2 3 2 2 3 4" xfId="10727" xr:uid="{B2C85FAA-7C47-4473-962E-5F2266B8ABC7}"/>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17502" xr:uid="{06F7509B-40CB-4A22-9293-7AE9B4227950}"/>
    <cellStyle name="Normal 5 2 2 3 2 2 4 2 3" xfId="13285" xr:uid="{8AF8D9AB-CE53-4E5C-9E83-205BBDD596B1}"/>
    <cellStyle name="Normal 5 2 2 3 2 2 4 3" xfId="6031" xr:uid="{00000000-0005-0000-0000-0000A4170000}"/>
    <cellStyle name="Normal 5 2 2 3 2 2 4 3 2" xfId="15357" xr:uid="{C53283DB-45AB-482D-9980-DE642D24BFA9}"/>
    <cellStyle name="Normal 5 2 2 3 2 2 4 4" xfId="11140" xr:uid="{4F62D017-F6DD-4C09-B419-87E3B99A0264}"/>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17915" xr:uid="{7B74F78A-AF6E-4623-BB50-AB7DC771018A}"/>
    <cellStyle name="Normal 5 2 2 3 2 2 5 2 3" xfId="13698" xr:uid="{7F3775C3-E015-42F9-AB4E-CC316EE96D10}"/>
    <cellStyle name="Normal 5 2 2 3 2 2 5 3" xfId="6444" xr:uid="{00000000-0005-0000-0000-0000A8170000}"/>
    <cellStyle name="Normal 5 2 2 3 2 2 5 3 2" xfId="15770" xr:uid="{B065F85C-7D31-4805-A8EF-8C5F3E559A2A}"/>
    <cellStyle name="Normal 5 2 2 3 2 2 5 4" xfId="11553" xr:uid="{0482C47A-44D5-4859-89B4-8C857D6A5751}"/>
    <cellStyle name="Normal 5 2 2 3 2 2 6" xfId="2574" xr:uid="{00000000-0005-0000-0000-0000A9170000}"/>
    <cellStyle name="Normal 5 2 2 3 2 2 6 2" xfId="6857" xr:uid="{00000000-0005-0000-0000-0000AA170000}"/>
    <cellStyle name="Normal 5 2 2 3 2 2 6 2 2" xfId="16183" xr:uid="{C003EF88-7BEC-424D-9EF6-CC69474C45C5}"/>
    <cellStyle name="Normal 5 2 2 3 2 2 6 3" xfId="11966" xr:uid="{0EB2EC8B-4976-405A-AABA-C7AD6AA20CF3}"/>
    <cellStyle name="Normal 5 2 2 3 2 2 7" xfId="4792" xr:uid="{00000000-0005-0000-0000-0000AB170000}"/>
    <cellStyle name="Normal 5 2 2 3 2 2 7 2" xfId="14118" xr:uid="{91171915-123E-4FC2-A1CC-3210AE45D1EF}"/>
    <cellStyle name="Normal 5 2 2 3 2 2 8" xfId="9138" xr:uid="{BE73D583-3CAB-48A9-8A6F-E88EE69D1D1D}"/>
    <cellStyle name="Normal 5 2 2 3 2 2 8 2" xfId="18462" xr:uid="{BA64E291-D5D7-479D-9DBE-15DBA02DE4FB}"/>
    <cellStyle name="Normal 5 2 2 3 2 2 9" xfId="9901" xr:uid="{6B5386FA-E71F-49F6-92D7-8782CECBAEAA}"/>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16675" xr:uid="{DB8E5836-E6A9-4101-B282-8F5F40B2AED1}"/>
    <cellStyle name="Normal 5 2 2 3 2 3 2 3" xfId="12458" xr:uid="{EF844DF7-A80E-43F3-9D4A-A163425C763F}"/>
    <cellStyle name="Normal 5 2 2 3 2 3 3" xfId="5204" xr:uid="{00000000-0005-0000-0000-0000AF170000}"/>
    <cellStyle name="Normal 5 2 2 3 2 3 3 2" xfId="14530" xr:uid="{3DB3F6FE-8204-4FB8-86A4-DAD042A6ECD0}"/>
    <cellStyle name="Normal 5 2 2 3 2 3 4" xfId="9356" xr:uid="{58BAA3B3-A7A2-4F6F-9929-D8BE9F0A557D}"/>
    <cellStyle name="Normal 5 2 2 3 2 3 4 2" xfId="18671" xr:uid="{C271152D-9454-4979-B8A6-C4F744A66B63}"/>
    <cellStyle name="Normal 5 2 2 3 2 3 5" xfId="10313" xr:uid="{229D4AD1-C47B-4843-9A1D-1F414D7BAFCC}"/>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17088" xr:uid="{B3C0A086-D99F-4724-8680-8B23D17F4B56}"/>
    <cellStyle name="Normal 5 2 2 3 2 4 2 3" xfId="12871" xr:uid="{FB05C24A-6F66-4059-B44B-988FE849EE1B}"/>
    <cellStyle name="Normal 5 2 2 3 2 4 3" xfId="5617" xr:uid="{00000000-0005-0000-0000-0000B3170000}"/>
    <cellStyle name="Normal 5 2 2 3 2 4 3 2" xfId="14943" xr:uid="{AFA32ACB-09B4-4255-91F7-64A32ED7F99E}"/>
    <cellStyle name="Normal 5 2 2 3 2 4 4" xfId="10726" xr:uid="{9583CD83-39CB-4B3D-9543-DD7421E0F02E}"/>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17501" xr:uid="{1DB57C3F-B74D-4B2D-9587-F83DD796F6B6}"/>
    <cellStyle name="Normal 5 2 2 3 2 5 2 3" xfId="13284" xr:uid="{70139E80-24D4-446E-BBB7-10CFE9C32565}"/>
    <cellStyle name="Normal 5 2 2 3 2 5 3" xfId="6030" xr:uid="{00000000-0005-0000-0000-0000B7170000}"/>
    <cellStyle name="Normal 5 2 2 3 2 5 3 2" xfId="15356" xr:uid="{28EAA9C5-7592-4E4C-A95A-F790115EFF63}"/>
    <cellStyle name="Normal 5 2 2 3 2 5 4" xfId="11139" xr:uid="{50298D65-ABB2-4ABF-9B06-4C4A0B9BAEA8}"/>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17914" xr:uid="{111CDE50-5E2A-4F84-99E8-8903F707768F}"/>
    <cellStyle name="Normal 5 2 2 3 2 6 2 3" xfId="13697" xr:uid="{116C70D5-79E7-4D16-AAAE-56E5CB743BAF}"/>
    <cellStyle name="Normal 5 2 2 3 2 6 3" xfId="6443" xr:uid="{00000000-0005-0000-0000-0000BB170000}"/>
    <cellStyle name="Normal 5 2 2 3 2 6 3 2" xfId="15769" xr:uid="{EAD7F381-19C6-4E33-93C2-A9069C427191}"/>
    <cellStyle name="Normal 5 2 2 3 2 6 4" xfId="11552" xr:uid="{26D9720B-DB37-4B1A-BA1F-2958EBAE1D22}"/>
    <cellStyle name="Normal 5 2 2 3 2 7" xfId="2573" xr:uid="{00000000-0005-0000-0000-0000BC170000}"/>
    <cellStyle name="Normal 5 2 2 3 2 7 2" xfId="6856" xr:uid="{00000000-0005-0000-0000-0000BD170000}"/>
    <cellStyle name="Normal 5 2 2 3 2 7 2 2" xfId="16182" xr:uid="{9268A07F-C229-4350-8874-074C768E1A1C}"/>
    <cellStyle name="Normal 5 2 2 3 2 7 3" xfId="11965" xr:uid="{02FEED4B-1331-41D8-880C-8D5F31FBEB49}"/>
    <cellStyle name="Normal 5 2 2 3 2 8" xfId="4791" xr:uid="{00000000-0005-0000-0000-0000BE170000}"/>
    <cellStyle name="Normal 5 2 2 3 2 8 2" xfId="14117" xr:uid="{5785A20A-8231-4A35-A750-36B580E8BBB5}"/>
    <cellStyle name="Normal 5 2 2 3 2 9" xfId="8931" xr:uid="{E27E09D3-2564-4B82-8EA4-A27330B6B436}"/>
    <cellStyle name="Normal 5 2 2 3 2 9 2" xfId="18255" xr:uid="{B96C875F-63AD-4CE6-B850-3F4E05CEC737}"/>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16677" xr:uid="{A3080730-E1AE-4189-8ACA-EB96FC7BA3C0}"/>
    <cellStyle name="Normal 5 2 2 3 3 2 2 3" xfId="12460" xr:uid="{A9D39F6F-E1A1-49CC-B7F9-4485339D7B81}"/>
    <cellStyle name="Normal 5 2 2 3 3 2 3" xfId="5206" xr:uid="{00000000-0005-0000-0000-0000C3170000}"/>
    <cellStyle name="Normal 5 2 2 3 3 2 3 2" xfId="14532" xr:uid="{3FC34A4B-BD95-4DE3-8413-A0E4AB26E598}"/>
    <cellStyle name="Normal 5 2 2 3 3 2 4" xfId="9460" xr:uid="{423E0BE9-24F3-4EF0-8962-2565594BF831}"/>
    <cellStyle name="Normal 5 2 2 3 3 2 4 2" xfId="18775" xr:uid="{AD68F783-F930-4FD7-8C3B-5F6F10206B46}"/>
    <cellStyle name="Normal 5 2 2 3 3 2 5" xfId="10315" xr:uid="{85190067-B236-4B61-99DC-64F7FCDD0DF9}"/>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17090" xr:uid="{12EA415D-26F9-4341-9F6E-BBF6426FCA84}"/>
    <cellStyle name="Normal 5 2 2 3 3 3 2 3" xfId="12873" xr:uid="{95A6160D-CEE5-47C6-81AB-3A0783CB723D}"/>
    <cellStyle name="Normal 5 2 2 3 3 3 3" xfId="5619" xr:uid="{00000000-0005-0000-0000-0000C7170000}"/>
    <cellStyle name="Normal 5 2 2 3 3 3 3 2" xfId="14945" xr:uid="{B101ACBA-8E6E-449E-B95A-183B970D0937}"/>
    <cellStyle name="Normal 5 2 2 3 3 3 4" xfId="10728" xr:uid="{D0797682-62E0-48FA-AD7C-8F52E3ED96C6}"/>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17503" xr:uid="{9340A4E8-103F-4FB7-B7C2-F7D2ECEBF112}"/>
    <cellStyle name="Normal 5 2 2 3 3 4 2 3" xfId="13286" xr:uid="{C7397E9F-08BD-4204-B5FF-1E18A510BC97}"/>
    <cellStyle name="Normal 5 2 2 3 3 4 3" xfId="6032" xr:uid="{00000000-0005-0000-0000-0000CB170000}"/>
    <cellStyle name="Normal 5 2 2 3 3 4 3 2" xfId="15358" xr:uid="{2174A4A2-CF00-411A-BE40-A754DFE3F077}"/>
    <cellStyle name="Normal 5 2 2 3 3 4 4" xfId="11141" xr:uid="{D3095AB4-5A4A-4FEE-91FA-A0741FCDFA35}"/>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17916" xr:uid="{C18802D2-E90B-449B-9D46-12AC2F535EEB}"/>
    <cellStyle name="Normal 5 2 2 3 3 5 2 3" xfId="13699" xr:uid="{62992228-E564-4B7D-9DC1-7BAA8FDBFA4E}"/>
    <cellStyle name="Normal 5 2 2 3 3 5 3" xfId="6445" xr:uid="{00000000-0005-0000-0000-0000CF170000}"/>
    <cellStyle name="Normal 5 2 2 3 3 5 3 2" xfId="15771" xr:uid="{3CEB2A58-68E7-48C8-9F21-4335F2547AEA}"/>
    <cellStyle name="Normal 5 2 2 3 3 5 4" xfId="11554" xr:uid="{2E2E7AD1-CD92-4695-B3D4-8A5BF9AF6985}"/>
    <cellStyle name="Normal 5 2 2 3 3 6" xfId="2575" xr:uid="{00000000-0005-0000-0000-0000D0170000}"/>
    <cellStyle name="Normal 5 2 2 3 3 6 2" xfId="6858" xr:uid="{00000000-0005-0000-0000-0000D1170000}"/>
    <cellStyle name="Normal 5 2 2 3 3 6 2 2" xfId="16184" xr:uid="{BECFE7FE-C4C7-4DAF-8912-F643EBB16FA7}"/>
    <cellStyle name="Normal 5 2 2 3 3 6 3" xfId="11967" xr:uid="{FB93A716-047E-4435-B297-59B3C1836EDF}"/>
    <cellStyle name="Normal 5 2 2 3 3 7" xfId="4793" xr:uid="{00000000-0005-0000-0000-0000D2170000}"/>
    <cellStyle name="Normal 5 2 2 3 3 7 2" xfId="14119" xr:uid="{3583A8EB-4C69-4929-B380-2A28EAD23F55}"/>
    <cellStyle name="Normal 5 2 2 3 3 8" xfId="9035" xr:uid="{6AC57173-16AF-4847-A277-E4254AACDA36}"/>
    <cellStyle name="Normal 5 2 2 3 3 8 2" xfId="18359" xr:uid="{CF47985E-FBB6-4154-8EF5-983E7B3C91D4}"/>
    <cellStyle name="Normal 5 2 2 3 3 9" xfId="9902" xr:uid="{F46F62CE-311A-4F40-A435-A3B358C37CC6}"/>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16674" xr:uid="{CE2A0EDF-7C0F-410B-BBEB-CA34676E7D58}"/>
    <cellStyle name="Normal 5 2 2 3 4 2 3" xfId="12457" xr:uid="{FFB0B629-FFD3-42A6-A09E-EC8F325F6C59}"/>
    <cellStyle name="Normal 5 2 2 3 4 3" xfId="5203" xr:uid="{00000000-0005-0000-0000-0000D6170000}"/>
    <cellStyle name="Normal 5 2 2 3 4 3 2" xfId="14529" xr:uid="{9B6DA42D-0017-4B65-B3B6-471FF26F0380}"/>
    <cellStyle name="Normal 5 2 2 3 4 4" xfId="9253" xr:uid="{A5C3AAF9-67DD-41B1-A0BF-05B69F588F71}"/>
    <cellStyle name="Normal 5 2 2 3 4 4 2" xfId="18568" xr:uid="{123C8071-28E4-4AF5-9C2B-A400E1E0B353}"/>
    <cellStyle name="Normal 5 2 2 3 4 5" xfId="10312" xr:uid="{C9B1C61B-3DA3-4D5E-9BA4-438759C63900}"/>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17087" xr:uid="{AB5EA8BF-D9D2-478E-8588-D604C5932AA9}"/>
    <cellStyle name="Normal 5 2 2 3 5 2 3" xfId="12870" xr:uid="{FB7DD010-3D3F-4681-AAC0-AB958F33B6CF}"/>
    <cellStyle name="Normal 5 2 2 3 5 3" xfId="5616" xr:uid="{00000000-0005-0000-0000-0000DA170000}"/>
    <cellStyle name="Normal 5 2 2 3 5 3 2" xfId="14942" xr:uid="{556A0D3F-550D-4422-9307-3ABB4A032AA3}"/>
    <cellStyle name="Normal 5 2 2 3 5 4" xfId="10725" xr:uid="{9E4D36EB-733A-4E98-BF5B-BA2E7B65343B}"/>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17500" xr:uid="{EF298C83-6BD2-4215-94D9-35F4BE9BFCF8}"/>
    <cellStyle name="Normal 5 2 2 3 6 2 3" xfId="13283" xr:uid="{3A830DC1-AC5C-4C89-8A9B-73F3463547C4}"/>
    <cellStyle name="Normal 5 2 2 3 6 3" xfId="6029" xr:uid="{00000000-0005-0000-0000-0000DE170000}"/>
    <cellStyle name="Normal 5 2 2 3 6 3 2" xfId="15355" xr:uid="{1B8A382B-8053-48E1-8A90-8E18CDDFE022}"/>
    <cellStyle name="Normal 5 2 2 3 6 4" xfId="11138" xr:uid="{390D8901-4B7E-4730-9544-B6AA1BFBC7D9}"/>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17913" xr:uid="{0370C26B-8217-4D8B-8DAB-92FEBCFA7910}"/>
    <cellStyle name="Normal 5 2 2 3 7 2 3" xfId="13696" xr:uid="{1420CD62-9397-4F87-BF71-0B33F871E105}"/>
    <cellStyle name="Normal 5 2 2 3 7 3" xfId="6442" xr:uid="{00000000-0005-0000-0000-0000E2170000}"/>
    <cellStyle name="Normal 5 2 2 3 7 3 2" xfId="15768" xr:uid="{0C7A9B02-23B2-4806-9984-27493CCADDCA}"/>
    <cellStyle name="Normal 5 2 2 3 7 4" xfId="11551" xr:uid="{DD8EFD2F-694C-4652-BFDC-9AEEEC603413}"/>
    <cellStyle name="Normal 5 2 2 3 8" xfId="2572" xr:uid="{00000000-0005-0000-0000-0000E3170000}"/>
    <cellStyle name="Normal 5 2 2 3 8 2" xfId="6855" xr:uid="{00000000-0005-0000-0000-0000E4170000}"/>
    <cellStyle name="Normal 5 2 2 3 8 2 2" xfId="16181" xr:uid="{24D14C51-3E15-42CD-A7D6-4B17C5959627}"/>
    <cellStyle name="Normal 5 2 2 3 8 3" xfId="11964" xr:uid="{329E8FBF-076E-4C52-8254-21AA959873A5}"/>
    <cellStyle name="Normal 5 2 2 3 9" xfId="4790" xr:uid="{00000000-0005-0000-0000-0000E5170000}"/>
    <cellStyle name="Normal 5 2 2 3 9 2" xfId="14116" xr:uid="{AA996100-8D50-4956-AAE0-142D3939C307}"/>
    <cellStyle name="Normal 5 2 2 4" xfId="421" xr:uid="{00000000-0005-0000-0000-0000E6170000}"/>
    <cellStyle name="Normal 5 2 2 4 10" xfId="9903" xr:uid="{885586EC-DBCE-4831-A397-17163AC3CD5E}"/>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16679" xr:uid="{DA77C886-9010-4B72-B14C-DA40BBF9723F}"/>
    <cellStyle name="Normal 5 2 2 4 2 2 2 3" xfId="12462" xr:uid="{86699C42-83AD-4971-B318-4DAA5FB14046}"/>
    <cellStyle name="Normal 5 2 2 4 2 2 3" xfId="5208" xr:uid="{00000000-0005-0000-0000-0000EB170000}"/>
    <cellStyle name="Normal 5 2 2 4 2 2 3 2" xfId="14534" xr:uid="{C5B73E7D-FBF1-4E0D-813D-69804B223929}"/>
    <cellStyle name="Normal 5 2 2 4 2 2 4" xfId="9488" xr:uid="{2997B11D-E810-48A4-BD3C-4498479B295E}"/>
    <cellStyle name="Normal 5 2 2 4 2 2 4 2" xfId="18803" xr:uid="{CA932E64-EA7D-4973-B370-0F3B580F4990}"/>
    <cellStyle name="Normal 5 2 2 4 2 2 5" xfId="10317" xr:uid="{CB16CEE8-3255-48BA-BA75-54939807BC85}"/>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17092" xr:uid="{5ACD6916-0CAD-45F8-96B8-C9D2FD988E0F}"/>
    <cellStyle name="Normal 5 2 2 4 2 3 2 3" xfId="12875" xr:uid="{E59ED8BD-FB5A-45EC-9632-6DAA6F8F65DF}"/>
    <cellStyle name="Normal 5 2 2 4 2 3 3" xfId="5621" xr:uid="{00000000-0005-0000-0000-0000EF170000}"/>
    <cellStyle name="Normal 5 2 2 4 2 3 3 2" xfId="14947" xr:uid="{5C231C9D-CE91-4FA4-8B21-2818852A006E}"/>
    <cellStyle name="Normal 5 2 2 4 2 3 4" xfId="10730" xr:uid="{EF5D8C52-0F23-4419-81F8-295F14E3289A}"/>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17505" xr:uid="{48E944C8-3FF6-4B48-818F-BA754D5DC440}"/>
    <cellStyle name="Normal 5 2 2 4 2 4 2 3" xfId="13288" xr:uid="{941F84B8-A83C-4077-A362-06151400B922}"/>
    <cellStyle name="Normal 5 2 2 4 2 4 3" xfId="6034" xr:uid="{00000000-0005-0000-0000-0000F3170000}"/>
    <cellStyle name="Normal 5 2 2 4 2 4 3 2" xfId="15360" xr:uid="{75D82199-1FBC-46C5-B7A8-F5D894D40F37}"/>
    <cellStyle name="Normal 5 2 2 4 2 4 4" xfId="11143" xr:uid="{A9B401FA-8A57-491F-97FB-9444C5CD0C88}"/>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17918" xr:uid="{C31C2FE2-444B-4631-923D-5284747FD345}"/>
    <cellStyle name="Normal 5 2 2 4 2 5 2 3" xfId="13701" xr:uid="{1472AA84-9519-47C7-9241-48EDA0CD4BE6}"/>
    <cellStyle name="Normal 5 2 2 4 2 5 3" xfId="6447" xr:uid="{00000000-0005-0000-0000-0000F7170000}"/>
    <cellStyle name="Normal 5 2 2 4 2 5 3 2" xfId="15773" xr:uid="{ECD84292-7F29-46F4-8C3F-7A3903F7566C}"/>
    <cellStyle name="Normal 5 2 2 4 2 5 4" xfId="11556" xr:uid="{B12C8610-69F6-4A03-9E8E-8A13BDE9F2EF}"/>
    <cellStyle name="Normal 5 2 2 4 2 6" xfId="2577" xr:uid="{00000000-0005-0000-0000-0000F8170000}"/>
    <cellStyle name="Normal 5 2 2 4 2 6 2" xfId="6860" xr:uid="{00000000-0005-0000-0000-0000F9170000}"/>
    <cellStyle name="Normal 5 2 2 4 2 6 2 2" xfId="16186" xr:uid="{F961B785-C1CE-48F4-A2E5-800BC0BD347E}"/>
    <cellStyle name="Normal 5 2 2 4 2 6 3" xfId="11969" xr:uid="{9F008916-F11A-4443-BD83-9DB3C21B6CF6}"/>
    <cellStyle name="Normal 5 2 2 4 2 7" xfId="4795" xr:uid="{00000000-0005-0000-0000-0000FA170000}"/>
    <cellStyle name="Normal 5 2 2 4 2 7 2" xfId="14121" xr:uid="{8C4951AE-C3AC-4F27-A624-CDF20FAF8426}"/>
    <cellStyle name="Normal 5 2 2 4 2 8" xfId="9063" xr:uid="{3B1AA107-8D7F-4938-A60C-EED41E9B9A2A}"/>
    <cellStyle name="Normal 5 2 2 4 2 8 2" xfId="18387" xr:uid="{2DC19743-1720-4D22-9DC9-F40397284658}"/>
    <cellStyle name="Normal 5 2 2 4 2 9" xfId="9904" xr:uid="{2840D2E0-A4E7-443D-8998-64D3C9FE157E}"/>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16678" xr:uid="{986FE70A-3026-496D-8963-515926EBBAD9}"/>
    <cellStyle name="Normal 5 2 2 4 3 2 3" xfId="12461" xr:uid="{3D257E24-32AF-4B9D-8C4E-5309B56CEB9B}"/>
    <cellStyle name="Normal 5 2 2 4 3 3" xfId="5207" xr:uid="{00000000-0005-0000-0000-0000FE170000}"/>
    <cellStyle name="Normal 5 2 2 4 3 3 2" xfId="14533" xr:uid="{FCF6AA70-34DF-4849-BCC8-746701262CD0}"/>
    <cellStyle name="Normal 5 2 2 4 3 4" xfId="9281" xr:uid="{9304050F-95A7-4BE3-AD21-FEBB7D0875B2}"/>
    <cellStyle name="Normal 5 2 2 4 3 4 2" xfId="18596" xr:uid="{3C3E3A7A-61AE-4EA0-B7B1-1BBC2D7D93F5}"/>
    <cellStyle name="Normal 5 2 2 4 3 5" xfId="10316" xr:uid="{3090EB47-E0E1-4E79-A255-C065C740A7DD}"/>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17091" xr:uid="{88A5170C-9C34-4FE3-AE26-498FAF441C4D}"/>
    <cellStyle name="Normal 5 2 2 4 4 2 3" xfId="12874" xr:uid="{78AF5267-E849-4BC6-AAAA-717EF013CD79}"/>
    <cellStyle name="Normal 5 2 2 4 4 3" xfId="5620" xr:uid="{00000000-0005-0000-0000-000002180000}"/>
    <cellStyle name="Normal 5 2 2 4 4 3 2" xfId="14946" xr:uid="{A4D9C5BF-CC04-4329-BD0C-B99131A51D8D}"/>
    <cellStyle name="Normal 5 2 2 4 4 4" xfId="10729" xr:uid="{D41EBF0B-0E4C-45CD-B998-FE4566AFF436}"/>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17504" xr:uid="{7320C95A-F999-4BCD-BD47-F6672CFDBFED}"/>
    <cellStyle name="Normal 5 2 2 4 5 2 3" xfId="13287" xr:uid="{5C7AD8A0-DB15-433D-AF48-FB800C3E8277}"/>
    <cellStyle name="Normal 5 2 2 4 5 3" xfId="6033" xr:uid="{00000000-0005-0000-0000-000006180000}"/>
    <cellStyle name="Normal 5 2 2 4 5 3 2" xfId="15359" xr:uid="{188608FE-1BCB-46D2-8203-5CD1744BEF97}"/>
    <cellStyle name="Normal 5 2 2 4 5 4" xfId="11142" xr:uid="{7140AA10-DFA0-439F-A9D0-455094008B1D}"/>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17917" xr:uid="{A7D514FC-93EA-4B47-B515-06AD3CDCC1D1}"/>
    <cellStyle name="Normal 5 2 2 4 6 2 3" xfId="13700" xr:uid="{1D57EE4C-96F9-474C-9010-DD25626B2EF5}"/>
    <cellStyle name="Normal 5 2 2 4 6 3" xfId="6446" xr:uid="{00000000-0005-0000-0000-00000A180000}"/>
    <cellStyle name="Normal 5 2 2 4 6 3 2" xfId="15772" xr:uid="{A84A61B4-3E8F-4808-A896-9ED4550B8613}"/>
    <cellStyle name="Normal 5 2 2 4 6 4" xfId="11555" xr:uid="{5EB94A92-F1C9-49B2-91AD-0A3071C95530}"/>
    <cellStyle name="Normal 5 2 2 4 7" xfId="2576" xr:uid="{00000000-0005-0000-0000-00000B180000}"/>
    <cellStyle name="Normal 5 2 2 4 7 2" xfId="6859" xr:uid="{00000000-0005-0000-0000-00000C180000}"/>
    <cellStyle name="Normal 5 2 2 4 7 2 2" xfId="16185" xr:uid="{56861B24-3E3B-42F3-9EFA-2D0B1E67EE6F}"/>
    <cellStyle name="Normal 5 2 2 4 7 3" xfId="11968" xr:uid="{874E270A-37CC-480A-99F7-A4618C82FFF4}"/>
    <cellStyle name="Normal 5 2 2 4 8" xfId="4794" xr:uid="{00000000-0005-0000-0000-00000D180000}"/>
    <cellStyle name="Normal 5 2 2 4 8 2" xfId="14120" xr:uid="{892181E6-CC6F-4DFC-A902-9E8BBB501344}"/>
    <cellStyle name="Normal 5 2 2 4 9" xfId="8856" xr:uid="{8A537EF5-BE1D-4B82-9546-B2DC1F74308F}"/>
    <cellStyle name="Normal 5 2 2 4 9 2" xfId="18180" xr:uid="{3D78748B-7556-49B8-8818-2C0F7CCA0598}"/>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16680" xr:uid="{79CDD4C5-39A2-46DA-9555-EA9126BEC93E}"/>
    <cellStyle name="Normal 5 2 2 5 2 2 3" xfId="12463" xr:uid="{C26CCEB0-D257-4DAB-9EB4-DE0636AECA16}"/>
    <cellStyle name="Normal 5 2 2 5 2 3" xfId="5209" xr:uid="{00000000-0005-0000-0000-000012180000}"/>
    <cellStyle name="Normal 5 2 2 5 2 3 2" xfId="14535" xr:uid="{4869B744-4638-4B98-9A4E-018F6BD22E87}"/>
    <cellStyle name="Normal 5 2 2 5 2 4" xfId="9397" xr:uid="{3CB0B9A4-F907-4F52-ACFC-7970F7AF9B13}"/>
    <cellStyle name="Normal 5 2 2 5 2 4 2" xfId="18712" xr:uid="{773B6A7D-31E3-46EB-9136-87138AB1498E}"/>
    <cellStyle name="Normal 5 2 2 5 2 5" xfId="10318" xr:uid="{97C8EDB8-FA77-4FA7-87E6-5A4A277E45F4}"/>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17093" xr:uid="{2D4DC7D9-59BF-4AF9-8BE3-51C9F6A4AD47}"/>
    <cellStyle name="Normal 5 2 2 5 3 2 3" xfId="12876" xr:uid="{803C7E15-7800-4BA8-9C8B-B9B5F12D7A96}"/>
    <cellStyle name="Normal 5 2 2 5 3 3" xfId="5622" xr:uid="{00000000-0005-0000-0000-000016180000}"/>
    <cellStyle name="Normal 5 2 2 5 3 3 2" xfId="14948" xr:uid="{8B53E2E4-2D4D-4957-958E-4E6CEEA7E37E}"/>
    <cellStyle name="Normal 5 2 2 5 3 4" xfId="10731" xr:uid="{8ED3F9B8-A968-47CA-AB98-723B70906C9E}"/>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17506" xr:uid="{50DD5608-A529-4CD8-A2D8-8F311A12E323}"/>
    <cellStyle name="Normal 5 2 2 5 4 2 3" xfId="13289" xr:uid="{C10A37C7-B06B-40C0-8A7C-EC28B5368C2C}"/>
    <cellStyle name="Normal 5 2 2 5 4 3" xfId="6035" xr:uid="{00000000-0005-0000-0000-00001A180000}"/>
    <cellStyle name="Normal 5 2 2 5 4 3 2" xfId="15361" xr:uid="{1ACE4B2D-F1E6-40E6-99CB-A6AB3DEB39EC}"/>
    <cellStyle name="Normal 5 2 2 5 4 4" xfId="11144" xr:uid="{FCD1B598-228D-4243-87DD-C22998E3E9C5}"/>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17919" xr:uid="{47C08CB1-FA5E-457F-83F5-3122F68CC487}"/>
    <cellStyle name="Normal 5 2 2 5 5 2 3" xfId="13702" xr:uid="{2E188B21-9BA6-4B7F-B015-4FBE15DE39DC}"/>
    <cellStyle name="Normal 5 2 2 5 5 3" xfId="6448" xr:uid="{00000000-0005-0000-0000-00001E180000}"/>
    <cellStyle name="Normal 5 2 2 5 5 3 2" xfId="15774" xr:uid="{7336D8EF-60B0-4144-812A-BCD289D0581A}"/>
    <cellStyle name="Normal 5 2 2 5 5 4" xfId="11557" xr:uid="{682BBDCF-8E66-48E7-8A54-EDB7C34DE5BB}"/>
    <cellStyle name="Normal 5 2 2 5 6" xfId="2578" xr:uid="{00000000-0005-0000-0000-00001F180000}"/>
    <cellStyle name="Normal 5 2 2 5 6 2" xfId="6861" xr:uid="{00000000-0005-0000-0000-000020180000}"/>
    <cellStyle name="Normal 5 2 2 5 6 2 2" xfId="16187" xr:uid="{EA4A1445-07E9-4A59-811B-B5E48E9A8876}"/>
    <cellStyle name="Normal 5 2 2 5 6 3" xfId="11970" xr:uid="{7E24CE06-EBBE-46B7-A430-DF311968BB36}"/>
    <cellStyle name="Normal 5 2 2 5 7" xfId="4796" xr:uid="{00000000-0005-0000-0000-000021180000}"/>
    <cellStyle name="Normal 5 2 2 5 7 2" xfId="14122" xr:uid="{BD76DEB1-7FE8-4CAD-BDEE-21310FE53031}"/>
    <cellStyle name="Normal 5 2 2 5 8" xfId="8972" xr:uid="{3CCC8856-6464-4309-A4F9-43F74A48C503}"/>
    <cellStyle name="Normal 5 2 2 5 8 2" xfId="18296" xr:uid="{53CFC505-AB80-473F-81BB-DA83E44D6188}"/>
    <cellStyle name="Normal 5 2 2 5 9" xfId="9905" xr:uid="{DB95A7C2-C47F-4DDF-BC79-85C6FF9D9C9E}"/>
    <cellStyle name="Normal 5 2 2 6" xfId="882" xr:uid="{00000000-0005-0000-0000-000022180000}"/>
    <cellStyle name="Normal 5 2 2 6 2" xfId="3117" xr:uid="{00000000-0005-0000-0000-000023180000}"/>
    <cellStyle name="Normal 5 2 2 6 2 2" xfId="7339" xr:uid="{00000000-0005-0000-0000-000024180000}"/>
    <cellStyle name="Normal 5 2 2 6 2 2 2" xfId="16665" xr:uid="{23257FDC-DC39-4308-8D9B-086CB937F705}"/>
    <cellStyle name="Normal 5 2 2 6 2 3" xfId="12448" xr:uid="{13149F5C-A485-4018-A39A-AD1A964506A3}"/>
    <cellStyle name="Normal 5 2 2 6 3" xfId="5194" xr:uid="{00000000-0005-0000-0000-000025180000}"/>
    <cellStyle name="Normal 5 2 2 6 3 2" xfId="14520" xr:uid="{1910A14C-F39A-4F0B-A5C4-C4090AECB28F}"/>
    <cellStyle name="Normal 5 2 2 6 4" xfId="9175" xr:uid="{A0BC076A-DB75-4963-A17E-57836FA6391D}"/>
    <cellStyle name="Normal 5 2 2 6 4 2" xfId="18493" xr:uid="{C357B960-DE74-48E5-B715-A80CCCEC760F}"/>
    <cellStyle name="Normal 5 2 2 6 5" xfId="10303" xr:uid="{149A8074-9440-430C-8862-6EA6182C6CB2}"/>
    <cellStyle name="Normal 5 2 2 7" xfId="1300" xr:uid="{00000000-0005-0000-0000-000026180000}"/>
    <cellStyle name="Normal 5 2 2 7 2" xfId="3530" xr:uid="{00000000-0005-0000-0000-000027180000}"/>
    <cellStyle name="Normal 5 2 2 7 2 2" xfId="7752" xr:uid="{00000000-0005-0000-0000-000028180000}"/>
    <cellStyle name="Normal 5 2 2 7 2 2 2" xfId="17078" xr:uid="{6921866A-F8A6-4F27-9145-41C218E41C0F}"/>
    <cellStyle name="Normal 5 2 2 7 2 3" xfId="12861" xr:uid="{2A862BB6-8A8E-4309-800C-5E121A1497C9}"/>
    <cellStyle name="Normal 5 2 2 7 3" xfId="5607" xr:uid="{00000000-0005-0000-0000-000029180000}"/>
    <cellStyle name="Normal 5 2 2 7 3 2" xfId="14933" xr:uid="{F58E2172-1987-4F46-BA03-59F1803BF6D7}"/>
    <cellStyle name="Normal 5 2 2 7 4" xfId="10716" xr:uid="{C3FE0AD3-B973-4551-BFE1-DDA580FEF34F}"/>
    <cellStyle name="Normal 5 2 2 8" xfId="1713" xr:uid="{00000000-0005-0000-0000-00002A180000}"/>
    <cellStyle name="Normal 5 2 2 8 2" xfId="3943" xr:uid="{00000000-0005-0000-0000-00002B180000}"/>
    <cellStyle name="Normal 5 2 2 8 2 2" xfId="8165" xr:uid="{00000000-0005-0000-0000-00002C180000}"/>
    <cellStyle name="Normal 5 2 2 8 2 2 2" xfId="17491" xr:uid="{72193D12-5ABB-43EB-B8D8-74FF1D57DDEC}"/>
    <cellStyle name="Normal 5 2 2 8 2 3" xfId="13274" xr:uid="{051C45F4-23BD-45AB-BF37-670DD92AB3F1}"/>
    <cellStyle name="Normal 5 2 2 8 3" xfId="6020" xr:uid="{00000000-0005-0000-0000-00002D180000}"/>
    <cellStyle name="Normal 5 2 2 8 3 2" xfId="15346" xr:uid="{6CDDC7C5-5FA8-459C-A61B-8732EC5A8815}"/>
    <cellStyle name="Normal 5 2 2 8 4" xfId="11129" xr:uid="{73F2033D-356C-4EB2-8650-75EA62791522}"/>
    <cellStyle name="Normal 5 2 2 9" xfId="2127" xr:uid="{00000000-0005-0000-0000-00002E180000}"/>
    <cellStyle name="Normal 5 2 2 9 2" xfId="4356" xr:uid="{00000000-0005-0000-0000-00002F180000}"/>
    <cellStyle name="Normal 5 2 2 9 2 2" xfId="8578" xr:uid="{00000000-0005-0000-0000-000030180000}"/>
    <cellStyle name="Normal 5 2 2 9 2 2 2" xfId="17904" xr:uid="{9F8F25F2-54E6-4089-BF44-9821638D1B22}"/>
    <cellStyle name="Normal 5 2 2 9 2 3" xfId="13687" xr:uid="{61CB27C4-83FD-47FA-ABB6-639067DF5092}"/>
    <cellStyle name="Normal 5 2 2 9 3" xfId="6433" xr:uid="{00000000-0005-0000-0000-000031180000}"/>
    <cellStyle name="Normal 5 2 2 9 3 2" xfId="15759" xr:uid="{4F9F02F3-6504-4905-BD06-EC474933A922}"/>
    <cellStyle name="Normal 5 2 2 9 4" xfId="11542" xr:uid="{2F98BE26-919A-47BF-BFDA-CDBA0A710E67}"/>
    <cellStyle name="Normal 5 2 3" xfId="424" xr:uid="{00000000-0005-0000-0000-000032180000}"/>
    <cellStyle name="Normal 5 2 3 10" xfId="4797" xr:uid="{00000000-0005-0000-0000-000033180000}"/>
    <cellStyle name="Normal 5 2 3 10 2" xfId="14123" xr:uid="{A94051C7-4E2F-4BC7-A961-4B6CAA43673A}"/>
    <cellStyle name="Normal 5 2 3 11" xfId="8776" xr:uid="{883173D2-CE3E-48F3-8E13-32EAEF7B08C3}"/>
    <cellStyle name="Normal 5 2 3 11 2" xfId="18100" xr:uid="{77FEEC08-99F0-483A-A5F6-70935C929020}"/>
    <cellStyle name="Normal 5 2 3 12" xfId="9906" xr:uid="{AFB74429-9C06-4F0F-BAD9-17406C547D07}"/>
    <cellStyle name="Normal 5 2 3 2" xfId="425" xr:uid="{00000000-0005-0000-0000-000034180000}"/>
    <cellStyle name="Normal 5 2 3 2 10" xfId="8830" xr:uid="{287E15F2-6F23-4B3E-B8AA-9DE92D950FBA}"/>
    <cellStyle name="Normal 5 2 3 2 10 2" xfId="18154" xr:uid="{5C9576B5-C823-40E0-AF96-B6245E780D78}"/>
    <cellStyle name="Normal 5 2 3 2 11" xfId="9907" xr:uid="{A0CAA888-4C78-447B-95B2-0BCC621FEBA9}"/>
    <cellStyle name="Normal 5 2 3 2 2" xfId="426" xr:uid="{00000000-0005-0000-0000-000035180000}"/>
    <cellStyle name="Normal 5 2 3 2 2 10" xfId="9908" xr:uid="{6CFFA928-5EE9-486B-972C-1D43F1E31779}"/>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16684" xr:uid="{513B6C7E-B5A9-447D-A067-D9745E158272}"/>
    <cellStyle name="Normal 5 2 3 2 2 2 2 2 3" xfId="12467" xr:uid="{C1DCCAA6-BB69-4F44-AA8E-F80742780A70}"/>
    <cellStyle name="Normal 5 2 3 2 2 2 2 3" xfId="5213" xr:uid="{00000000-0005-0000-0000-00003A180000}"/>
    <cellStyle name="Normal 5 2 3 2 2 2 2 3 2" xfId="14539" xr:uid="{5AEAF317-CEDA-4673-B978-0E004E451EF5}"/>
    <cellStyle name="Normal 5 2 3 2 2 2 2 4" xfId="9565" xr:uid="{B33C5ECB-02D9-4BAF-B467-F38E8EEB7F6E}"/>
    <cellStyle name="Normal 5 2 3 2 2 2 2 4 2" xfId="18880" xr:uid="{A5A53B8B-410C-41DA-B8F5-A196E3A489AC}"/>
    <cellStyle name="Normal 5 2 3 2 2 2 2 5" xfId="10322" xr:uid="{A4048F8F-1154-4075-9B5F-8A0A664D0628}"/>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17097" xr:uid="{86D379C7-A924-4A8E-A44E-331E6EE3D6FF}"/>
    <cellStyle name="Normal 5 2 3 2 2 2 3 2 3" xfId="12880" xr:uid="{D3D9B7AD-090F-4713-9905-8104FD871403}"/>
    <cellStyle name="Normal 5 2 3 2 2 2 3 3" xfId="5626" xr:uid="{00000000-0005-0000-0000-00003E180000}"/>
    <cellStyle name="Normal 5 2 3 2 2 2 3 3 2" xfId="14952" xr:uid="{2FD0EC5A-A8F9-41F9-8E1C-750CE14F525B}"/>
    <cellStyle name="Normal 5 2 3 2 2 2 3 4" xfId="10735" xr:uid="{28156F3D-0AD5-4BFF-BA99-F4F34948DE34}"/>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17510" xr:uid="{C6E61405-2DB9-4989-BBEB-266F1B1C451D}"/>
    <cellStyle name="Normal 5 2 3 2 2 2 4 2 3" xfId="13293" xr:uid="{7258541E-0CC6-4B17-BAC1-587A9573FB7A}"/>
    <cellStyle name="Normal 5 2 3 2 2 2 4 3" xfId="6039" xr:uid="{00000000-0005-0000-0000-000042180000}"/>
    <cellStyle name="Normal 5 2 3 2 2 2 4 3 2" xfId="15365" xr:uid="{D6730F86-5047-4B41-B666-31179139D010}"/>
    <cellStyle name="Normal 5 2 3 2 2 2 4 4" xfId="11148" xr:uid="{1B7C5EAB-B888-4B2A-8430-A04178B28A91}"/>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17923" xr:uid="{79D3DD8A-9E08-46AA-AA31-ECED4BDDEB99}"/>
    <cellStyle name="Normal 5 2 3 2 2 2 5 2 3" xfId="13706" xr:uid="{F3678077-C10F-4BAD-8C04-04386F99F913}"/>
    <cellStyle name="Normal 5 2 3 2 2 2 5 3" xfId="6452" xr:uid="{00000000-0005-0000-0000-000046180000}"/>
    <cellStyle name="Normal 5 2 3 2 2 2 5 3 2" xfId="15778" xr:uid="{0AAD89B4-3B21-4BF1-B3C8-8A274BA862FE}"/>
    <cellStyle name="Normal 5 2 3 2 2 2 5 4" xfId="11561" xr:uid="{71991AB5-F7A6-4AD4-BA03-5F40F0AE257C}"/>
    <cellStyle name="Normal 5 2 3 2 2 2 6" xfId="2582" xr:uid="{00000000-0005-0000-0000-000047180000}"/>
    <cellStyle name="Normal 5 2 3 2 2 2 6 2" xfId="6865" xr:uid="{00000000-0005-0000-0000-000048180000}"/>
    <cellStyle name="Normal 5 2 3 2 2 2 6 2 2" xfId="16191" xr:uid="{59052C36-4350-40A1-AC2B-DBA659FF4CC6}"/>
    <cellStyle name="Normal 5 2 3 2 2 2 6 3" xfId="11974" xr:uid="{9EB69B07-CB39-4079-A2A4-9FB059D128B0}"/>
    <cellStyle name="Normal 5 2 3 2 2 2 7" xfId="4800" xr:uid="{00000000-0005-0000-0000-000049180000}"/>
    <cellStyle name="Normal 5 2 3 2 2 2 7 2" xfId="14126" xr:uid="{36522C85-1A1D-4317-B1AD-F3CC56A5DCD1}"/>
    <cellStyle name="Normal 5 2 3 2 2 2 8" xfId="9140" xr:uid="{175A16DB-BA54-4083-AB68-1FA46DB27A86}"/>
    <cellStyle name="Normal 5 2 3 2 2 2 8 2" xfId="18464" xr:uid="{EB31061E-C9FC-4334-9290-EF9EDC0B7FBF}"/>
    <cellStyle name="Normal 5 2 3 2 2 2 9" xfId="9909" xr:uid="{5DD57E29-3961-4CF4-969A-D7E39C4B9DCC}"/>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16683" xr:uid="{5A3AAB9A-E98D-4B98-9F10-B7011C784F36}"/>
    <cellStyle name="Normal 5 2 3 2 2 3 2 3" xfId="12466" xr:uid="{EECAD463-619A-4C8E-88DF-6C3C90F38ED8}"/>
    <cellStyle name="Normal 5 2 3 2 2 3 3" xfId="5212" xr:uid="{00000000-0005-0000-0000-00004D180000}"/>
    <cellStyle name="Normal 5 2 3 2 2 3 3 2" xfId="14538" xr:uid="{4543B1E0-56AD-4771-9032-9A9167D8F04A}"/>
    <cellStyle name="Normal 5 2 3 2 2 3 4" xfId="9358" xr:uid="{5B196E7D-8DD9-4C59-A83C-7626B0E60040}"/>
    <cellStyle name="Normal 5 2 3 2 2 3 4 2" xfId="18673" xr:uid="{7E5F5F81-0687-4FA4-8FD4-5734BA4CA5EF}"/>
    <cellStyle name="Normal 5 2 3 2 2 3 5" xfId="10321" xr:uid="{FA7F7BC4-42E6-4A43-BA6D-38A717322CC8}"/>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17096" xr:uid="{B50466D4-25AA-402F-9312-3735E5A7284F}"/>
    <cellStyle name="Normal 5 2 3 2 2 4 2 3" xfId="12879" xr:uid="{9B588B94-AFB4-45E3-A9BF-A2C788168064}"/>
    <cellStyle name="Normal 5 2 3 2 2 4 3" xfId="5625" xr:uid="{00000000-0005-0000-0000-000051180000}"/>
    <cellStyle name="Normal 5 2 3 2 2 4 3 2" xfId="14951" xr:uid="{44D2FDBC-85E8-4CAF-9BA5-E35D1FD1B717}"/>
    <cellStyle name="Normal 5 2 3 2 2 4 4" xfId="10734" xr:uid="{1E762B9F-A0FA-47CD-8B4B-40AA483299BD}"/>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17509" xr:uid="{373BAB56-AB79-4094-9663-1A89EFF33458}"/>
    <cellStyle name="Normal 5 2 3 2 2 5 2 3" xfId="13292" xr:uid="{1DC6F293-D94C-46D0-B706-B05090642EB9}"/>
    <cellStyle name="Normal 5 2 3 2 2 5 3" xfId="6038" xr:uid="{00000000-0005-0000-0000-000055180000}"/>
    <cellStyle name="Normal 5 2 3 2 2 5 3 2" xfId="15364" xr:uid="{DD0641EE-75C1-40AC-87B4-A0F4715AB2F1}"/>
    <cellStyle name="Normal 5 2 3 2 2 5 4" xfId="11147" xr:uid="{76D2826C-C1C7-475E-9192-2ACE9CF6C308}"/>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17922" xr:uid="{7745ECE8-BA3F-477C-A5A6-A3BE93827CFC}"/>
    <cellStyle name="Normal 5 2 3 2 2 6 2 3" xfId="13705" xr:uid="{DF5D41FB-42FA-43BE-BDD2-FF20406C805D}"/>
    <cellStyle name="Normal 5 2 3 2 2 6 3" xfId="6451" xr:uid="{00000000-0005-0000-0000-000059180000}"/>
    <cellStyle name="Normal 5 2 3 2 2 6 3 2" xfId="15777" xr:uid="{924A7DD9-1B2C-4BCE-816D-9ADEC9AB4274}"/>
    <cellStyle name="Normal 5 2 3 2 2 6 4" xfId="11560" xr:uid="{468880D7-7FF4-46A5-82B6-4B04057185A1}"/>
    <cellStyle name="Normal 5 2 3 2 2 7" xfId="2581" xr:uid="{00000000-0005-0000-0000-00005A180000}"/>
    <cellStyle name="Normal 5 2 3 2 2 7 2" xfId="6864" xr:uid="{00000000-0005-0000-0000-00005B180000}"/>
    <cellStyle name="Normal 5 2 3 2 2 7 2 2" xfId="16190" xr:uid="{BC0FD609-E0F2-48D9-8D1F-80E5B8AB9DA1}"/>
    <cellStyle name="Normal 5 2 3 2 2 7 3" xfId="11973" xr:uid="{D7DCD2B7-F95D-4AA3-A20F-C613CA940223}"/>
    <cellStyle name="Normal 5 2 3 2 2 8" xfId="4799" xr:uid="{00000000-0005-0000-0000-00005C180000}"/>
    <cellStyle name="Normal 5 2 3 2 2 8 2" xfId="14125" xr:uid="{6EABF999-68F4-46CA-ADD8-FFDFFF0A955E}"/>
    <cellStyle name="Normal 5 2 3 2 2 9" xfId="8933" xr:uid="{2228AC18-CB51-4AF4-A227-403A8409C6C2}"/>
    <cellStyle name="Normal 5 2 3 2 2 9 2" xfId="18257" xr:uid="{9796AFBA-CDE4-4D4C-B69E-62CFD1F59BB5}"/>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16685" xr:uid="{77A65DB3-1B35-412A-94F2-A9B5F5D3CAFC}"/>
    <cellStyle name="Normal 5 2 3 2 3 2 2 3" xfId="12468" xr:uid="{EEE5538B-60BD-4F68-B4DE-2C12B7A5C47D}"/>
    <cellStyle name="Normal 5 2 3 2 3 2 3" xfId="5214" xr:uid="{00000000-0005-0000-0000-000061180000}"/>
    <cellStyle name="Normal 5 2 3 2 3 2 3 2" xfId="14540" xr:uid="{9A2097C7-2705-429B-97DF-5D53ADC85E78}"/>
    <cellStyle name="Normal 5 2 3 2 3 2 4" xfId="9462" xr:uid="{B4C14F1A-A88A-428F-A7F8-BAFD7E5CD045}"/>
    <cellStyle name="Normal 5 2 3 2 3 2 4 2" xfId="18777" xr:uid="{AA9958CE-CF7E-4FD0-BECA-EE8006E6F996}"/>
    <cellStyle name="Normal 5 2 3 2 3 2 5" xfId="10323" xr:uid="{8FB8FA79-5C78-4AC8-A593-3CE6EEEB2C54}"/>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17098" xr:uid="{A48D13D3-7FEA-4024-AE46-C4DA2FD28667}"/>
    <cellStyle name="Normal 5 2 3 2 3 3 2 3" xfId="12881" xr:uid="{784466E0-12ED-4E7B-BEC2-B094BE883A0F}"/>
    <cellStyle name="Normal 5 2 3 2 3 3 3" xfId="5627" xr:uid="{00000000-0005-0000-0000-000065180000}"/>
    <cellStyle name="Normal 5 2 3 2 3 3 3 2" xfId="14953" xr:uid="{905A6B00-E7C6-4365-8F9D-9BAD3B81FBCF}"/>
    <cellStyle name="Normal 5 2 3 2 3 3 4" xfId="10736" xr:uid="{ACE21901-A7F5-4413-A1F8-78B85CA5AAB1}"/>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17511" xr:uid="{4DBB8693-465B-42E7-B54D-96F65DA50A8C}"/>
    <cellStyle name="Normal 5 2 3 2 3 4 2 3" xfId="13294" xr:uid="{CF192A08-86E3-4FBD-8E32-6163C526A5C9}"/>
    <cellStyle name="Normal 5 2 3 2 3 4 3" xfId="6040" xr:uid="{00000000-0005-0000-0000-000069180000}"/>
    <cellStyle name="Normal 5 2 3 2 3 4 3 2" xfId="15366" xr:uid="{B5907CE9-BE25-4EDB-9446-C86331D00319}"/>
    <cellStyle name="Normal 5 2 3 2 3 4 4" xfId="11149" xr:uid="{A3CEBE23-B309-4959-9349-216B0429D7A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17924" xr:uid="{83D00A0F-FEDA-4C5C-89CD-E3709E2D7661}"/>
    <cellStyle name="Normal 5 2 3 2 3 5 2 3" xfId="13707" xr:uid="{19DDB31F-6287-40CA-BFFE-A6E31A996A36}"/>
    <cellStyle name="Normal 5 2 3 2 3 5 3" xfId="6453" xr:uid="{00000000-0005-0000-0000-00006D180000}"/>
    <cellStyle name="Normal 5 2 3 2 3 5 3 2" xfId="15779" xr:uid="{286B730E-84CF-4B11-9B6C-0FD159E2A390}"/>
    <cellStyle name="Normal 5 2 3 2 3 5 4" xfId="11562" xr:uid="{1831ADAA-25E4-45D7-90AB-0009B7BB81F9}"/>
    <cellStyle name="Normal 5 2 3 2 3 6" xfId="2583" xr:uid="{00000000-0005-0000-0000-00006E180000}"/>
    <cellStyle name="Normal 5 2 3 2 3 6 2" xfId="6866" xr:uid="{00000000-0005-0000-0000-00006F180000}"/>
    <cellStyle name="Normal 5 2 3 2 3 6 2 2" xfId="16192" xr:uid="{2DEBC8AB-BFBF-48D5-B673-9D1422ABE4CB}"/>
    <cellStyle name="Normal 5 2 3 2 3 6 3" xfId="11975" xr:uid="{5CC205D1-0CDE-4EA1-9861-8F062CA98B1F}"/>
    <cellStyle name="Normal 5 2 3 2 3 7" xfId="4801" xr:uid="{00000000-0005-0000-0000-000070180000}"/>
    <cellStyle name="Normal 5 2 3 2 3 7 2" xfId="14127" xr:uid="{C0B81608-1F9D-42B2-8441-ACFCD99CBBAD}"/>
    <cellStyle name="Normal 5 2 3 2 3 8" xfId="9037" xr:uid="{EED46D7F-EFCD-4AC1-931D-AB06B694E7BE}"/>
    <cellStyle name="Normal 5 2 3 2 3 8 2" xfId="18361" xr:uid="{036B8684-61F4-4514-A5C3-4A21D75BC249}"/>
    <cellStyle name="Normal 5 2 3 2 3 9" xfId="9910" xr:uid="{DB6DCB5D-901A-4C71-AB13-970193C704B5}"/>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16682" xr:uid="{910D010E-484B-4E52-BFD1-E94B711D9FC8}"/>
    <cellStyle name="Normal 5 2 3 2 4 2 3" xfId="12465" xr:uid="{D5E10484-BE5D-45A6-8AE7-3E5BF90C6D2C}"/>
    <cellStyle name="Normal 5 2 3 2 4 3" xfId="5211" xr:uid="{00000000-0005-0000-0000-000074180000}"/>
    <cellStyle name="Normal 5 2 3 2 4 3 2" xfId="14537" xr:uid="{5FC2A9BD-EFE6-41FD-8B6D-0631DD924845}"/>
    <cellStyle name="Normal 5 2 3 2 4 4" xfId="9255" xr:uid="{C5A161BB-6C4F-4A9D-BBA7-7500B0B26A70}"/>
    <cellStyle name="Normal 5 2 3 2 4 4 2" xfId="18570" xr:uid="{F1C338FA-6456-47B3-9583-C992CB362B2F}"/>
    <cellStyle name="Normal 5 2 3 2 4 5" xfId="10320" xr:uid="{11E4ABE5-FC8E-4B21-8D99-8C6D0C791A6F}"/>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17095" xr:uid="{AE8BAAE7-5A64-4948-9F4E-BCECD41CFE97}"/>
    <cellStyle name="Normal 5 2 3 2 5 2 3" xfId="12878" xr:uid="{2A51A4EB-2E40-4BA7-A358-29360487B2A8}"/>
    <cellStyle name="Normal 5 2 3 2 5 3" xfId="5624" xr:uid="{00000000-0005-0000-0000-000078180000}"/>
    <cellStyle name="Normal 5 2 3 2 5 3 2" xfId="14950" xr:uid="{7D5E1F64-BC47-476F-BD91-8799338735F7}"/>
    <cellStyle name="Normal 5 2 3 2 5 4" xfId="10733" xr:uid="{FA04BAFE-4411-421B-A1F5-B479452EB975}"/>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17508" xr:uid="{126333F3-0B94-4F93-82CD-F09684190658}"/>
    <cellStyle name="Normal 5 2 3 2 6 2 3" xfId="13291" xr:uid="{AA8D3CA4-CBDD-4CC3-8B51-BD546BE5D312}"/>
    <cellStyle name="Normal 5 2 3 2 6 3" xfId="6037" xr:uid="{00000000-0005-0000-0000-00007C180000}"/>
    <cellStyle name="Normal 5 2 3 2 6 3 2" xfId="15363" xr:uid="{3A050B8F-8D66-4FD1-889F-D2B360FEF443}"/>
    <cellStyle name="Normal 5 2 3 2 6 4" xfId="11146" xr:uid="{18EEE320-2B07-4FB9-B6DA-28766FDF9F18}"/>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17921" xr:uid="{89BA69A0-716E-4616-971D-011144269763}"/>
    <cellStyle name="Normal 5 2 3 2 7 2 3" xfId="13704" xr:uid="{04D1061C-BE5D-467C-A97F-1A6325EE14EA}"/>
    <cellStyle name="Normal 5 2 3 2 7 3" xfId="6450" xr:uid="{00000000-0005-0000-0000-000080180000}"/>
    <cellStyle name="Normal 5 2 3 2 7 3 2" xfId="15776" xr:uid="{4E0C2E64-07B7-4039-9ED2-858079ADAF2D}"/>
    <cellStyle name="Normal 5 2 3 2 7 4" xfId="11559" xr:uid="{1D432B33-C47A-4B85-9B99-549A3E772CED}"/>
    <cellStyle name="Normal 5 2 3 2 8" xfId="2580" xr:uid="{00000000-0005-0000-0000-000081180000}"/>
    <cellStyle name="Normal 5 2 3 2 8 2" xfId="6863" xr:uid="{00000000-0005-0000-0000-000082180000}"/>
    <cellStyle name="Normal 5 2 3 2 8 2 2" xfId="16189" xr:uid="{4FF7913B-6F7E-4B32-8B7E-9892DC1AB266}"/>
    <cellStyle name="Normal 5 2 3 2 8 3" xfId="11972" xr:uid="{73617BE1-F330-4E8C-A708-32EA5DCC299E}"/>
    <cellStyle name="Normal 5 2 3 2 9" xfId="4798" xr:uid="{00000000-0005-0000-0000-000083180000}"/>
    <cellStyle name="Normal 5 2 3 2 9 2" xfId="14124" xr:uid="{FE869768-D590-4307-89A0-90424C6D7314}"/>
    <cellStyle name="Normal 5 2 3 3" xfId="429" xr:uid="{00000000-0005-0000-0000-000084180000}"/>
    <cellStyle name="Normal 5 2 3 3 10" xfId="9911" xr:uid="{58EEEAB7-6751-4AD7-8B15-FACE17D898B7}"/>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16687" xr:uid="{0093310B-7957-410A-B9CC-BD1CBC3995E5}"/>
    <cellStyle name="Normal 5 2 3 3 2 2 2 3" xfId="12470" xr:uid="{33DE9B77-B695-4729-B364-F858C361743D}"/>
    <cellStyle name="Normal 5 2 3 3 2 2 3" xfId="5216" xr:uid="{00000000-0005-0000-0000-000089180000}"/>
    <cellStyle name="Normal 5 2 3 3 2 2 3 2" xfId="14542" xr:uid="{2004C1CE-93EA-4284-9A7A-BA60B5F7F7C2}"/>
    <cellStyle name="Normal 5 2 3 3 2 2 4" xfId="9511" xr:uid="{75EF02F8-0397-4B30-A858-343ADCA7C08D}"/>
    <cellStyle name="Normal 5 2 3 3 2 2 4 2" xfId="18826" xr:uid="{8663151B-63ED-4BAA-8098-15EA28810507}"/>
    <cellStyle name="Normal 5 2 3 3 2 2 5" xfId="10325" xr:uid="{F4906534-8620-4928-8ED2-E462076FF7A8}"/>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17100" xr:uid="{5BBE1E6E-A194-46B5-96A3-89183322BA85}"/>
    <cellStyle name="Normal 5 2 3 3 2 3 2 3" xfId="12883" xr:uid="{3F489ABA-88C0-4310-8762-53FADA547361}"/>
    <cellStyle name="Normal 5 2 3 3 2 3 3" xfId="5629" xr:uid="{00000000-0005-0000-0000-00008D180000}"/>
    <cellStyle name="Normal 5 2 3 3 2 3 3 2" xfId="14955" xr:uid="{B00A5764-17CC-4E4D-8DE7-B104DA672EEF}"/>
    <cellStyle name="Normal 5 2 3 3 2 3 4" xfId="10738" xr:uid="{BD27B71F-0403-415C-8262-1542540C8DB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17513" xr:uid="{D284B2D5-A0D4-4B6B-9372-8BB04D4EAAAC}"/>
    <cellStyle name="Normal 5 2 3 3 2 4 2 3" xfId="13296" xr:uid="{79444814-9EAE-48BD-8113-6E5B04C30D8D}"/>
    <cellStyle name="Normal 5 2 3 3 2 4 3" xfId="6042" xr:uid="{00000000-0005-0000-0000-000091180000}"/>
    <cellStyle name="Normal 5 2 3 3 2 4 3 2" xfId="15368" xr:uid="{7BAA49CF-1CB8-4856-9932-47B30B548505}"/>
    <cellStyle name="Normal 5 2 3 3 2 4 4" xfId="11151" xr:uid="{57BDE47F-8756-4A08-B71C-E6BD309C483B}"/>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17926" xr:uid="{708EB16C-3FB7-45AF-83EC-938E96E88D5F}"/>
    <cellStyle name="Normal 5 2 3 3 2 5 2 3" xfId="13709" xr:uid="{A97B3E4E-6A8C-47AC-A8F1-3EDD1BDE2592}"/>
    <cellStyle name="Normal 5 2 3 3 2 5 3" xfId="6455" xr:uid="{00000000-0005-0000-0000-000095180000}"/>
    <cellStyle name="Normal 5 2 3 3 2 5 3 2" xfId="15781" xr:uid="{66D536AE-98AB-449A-AA9E-CFB25633B294}"/>
    <cellStyle name="Normal 5 2 3 3 2 5 4" xfId="11564" xr:uid="{EAF8B4B8-EAC3-4A59-BEA2-243B3EF30955}"/>
    <cellStyle name="Normal 5 2 3 3 2 6" xfId="2585" xr:uid="{00000000-0005-0000-0000-000096180000}"/>
    <cellStyle name="Normal 5 2 3 3 2 6 2" xfId="6868" xr:uid="{00000000-0005-0000-0000-000097180000}"/>
    <cellStyle name="Normal 5 2 3 3 2 6 2 2" xfId="16194" xr:uid="{07E1947A-5444-4599-BCB1-AF04863E7CBD}"/>
    <cellStyle name="Normal 5 2 3 3 2 6 3" xfId="11977" xr:uid="{D0CE5C0B-05BA-4A85-9C9F-ACFA7B8E2518}"/>
    <cellStyle name="Normal 5 2 3 3 2 7" xfId="4803" xr:uid="{00000000-0005-0000-0000-000098180000}"/>
    <cellStyle name="Normal 5 2 3 3 2 7 2" xfId="14129" xr:uid="{4FF3765F-C178-47F3-B7F6-74B569287773}"/>
    <cellStyle name="Normal 5 2 3 3 2 8" xfId="9086" xr:uid="{442E5F61-F00C-4774-822F-4985AB3E1CB7}"/>
    <cellStyle name="Normal 5 2 3 3 2 8 2" xfId="18410" xr:uid="{3B813D43-4C89-47F0-8A3A-7C80C578F3EA}"/>
    <cellStyle name="Normal 5 2 3 3 2 9" xfId="9912" xr:uid="{8C657D3D-8A7E-4C09-9A73-445CDA020E9D}"/>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16686" xr:uid="{AD50E11D-A30C-44A3-AE67-D9B5025A97A6}"/>
    <cellStyle name="Normal 5 2 3 3 3 2 3" xfId="12469" xr:uid="{CF6058B7-2D67-42F6-A9B9-E2F4EC0D09E7}"/>
    <cellStyle name="Normal 5 2 3 3 3 3" xfId="5215" xr:uid="{00000000-0005-0000-0000-00009C180000}"/>
    <cellStyle name="Normal 5 2 3 3 3 3 2" xfId="14541" xr:uid="{4A614927-9F4B-4C18-9AFE-BBE7484718A0}"/>
    <cellStyle name="Normal 5 2 3 3 3 4" xfId="9304" xr:uid="{2C783A77-F32A-4E64-807E-062B95DB0310}"/>
    <cellStyle name="Normal 5 2 3 3 3 4 2" xfId="18619" xr:uid="{1A7920C6-007D-4D79-A3A2-F6D5B1E05990}"/>
    <cellStyle name="Normal 5 2 3 3 3 5" xfId="10324" xr:uid="{FD920CAC-381F-43F0-AECD-509658BC9E2C}"/>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17099" xr:uid="{A83D4DAA-F7FA-469C-B523-B5112718E43C}"/>
    <cellStyle name="Normal 5 2 3 3 4 2 3" xfId="12882" xr:uid="{B8D3F959-F47B-4672-A58C-3CD99CB45538}"/>
    <cellStyle name="Normal 5 2 3 3 4 3" xfId="5628" xr:uid="{00000000-0005-0000-0000-0000A0180000}"/>
    <cellStyle name="Normal 5 2 3 3 4 3 2" xfId="14954" xr:uid="{4AADAF12-C98D-44A5-A997-E1899BD4F747}"/>
    <cellStyle name="Normal 5 2 3 3 4 4" xfId="10737" xr:uid="{D5396314-179B-419A-B661-32F30F690295}"/>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17512" xr:uid="{D4C1D209-7D73-4FBF-8CE2-1EA613E8BCD8}"/>
    <cellStyle name="Normal 5 2 3 3 5 2 3" xfId="13295" xr:uid="{29891D04-2340-400A-A628-81D4B5D1197C}"/>
    <cellStyle name="Normal 5 2 3 3 5 3" xfId="6041" xr:uid="{00000000-0005-0000-0000-0000A4180000}"/>
    <cellStyle name="Normal 5 2 3 3 5 3 2" xfId="15367" xr:uid="{CB51E968-AAFE-4C73-A306-D9CB12D15AEC}"/>
    <cellStyle name="Normal 5 2 3 3 5 4" xfId="11150" xr:uid="{40D856A8-B641-4D18-A539-3DA5873D98C2}"/>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17925" xr:uid="{A6E4E25E-214A-4F07-942D-BC56AC9F9400}"/>
    <cellStyle name="Normal 5 2 3 3 6 2 3" xfId="13708" xr:uid="{AB54DDAD-BF11-443B-90CB-D1B31C21ECF4}"/>
    <cellStyle name="Normal 5 2 3 3 6 3" xfId="6454" xr:uid="{00000000-0005-0000-0000-0000A8180000}"/>
    <cellStyle name="Normal 5 2 3 3 6 3 2" xfId="15780" xr:uid="{32C80CDF-FD6C-4A4A-9AD4-0F2535190E48}"/>
    <cellStyle name="Normal 5 2 3 3 6 4" xfId="11563" xr:uid="{E76F13A0-EB97-4B48-85C4-FBBA2D524DDC}"/>
    <cellStyle name="Normal 5 2 3 3 7" xfId="2584" xr:uid="{00000000-0005-0000-0000-0000A9180000}"/>
    <cellStyle name="Normal 5 2 3 3 7 2" xfId="6867" xr:uid="{00000000-0005-0000-0000-0000AA180000}"/>
    <cellStyle name="Normal 5 2 3 3 7 2 2" xfId="16193" xr:uid="{88E0ABD1-27A4-4AC7-9717-92DAFA745B09}"/>
    <cellStyle name="Normal 5 2 3 3 7 3" xfId="11976" xr:uid="{1BB76237-E26E-4DF6-9341-E48EEAFABAA0}"/>
    <cellStyle name="Normal 5 2 3 3 8" xfId="4802" xr:uid="{00000000-0005-0000-0000-0000AB180000}"/>
    <cellStyle name="Normal 5 2 3 3 8 2" xfId="14128" xr:uid="{D1D8C5BE-57A7-48C0-B485-B5E99F619950}"/>
    <cellStyle name="Normal 5 2 3 3 9" xfId="8879" xr:uid="{F521005C-E3E0-4B64-9C0A-0C510FB9AAB2}"/>
    <cellStyle name="Normal 5 2 3 3 9 2" xfId="18203" xr:uid="{966742BE-9993-43D6-B834-FEFCA3239D6C}"/>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16688" xr:uid="{6D63A2A8-3FDD-42A9-BD7A-CA3E98BF0443}"/>
    <cellStyle name="Normal 5 2 3 4 2 2 3" xfId="12471" xr:uid="{7FD5AD8C-03CD-4A18-8A30-BFC30A29B41E}"/>
    <cellStyle name="Normal 5 2 3 4 2 3" xfId="5217" xr:uid="{00000000-0005-0000-0000-0000B0180000}"/>
    <cellStyle name="Normal 5 2 3 4 2 3 2" xfId="14543" xr:uid="{4F911F03-6E95-4259-AB63-A4811BA26AD6}"/>
    <cellStyle name="Normal 5 2 3 4 2 4" xfId="9408" xr:uid="{3B6F9C6F-3D7C-45F8-99FE-451C0F8CED36}"/>
    <cellStyle name="Normal 5 2 3 4 2 4 2" xfId="18723" xr:uid="{E30BC239-264D-437B-8B00-6DAADFF3C198}"/>
    <cellStyle name="Normal 5 2 3 4 2 5" xfId="10326" xr:uid="{DC1D2A30-A3BC-40E1-9312-68A8590A3C1F}"/>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17101" xr:uid="{704DEC88-DE47-445A-856E-9C002286A6EE}"/>
    <cellStyle name="Normal 5 2 3 4 3 2 3" xfId="12884" xr:uid="{3F1B1836-991E-4F87-AC0A-20604CE93C72}"/>
    <cellStyle name="Normal 5 2 3 4 3 3" xfId="5630" xr:uid="{00000000-0005-0000-0000-0000B4180000}"/>
    <cellStyle name="Normal 5 2 3 4 3 3 2" xfId="14956" xr:uid="{EBE16D7D-4089-4B01-B95B-8695DD124508}"/>
    <cellStyle name="Normal 5 2 3 4 3 4" xfId="10739" xr:uid="{BABF02E1-5CD9-4674-B7EF-94D1D4AE7ACF}"/>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17514" xr:uid="{3E63E0D2-AC6E-4D80-8254-80E94839B4F6}"/>
    <cellStyle name="Normal 5 2 3 4 4 2 3" xfId="13297" xr:uid="{F51600A5-DFBB-4297-B848-2C2A2BE5C438}"/>
    <cellStyle name="Normal 5 2 3 4 4 3" xfId="6043" xr:uid="{00000000-0005-0000-0000-0000B8180000}"/>
    <cellStyle name="Normal 5 2 3 4 4 3 2" xfId="15369" xr:uid="{806BE793-6484-4002-96CB-FC90AC2D52FE}"/>
    <cellStyle name="Normal 5 2 3 4 4 4" xfId="11152" xr:uid="{A84F2751-102E-4459-A68D-559F32260672}"/>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17927" xr:uid="{E692213A-0554-4406-9BFC-B8A61D9BE8AA}"/>
    <cellStyle name="Normal 5 2 3 4 5 2 3" xfId="13710" xr:uid="{02ECDB00-D85B-48FE-AB3F-BBDD55020575}"/>
    <cellStyle name="Normal 5 2 3 4 5 3" xfId="6456" xr:uid="{00000000-0005-0000-0000-0000BC180000}"/>
    <cellStyle name="Normal 5 2 3 4 5 3 2" xfId="15782" xr:uid="{9F91FAA1-89D0-4092-BFC6-E84FE53F55BA}"/>
    <cellStyle name="Normal 5 2 3 4 5 4" xfId="11565" xr:uid="{386CC58C-6C41-4E8B-ADE5-6DE685AEF9FE}"/>
    <cellStyle name="Normal 5 2 3 4 6" xfId="2586" xr:uid="{00000000-0005-0000-0000-0000BD180000}"/>
    <cellStyle name="Normal 5 2 3 4 6 2" xfId="6869" xr:uid="{00000000-0005-0000-0000-0000BE180000}"/>
    <cellStyle name="Normal 5 2 3 4 6 2 2" xfId="16195" xr:uid="{340C26DC-CE18-4DAD-B752-BBFDFBBAB5FC}"/>
    <cellStyle name="Normal 5 2 3 4 6 3" xfId="11978" xr:uid="{C4E3CC8C-788A-4427-AAA8-E2DE3B50A7A4}"/>
    <cellStyle name="Normal 5 2 3 4 7" xfId="4804" xr:uid="{00000000-0005-0000-0000-0000BF180000}"/>
    <cellStyle name="Normal 5 2 3 4 7 2" xfId="14130" xr:uid="{59D15F70-E0BB-4968-AEC7-E916070F486C}"/>
    <cellStyle name="Normal 5 2 3 4 8" xfId="8983" xr:uid="{07388FCC-03DE-4CE8-89CB-9C92F8174E24}"/>
    <cellStyle name="Normal 5 2 3 4 8 2" xfId="18307" xr:uid="{0D819F12-0C0E-4147-9053-D8DA0EF0CC18}"/>
    <cellStyle name="Normal 5 2 3 4 9" xfId="9913" xr:uid="{886E5476-439C-49F4-B228-092CD6FAA4E8}"/>
    <cellStyle name="Normal 5 2 3 5" xfId="898" xr:uid="{00000000-0005-0000-0000-0000C0180000}"/>
    <cellStyle name="Normal 5 2 3 5 2" xfId="3133" xr:uid="{00000000-0005-0000-0000-0000C1180000}"/>
    <cellStyle name="Normal 5 2 3 5 2 2" xfId="7355" xr:uid="{00000000-0005-0000-0000-0000C2180000}"/>
    <cellStyle name="Normal 5 2 3 5 2 2 2" xfId="16681" xr:uid="{21EA136E-8B3B-4A2D-BDED-8DA049C5C176}"/>
    <cellStyle name="Normal 5 2 3 5 2 3" xfId="12464" xr:uid="{5D0F4095-053A-42FE-8D80-761520EFE8EE}"/>
    <cellStyle name="Normal 5 2 3 5 3" xfId="5210" xr:uid="{00000000-0005-0000-0000-0000C3180000}"/>
    <cellStyle name="Normal 5 2 3 5 3 2" xfId="14536" xr:uid="{C4D45A91-64C6-46B9-B2E1-127550F078AD}"/>
    <cellStyle name="Normal 5 2 3 5 4" xfId="9200" xr:uid="{13DE827A-4007-427A-9869-ADBBE6B70993}"/>
    <cellStyle name="Normal 5 2 3 5 4 2" xfId="18516" xr:uid="{CE5ED77B-2920-44F2-AE4D-036DBC8DF467}"/>
    <cellStyle name="Normal 5 2 3 5 5" xfId="10319" xr:uid="{CC4C5F49-0F9D-42B2-978C-4F29746FA83B}"/>
    <cellStyle name="Normal 5 2 3 6" xfId="1316" xr:uid="{00000000-0005-0000-0000-0000C4180000}"/>
    <cellStyle name="Normal 5 2 3 6 2" xfId="3546" xr:uid="{00000000-0005-0000-0000-0000C5180000}"/>
    <cellStyle name="Normal 5 2 3 6 2 2" xfId="7768" xr:uid="{00000000-0005-0000-0000-0000C6180000}"/>
    <cellStyle name="Normal 5 2 3 6 2 2 2" xfId="17094" xr:uid="{4FF7B6C4-6332-407F-8BA9-7C86749B3D90}"/>
    <cellStyle name="Normal 5 2 3 6 2 3" xfId="12877" xr:uid="{8F332C08-87FD-4C49-ABE8-730E8A915F6E}"/>
    <cellStyle name="Normal 5 2 3 6 3" xfId="5623" xr:uid="{00000000-0005-0000-0000-0000C7180000}"/>
    <cellStyle name="Normal 5 2 3 6 3 2" xfId="14949" xr:uid="{FD604908-ECEE-40D9-B75D-C1050FAEA134}"/>
    <cellStyle name="Normal 5 2 3 6 4" xfId="10732" xr:uid="{ECE88C87-CBBC-430B-8278-1F8AADEA8879}"/>
    <cellStyle name="Normal 5 2 3 7" xfId="1729" xr:uid="{00000000-0005-0000-0000-0000C8180000}"/>
    <cellStyle name="Normal 5 2 3 7 2" xfId="3959" xr:uid="{00000000-0005-0000-0000-0000C9180000}"/>
    <cellStyle name="Normal 5 2 3 7 2 2" xfId="8181" xr:uid="{00000000-0005-0000-0000-0000CA180000}"/>
    <cellStyle name="Normal 5 2 3 7 2 2 2" xfId="17507" xr:uid="{C8AD1E84-85B4-4034-99FC-FFC318F54A2B}"/>
    <cellStyle name="Normal 5 2 3 7 2 3" xfId="13290" xr:uid="{0798D257-60BA-437F-9694-F90B4725D67F}"/>
    <cellStyle name="Normal 5 2 3 7 3" xfId="6036" xr:uid="{00000000-0005-0000-0000-0000CB180000}"/>
    <cellStyle name="Normal 5 2 3 7 3 2" xfId="15362" xr:uid="{4012EB60-1840-421E-AD89-5D81C4DFD2C5}"/>
    <cellStyle name="Normal 5 2 3 7 4" xfId="11145" xr:uid="{25ACC944-14A1-4D1E-97FB-962DA7CEA802}"/>
    <cellStyle name="Normal 5 2 3 8" xfId="2143" xr:uid="{00000000-0005-0000-0000-0000CC180000}"/>
    <cellStyle name="Normal 5 2 3 8 2" xfId="4372" xr:uid="{00000000-0005-0000-0000-0000CD180000}"/>
    <cellStyle name="Normal 5 2 3 8 2 2" xfId="8594" xr:uid="{00000000-0005-0000-0000-0000CE180000}"/>
    <cellStyle name="Normal 5 2 3 8 2 2 2" xfId="17920" xr:uid="{22282C02-7842-4D73-B890-C7825344D6B5}"/>
    <cellStyle name="Normal 5 2 3 8 2 3" xfId="13703" xr:uid="{EB61EADE-8057-4D20-BA97-745F05CB26AC}"/>
    <cellStyle name="Normal 5 2 3 8 3" xfId="6449" xr:uid="{00000000-0005-0000-0000-0000CF180000}"/>
    <cellStyle name="Normal 5 2 3 8 3 2" xfId="15775" xr:uid="{DB9F4187-199D-440F-9791-51272955FA3A}"/>
    <cellStyle name="Normal 5 2 3 8 4" xfId="11558" xr:uid="{711F367F-C4B9-4BD2-990E-2ACFBE459CC4}"/>
    <cellStyle name="Normal 5 2 3 9" xfId="2579" xr:uid="{00000000-0005-0000-0000-0000D0180000}"/>
    <cellStyle name="Normal 5 2 3 9 2" xfId="6862" xr:uid="{00000000-0005-0000-0000-0000D1180000}"/>
    <cellStyle name="Normal 5 2 3 9 2 2" xfId="16188" xr:uid="{A7F3E2B6-13DB-43E2-9F7B-D407A31F0AB8}"/>
    <cellStyle name="Normal 5 2 3 9 3" xfId="11971" xr:uid="{2113AB8B-DB30-4320-99C4-96EF539340CF}"/>
    <cellStyle name="Normal 5 2 4" xfId="432" xr:uid="{00000000-0005-0000-0000-0000D2180000}"/>
    <cellStyle name="Normal 5 2 4 10" xfId="8827" xr:uid="{1EC4F605-F0BA-487E-A3C0-2CBAE7C22D8A}"/>
    <cellStyle name="Normal 5 2 4 10 2" xfId="18151" xr:uid="{5B411015-2518-42A7-965E-2D8A50403FE2}"/>
    <cellStyle name="Normal 5 2 4 11" xfId="9914" xr:uid="{8055F48C-3F50-4128-8639-AFB9E168A430}"/>
    <cellStyle name="Normal 5 2 4 2" xfId="433" xr:uid="{00000000-0005-0000-0000-0000D3180000}"/>
    <cellStyle name="Normal 5 2 4 2 10" xfId="9915" xr:uid="{E8BBD091-FE5E-4211-8CAB-3119248E2D4A}"/>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16691" xr:uid="{BAE54B3F-B45B-4C55-9C39-5E9ABF18E4B4}"/>
    <cellStyle name="Normal 5 2 4 2 2 2 2 3" xfId="12474" xr:uid="{8AC2FF40-4F59-4D8C-A8E4-FC879AFA2223}"/>
    <cellStyle name="Normal 5 2 4 2 2 2 3" xfId="5220" xr:uid="{00000000-0005-0000-0000-0000D8180000}"/>
    <cellStyle name="Normal 5 2 4 2 2 2 3 2" xfId="14546" xr:uid="{A6F98018-DD86-4796-B1C5-A4FA88BF2EA0}"/>
    <cellStyle name="Normal 5 2 4 2 2 2 4" xfId="9562" xr:uid="{5E243FB4-F3B1-4B34-B377-1444454AD19E}"/>
    <cellStyle name="Normal 5 2 4 2 2 2 4 2" xfId="18877" xr:uid="{CA8C9AE6-F1B1-46D9-9474-452F544A20FB}"/>
    <cellStyle name="Normal 5 2 4 2 2 2 5" xfId="10329" xr:uid="{D3E2011C-2C25-4045-8970-328E4D7B0ED2}"/>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17104" xr:uid="{B41F2E48-BEA6-4E03-A895-CC48647FA805}"/>
    <cellStyle name="Normal 5 2 4 2 2 3 2 3" xfId="12887" xr:uid="{DC7F1FF2-1C73-4E5E-91B4-2D9BBC1B09D0}"/>
    <cellStyle name="Normal 5 2 4 2 2 3 3" xfId="5633" xr:uid="{00000000-0005-0000-0000-0000DC180000}"/>
    <cellStyle name="Normal 5 2 4 2 2 3 3 2" xfId="14959" xr:uid="{F0B305F6-4926-4042-B878-E7D7CBDF71D8}"/>
    <cellStyle name="Normal 5 2 4 2 2 3 4" xfId="10742" xr:uid="{74604551-EB4B-4015-88C0-11CBA1D39AB2}"/>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17517" xr:uid="{B2E8450D-CDCA-40F8-ACF7-03F9D4B020C8}"/>
    <cellStyle name="Normal 5 2 4 2 2 4 2 3" xfId="13300" xr:uid="{461E0B7D-E9C3-4E3A-A3A1-69A873118BD6}"/>
    <cellStyle name="Normal 5 2 4 2 2 4 3" xfId="6046" xr:uid="{00000000-0005-0000-0000-0000E0180000}"/>
    <cellStyle name="Normal 5 2 4 2 2 4 3 2" xfId="15372" xr:uid="{B9345F43-1B24-472B-9469-34E6BD13F18A}"/>
    <cellStyle name="Normal 5 2 4 2 2 4 4" xfId="11155" xr:uid="{C8FD3788-E0C6-449E-8D36-5DA74AFB43F2}"/>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17930" xr:uid="{ABD1B5F0-C9AE-47AC-84C3-0EFA735955A3}"/>
    <cellStyle name="Normal 5 2 4 2 2 5 2 3" xfId="13713" xr:uid="{BAFA0B24-4BCB-4777-BA41-CA1962F4B566}"/>
    <cellStyle name="Normal 5 2 4 2 2 5 3" xfId="6459" xr:uid="{00000000-0005-0000-0000-0000E4180000}"/>
    <cellStyle name="Normal 5 2 4 2 2 5 3 2" xfId="15785" xr:uid="{2A6CD5E6-ACDA-4ECB-A434-9BA88AB9C922}"/>
    <cellStyle name="Normal 5 2 4 2 2 5 4" xfId="11568" xr:uid="{EB0EE106-5383-4FFC-A6C3-4B2415352D94}"/>
    <cellStyle name="Normal 5 2 4 2 2 6" xfId="2589" xr:uid="{00000000-0005-0000-0000-0000E5180000}"/>
    <cellStyle name="Normal 5 2 4 2 2 6 2" xfId="6872" xr:uid="{00000000-0005-0000-0000-0000E6180000}"/>
    <cellStyle name="Normal 5 2 4 2 2 6 2 2" xfId="16198" xr:uid="{C813EAC3-E7CC-4490-B900-F2A56A448BBD}"/>
    <cellStyle name="Normal 5 2 4 2 2 6 3" xfId="11981" xr:uid="{3397AD3D-8FF9-4269-B845-71BD764F0B19}"/>
    <cellStyle name="Normal 5 2 4 2 2 7" xfId="4807" xr:uid="{00000000-0005-0000-0000-0000E7180000}"/>
    <cellStyle name="Normal 5 2 4 2 2 7 2" xfId="14133" xr:uid="{2E283526-6BFE-4290-9B97-303F0213F046}"/>
    <cellStyle name="Normal 5 2 4 2 2 8" xfId="9137" xr:uid="{C80E4B27-40CA-4953-ABB8-99E2C575F775}"/>
    <cellStyle name="Normal 5 2 4 2 2 8 2" xfId="18461" xr:uid="{6766FEF0-8A69-4A1D-B0FA-593C8D57DC36}"/>
    <cellStyle name="Normal 5 2 4 2 2 9" xfId="9916" xr:uid="{33807B32-EC00-4FD4-90F5-F133993D9795}"/>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16690" xr:uid="{4A44E649-88C0-4001-A8CF-E1AEBDE06561}"/>
    <cellStyle name="Normal 5 2 4 2 3 2 3" xfId="12473" xr:uid="{3CA29BC0-9013-468C-A731-CA2120D38B6B}"/>
    <cellStyle name="Normal 5 2 4 2 3 3" xfId="5219" xr:uid="{00000000-0005-0000-0000-0000EB180000}"/>
    <cellStyle name="Normal 5 2 4 2 3 3 2" xfId="14545" xr:uid="{6A9E1351-BC4C-46F4-92F7-4560FC6834B0}"/>
    <cellStyle name="Normal 5 2 4 2 3 4" xfId="9355" xr:uid="{9D38A6AA-2F63-4275-9FB8-F86A15F6A4D3}"/>
    <cellStyle name="Normal 5 2 4 2 3 4 2" xfId="18670" xr:uid="{1613053E-62FD-42D6-879F-8EA82BAC95D8}"/>
    <cellStyle name="Normal 5 2 4 2 3 5" xfId="10328" xr:uid="{4503909D-3E27-414B-A5BC-0D00E76F03A4}"/>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17103" xr:uid="{5280500B-AF1D-4B27-BA30-619E6B65CB91}"/>
    <cellStyle name="Normal 5 2 4 2 4 2 3" xfId="12886" xr:uid="{1635A6D4-19A9-4560-AFE6-31E5AC807C63}"/>
    <cellStyle name="Normal 5 2 4 2 4 3" xfId="5632" xr:uid="{00000000-0005-0000-0000-0000EF180000}"/>
    <cellStyle name="Normal 5 2 4 2 4 3 2" xfId="14958" xr:uid="{67445A0C-4A07-47B0-BB27-D2024790907F}"/>
    <cellStyle name="Normal 5 2 4 2 4 4" xfId="10741" xr:uid="{8AC16C3A-FA5B-4620-8ED5-C3084532AA38}"/>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17516" xr:uid="{76665466-848B-4047-8510-C54F405A19CD}"/>
    <cellStyle name="Normal 5 2 4 2 5 2 3" xfId="13299" xr:uid="{5C8E4776-F085-4C95-88C8-2B955E2AA2F1}"/>
    <cellStyle name="Normal 5 2 4 2 5 3" xfId="6045" xr:uid="{00000000-0005-0000-0000-0000F3180000}"/>
    <cellStyle name="Normal 5 2 4 2 5 3 2" xfId="15371" xr:uid="{3CF98529-5CE3-4BEA-BD39-CB86B7EC503F}"/>
    <cellStyle name="Normal 5 2 4 2 5 4" xfId="11154" xr:uid="{66CBA34A-0AB6-42EF-BFC8-285CD3A2BF0B}"/>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17929" xr:uid="{FD963A92-629A-48CC-987E-BF6822EB9E9E}"/>
    <cellStyle name="Normal 5 2 4 2 6 2 3" xfId="13712" xr:uid="{2E7F23CC-10EB-4BD8-B0E6-3E1EA30D8D10}"/>
    <cellStyle name="Normal 5 2 4 2 6 3" xfId="6458" xr:uid="{00000000-0005-0000-0000-0000F7180000}"/>
    <cellStyle name="Normal 5 2 4 2 6 3 2" xfId="15784" xr:uid="{53E8BA66-B38D-4C91-ACFC-AC126679D2AB}"/>
    <cellStyle name="Normal 5 2 4 2 6 4" xfId="11567" xr:uid="{B113EC93-300D-4300-A45D-7881D77E58FF}"/>
    <cellStyle name="Normal 5 2 4 2 7" xfId="2588" xr:uid="{00000000-0005-0000-0000-0000F8180000}"/>
    <cellStyle name="Normal 5 2 4 2 7 2" xfId="6871" xr:uid="{00000000-0005-0000-0000-0000F9180000}"/>
    <cellStyle name="Normal 5 2 4 2 7 2 2" xfId="16197" xr:uid="{9F5A62F6-2834-4777-A0C6-C8CBC0A82DAB}"/>
    <cellStyle name="Normal 5 2 4 2 7 3" xfId="11980" xr:uid="{54E19E67-5294-47A8-9D1C-37B004A720FF}"/>
    <cellStyle name="Normal 5 2 4 2 8" xfId="4806" xr:uid="{00000000-0005-0000-0000-0000FA180000}"/>
    <cellStyle name="Normal 5 2 4 2 8 2" xfId="14132" xr:uid="{EF43CA42-CFE6-4824-AB2C-0C5A63761399}"/>
    <cellStyle name="Normal 5 2 4 2 9" xfId="8930" xr:uid="{66B84ABA-CAF3-4BBE-9026-E7A47CB6006F}"/>
    <cellStyle name="Normal 5 2 4 2 9 2" xfId="18254" xr:uid="{19C09845-DA16-4618-9B91-D76B88F82BAD}"/>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16692" xr:uid="{4EA9F194-F194-45F3-BB29-6670DDA2E5DF}"/>
    <cellStyle name="Normal 5 2 4 3 2 2 3" xfId="12475" xr:uid="{9E398CC6-8566-4D82-ADE6-A9E5A53A39C3}"/>
    <cellStyle name="Normal 5 2 4 3 2 3" xfId="5221" xr:uid="{00000000-0005-0000-0000-0000FF180000}"/>
    <cellStyle name="Normal 5 2 4 3 2 3 2" xfId="14547" xr:uid="{66676EE4-4FD2-450A-9661-4B89105690AC}"/>
    <cellStyle name="Normal 5 2 4 3 2 4" xfId="9459" xr:uid="{ED2A936E-5624-4B26-A175-3FCE68E1BF5A}"/>
    <cellStyle name="Normal 5 2 4 3 2 4 2" xfId="18774" xr:uid="{131E1E41-89DC-41A3-B5FD-63F54850FEC8}"/>
    <cellStyle name="Normal 5 2 4 3 2 5" xfId="10330" xr:uid="{4F0CEEC9-F644-4651-A2A6-7DD366202315}"/>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17105" xr:uid="{B2ACCDA2-4C2B-4518-A418-1FB86D989749}"/>
    <cellStyle name="Normal 5 2 4 3 3 2 3" xfId="12888" xr:uid="{E36C47FB-9F73-4A71-A540-43A2C1689AE5}"/>
    <cellStyle name="Normal 5 2 4 3 3 3" xfId="5634" xr:uid="{00000000-0005-0000-0000-000003190000}"/>
    <cellStyle name="Normal 5 2 4 3 3 3 2" xfId="14960" xr:uid="{E65E1E22-D306-4320-B340-478F4EFD7442}"/>
    <cellStyle name="Normal 5 2 4 3 3 4" xfId="10743" xr:uid="{526ABBFA-B100-4235-8C49-EEB3E363A5F4}"/>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17518" xr:uid="{6AC5AB24-99BF-4CDF-A2B1-E7FFAEA91958}"/>
    <cellStyle name="Normal 5 2 4 3 4 2 3" xfId="13301" xr:uid="{40CDF3CA-96AC-4240-946A-2517CC1F07D6}"/>
    <cellStyle name="Normal 5 2 4 3 4 3" xfId="6047" xr:uid="{00000000-0005-0000-0000-000007190000}"/>
    <cellStyle name="Normal 5 2 4 3 4 3 2" xfId="15373" xr:uid="{BAB5DFBD-093D-4BBF-BD78-AC2A14BE5F8F}"/>
    <cellStyle name="Normal 5 2 4 3 4 4" xfId="11156" xr:uid="{24BC1A7C-9019-44C1-B325-6A51439D08B1}"/>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17931" xr:uid="{E900D6D7-D5DF-464A-ABF5-128C8557A96F}"/>
    <cellStyle name="Normal 5 2 4 3 5 2 3" xfId="13714" xr:uid="{EFDA91C2-958F-45E4-9502-8114225E42E0}"/>
    <cellStyle name="Normal 5 2 4 3 5 3" xfId="6460" xr:uid="{00000000-0005-0000-0000-00000B190000}"/>
    <cellStyle name="Normal 5 2 4 3 5 3 2" xfId="15786" xr:uid="{357C340E-9161-4CD7-A14B-F50273EA2DBD}"/>
    <cellStyle name="Normal 5 2 4 3 5 4" xfId="11569" xr:uid="{C17D8EAE-03EA-4BB6-937F-40E2492330C1}"/>
    <cellStyle name="Normal 5 2 4 3 6" xfId="2590" xr:uid="{00000000-0005-0000-0000-00000C190000}"/>
    <cellStyle name="Normal 5 2 4 3 6 2" xfId="6873" xr:uid="{00000000-0005-0000-0000-00000D190000}"/>
    <cellStyle name="Normal 5 2 4 3 6 2 2" xfId="16199" xr:uid="{C85C25E5-8764-41D0-8EA7-C5A8CC6F1943}"/>
    <cellStyle name="Normal 5 2 4 3 6 3" xfId="11982" xr:uid="{46D17432-8487-4C91-9C6A-43F34E5C7B7A}"/>
    <cellStyle name="Normal 5 2 4 3 7" xfId="4808" xr:uid="{00000000-0005-0000-0000-00000E190000}"/>
    <cellStyle name="Normal 5 2 4 3 7 2" xfId="14134" xr:uid="{72CC480D-B740-452C-8180-5B6BA639AB0C}"/>
    <cellStyle name="Normal 5 2 4 3 8" xfId="9034" xr:uid="{82D3DE5B-E868-4CF9-BA07-6E197DA4FAA5}"/>
    <cellStyle name="Normal 5 2 4 3 8 2" xfId="18358" xr:uid="{6906FC85-F13C-407D-BA12-AC88F37FDFB3}"/>
    <cellStyle name="Normal 5 2 4 3 9" xfId="9917" xr:uid="{7AB28BEA-96C6-4A8A-BFA3-557BC83A8C67}"/>
    <cellStyle name="Normal 5 2 4 4" xfId="906" xr:uid="{00000000-0005-0000-0000-00000F190000}"/>
    <cellStyle name="Normal 5 2 4 4 2" xfId="3141" xr:uid="{00000000-0005-0000-0000-000010190000}"/>
    <cellStyle name="Normal 5 2 4 4 2 2" xfId="7363" xr:uid="{00000000-0005-0000-0000-000011190000}"/>
    <cellStyle name="Normal 5 2 4 4 2 2 2" xfId="16689" xr:uid="{6FF8B3FB-75F5-49E5-886C-0A8B9BD97796}"/>
    <cellStyle name="Normal 5 2 4 4 2 3" xfId="12472" xr:uid="{EF4A1B80-AA47-4C03-BD8E-63D003184E9F}"/>
    <cellStyle name="Normal 5 2 4 4 3" xfId="5218" xr:uid="{00000000-0005-0000-0000-000012190000}"/>
    <cellStyle name="Normal 5 2 4 4 3 2" xfId="14544" xr:uid="{EC3B6C73-B9E0-433F-B1A9-91A0DFDDB82F}"/>
    <cellStyle name="Normal 5 2 4 4 4" xfId="9252" xr:uid="{1D1A8EC4-7286-46A1-B40C-E987F273E760}"/>
    <cellStyle name="Normal 5 2 4 4 4 2" xfId="18567" xr:uid="{80426ABE-EA2B-42EC-BF48-DDCB8055ED80}"/>
    <cellStyle name="Normal 5 2 4 4 5" xfId="10327" xr:uid="{7548908F-B24E-4C96-9688-39BF7100D2E0}"/>
    <cellStyle name="Normal 5 2 4 5" xfId="1324" xr:uid="{00000000-0005-0000-0000-000013190000}"/>
    <cellStyle name="Normal 5 2 4 5 2" xfId="3554" xr:uid="{00000000-0005-0000-0000-000014190000}"/>
    <cellStyle name="Normal 5 2 4 5 2 2" xfId="7776" xr:uid="{00000000-0005-0000-0000-000015190000}"/>
    <cellStyle name="Normal 5 2 4 5 2 2 2" xfId="17102" xr:uid="{8127DABE-14FA-44DB-9D33-998ABF0F3095}"/>
    <cellStyle name="Normal 5 2 4 5 2 3" xfId="12885" xr:uid="{36EB0DBE-A985-45F8-B2BA-930C4813BE77}"/>
    <cellStyle name="Normal 5 2 4 5 3" xfId="5631" xr:uid="{00000000-0005-0000-0000-000016190000}"/>
    <cellStyle name="Normal 5 2 4 5 3 2" xfId="14957" xr:uid="{D721E81E-CAC3-4413-915E-189F9D548EC3}"/>
    <cellStyle name="Normal 5 2 4 5 4" xfId="10740" xr:uid="{D06B440F-699E-4381-A692-1AC8CFE1DD56}"/>
    <cellStyle name="Normal 5 2 4 6" xfId="1737" xr:uid="{00000000-0005-0000-0000-000017190000}"/>
    <cellStyle name="Normal 5 2 4 6 2" xfId="3967" xr:uid="{00000000-0005-0000-0000-000018190000}"/>
    <cellStyle name="Normal 5 2 4 6 2 2" xfId="8189" xr:uid="{00000000-0005-0000-0000-000019190000}"/>
    <cellStyle name="Normal 5 2 4 6 2 2 2" xfId="17515" xr:uid="{EAF73EEF-78BD-45BA-A606-81575DBC5F94}"/>
    <cellStyle name="Normal 5 2 4 6 2 3" xfId="13298" xr:uid="{AD493CAB-5260-4AAB-A893-BEAD8962FE73}"/>
    <cellStyle name="Normal 5 2 4 6 3" xfId="6044" xr:uid="{00000000-0005-0000-0000-00001A190000}"/>
    <cellStyle name="Normal 5 2 4 6 3 2" xfId="15370" xr:uid="{76BF2B56-7F04-44DF-AB8E-A2EFDB844126}"/>
    <cellStyle name="Normal 5 2 4 6 4" xfId="11153" xr:uid="{CA872E18-4723-49D4-A6ED-D8C23C16AEEA}"/>
    <cellStyle name="Normal 5 2 4 7" xfId="2151" xr:uid="{00000000-0005-0000-0000-00001B190000}"/>
    <cellStyle name="Normal 5 2 4 7 2" xfId="4380" xr:uid="{00000000-0005-0000-0000-00001C190000}"/>
    <cellStyle name="Normal 5 2 4 7 2 2" xfId="8602" xr:uid="{00000000-0005-0000-0000-00001D190000}"/>
    <cellStyle name="Normal 5 2 4 7 2 2 2" xfId="17928" xr:uid="{15BE7209-F7F9-479C-9D47-17AA24B93695}"/>
    <cellStyle name="Normal 5 2 4 7 2 3" xfId="13711" xr:uid="{6616FED7-9FFC-4ED1-A916-397A742B792E}"/>
    <cellStyle name="Normal 5 2 4 7 3" xfId="6457" xr:uid="{00000000-0005-0000-0000-00001E190000}"/>
    <cellStyle name="Normal 5 2 4 7 3 2" xfId="15783" xr:uid="{A257B14D-748F-40BF-86F1-31C27EE94323}"/>
    <cellStyle name="Normal 5 2 4 7 4" xfId="11566" xr:uid="{BBA9215B-B9ED-4942-9C43-37DDCBB30A9B}"/>
    <cellStyle name="Normal 5 2 4 8" xfId="2587" xr:uid="{00000000-0005-0000-0000-00001F190000}"/>
    <cellStyle name="Normal 5 2 4 8 2" xfId="6870" xr:uid="{00000000-0005-0000-0000-000020190000}"/>
    <cellStyle name="Normal 5 2 4 8 2 2" xfId="16196" xr:uid="{91927CF6-DD64-4320-929B-EE991962E8AB}"/>
    <cellStyle name="Normal 5 2 4 8 3" xfId="11979" xr:uid="{4D79E1D0-004F-45DD-8285-83005F9C1E6D}"/>
    <cellStyle name="Normal 5 2 4 9" xfId="4805" xr:uid="{00000000-0005-0000-0000-000021190000}"/>
    <cellStyle name="Normal 5 2 4 9 2" xfId="14131" xr:uid="{6980AEE3-FFF2-425A-81D1-F826E2925809}"/>
    <cellStyle name="Normal 5 2 5" xfId="436" xr:uid="{00000000-0005-0000-0000-000022190000}"/>
    <cellStyle name="Normal 5 2 5 10" xfId="9918" xr:uid="{AA214D48-88BD-404D-A85B-8B52C6829AF2}"/>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16694" xr:uid="{208E5542-02D8-465E-9CF3-938B7B91286B}"/>
    <cellStyle name="Normal 5 2 5 2 2 2 3" xfId="12477" xr:uid="{95C85C0C-3F97-4C43-B1FF-049E3F82DBA1}"/>
    <cellStyle name="Normal 5 2 5 2 2 3" xfId="5223" xr:uid="{00000000-0005-0000-0000-000027190000}"/>
    <cellStyle name="Normal 5 2 5 2 2 3 2" xfId="14549" xr:uid="{85D00E67-A4D5-4466-B423-CAE1F9682D92}"/>
    <cellStyle name="Normal 5 2 5 2 2 4" xfId="9479" xr:uid="{0DDFFFD4-5D62-4038-B6D4-9E9BD7CBA380}"/>
    <cellStyle name="Normal 5 2 5 2 2 4 2" xfId="18794" xr:uid="{205C5591-EA9D-4CCF-B28A-68F870ED922C}"/>
    <cellStyle name="Normal 5 2 5 2 2 5" xfId="10332" xr:uid="{49B4332D-F270-4A7D-AD58-E55F604F35ED}"/>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17107" xr:uid="{C217F629-80F0-45B7-8CAC-49023DEBE0E8}"/>
    <cellStyle name="Normal 5 2 5 2 3 2 3" xfId="12890" xr:uid="{33F9943F-7302-42C2-9DAE-1950824DD17E}"/>
    <cellStyle name="Normal 5 2 5 2 3 3" xfId="5636" xr:uid="{00000000-0005-0000-0000-00002B190000}"/>
    <cellStyle name="Normal 5 2 5 2 3 3 2" xfId="14962" xr:uid="{4225EE19-A4AF-4045-A6FD-6A8B38A2C647}"/>
    <cellStyle name="Normal 5 2 5 2 3 4" xfId="10745" xr:uid="{369D6310-02D4-436F-9E30-05F7BEB9E0F5}"/>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17520" xr:uid="{CB0B3817-8BA2-48E7-B1B4-527FBCE007E8}"/>
    <cellStyle name="Normal 5 2 5 2 4 2 3" xfId="13303" xr:uid="{21D6A11A-9E4F-4531-9C91-25AD571C169B}"/>
    <cellStyle name="Normal 5 2 5 2 4 3" xfId="6049" xr:uid="{00000000-0005-0000-0000-00002F190000}"/>
    <cellStyle name="Normal 5 2 5 2 4 3 2" xfId="15375" xr:uid="{B2748192-6B5D-4677-8AA6-B3F46695811D}"/>
    <cellStyle name="Normal 5 2 5 2 4 4" xfId="11158" xr:uid="{E5042F01-AFAC-4817-ADA5-8612324424AC}"/>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17933" xr:uid="{85DF83AE-5CAB-4C92-A9DC-834693A78993}"/>
    <cellStyle name="Normal 5 2 5 2 5 2 3" xfId="13716" xr:uid="{9FD2613B-BE28-4894-BCF2-1C8911068C9A}"/>
    <cellStyle name="Normal 5 2 5 2 5 3" xfId="6462" xr:uid="{00000000-0005-0000-0000-000033190000}"/>
    <cellStyle name="Normal 5 2 5 2 5 3 2" xfId="15788" xr:uid="{FB940611-133F-401D-8547-42E27DA84DF1}"/>
    <cellStyle name="Normal 5 2 5 2 5 4" xfId="11571" xr:uid="{A351AED5-4E8B-4F2D-87E1-1A9557A1FB91}"/>
    <cellStyle name="Normal 5 2 5 2 6" xfId="2592" xr:uid="{00000000-0005-0000-0000-000034190000}"/>
    <cellStyle name="Normal 5 2 5 2 6 2" xfId="6875" xr:uid="{00000000-0005-0000-0000-000035190000}"/>
    <cellStyle name="Normal 5 2 5 2 6 2 2" xfId="16201" xr:uid="{852282B1-D2AC-47C6-AB4C-41BCE0042D48}"/>
    <cellStyle name="Normal 5 2 5 2 6 3" xfId="11984" xr:uid="{CED699AA-495D-4C54-8904-6A9117B86E1D}"/>
    <cellStyle name="Normal 5 2 5 2 7" xfId="4810" xr:uid="{00000000-0005-0000-0000-000036190000}"/>
    <cellStyle name="Normal 5 2 5 2 7 2" xfId="14136" xr:uid="{B23FE4A1-4FD2-4AD4-A250-DB24153FA3A0}"/>
    <cellStyle name="Normal 5 2 5 2 8" xfId="9054" xr:uid="{844F6476-DDB9-4C38-A2B2-83AB0DCF1773}"/>
    <cellStyle name="Normal 5 2 5 2 8 2" xfId="18378" xr:uid="{0C0FC29A-13A7-4192-A773-26086AA2D158}"/>
    <cellStyle name="Normal 5 2 5 2 9" xfId="9919" xr:uid="{608909C7-5793-40F2-B465-3252A4FE3394}"/>
    <cellStyle name="Normal 5 2 5 3" xfId="910" xr:uid="{00000000-0005-0000-0000-000037190000}"/>
    <cellStyle name="Normal 5 2 5 3 2" xfId="3145" xr:uid="{00000000-0005-0000-0000-000038190000}"/>
    <cellStyle name="Normal 5 2 5 3 2 2" xfId="7367" xr:uid="{00000000-0005-0000-0000-000039190000}"/>
    <cellStyle name="Normal 5 2 5 3 2 2 2" xfId="16693" xr:uid="{03430540-747B-49F9-8507-8334D3F06298}"/>
    <cellStyle name="Normal 5 2 5 3 2 3" xfId="12476" xr:uid="{26B1C86B-E451-46C3-A458-859701235F54}"/>
    <cellStyle name="Normal 5 2 5 3 3" xfId="5222" xr:uid="{00000000-0005-0000-0000-00003A190000}"/>
    <cellStyle name="Normal 5 2 5 3 3 2" xfId="14548" xr:uid="{CCCB6B8E-EC30-445C-A79A-B547E8890378}"/>
    <cellStyle name="Normal 5 2 5 3 4" xfId="9272" xr:uid="{8865498C-CC61-4C5F-A1F4-57A1D301E1CE}"/>
    <cellStyle name="Normal 5 2 5 3 4 2" xfId="18587" xr:uid="{3D8B6971-1526-48C4-9735-328DEC207505}"/>
    <cellStyle name="Normal 5 2 5 3 5" xfId="10331" xr:uid="{4F0B7343-240C-4F7E-8A3D-25179782A512}"/>
    <cellStyle name="Normal 5 2 5 4" xfId="1328" xr:uid="{00000000-0005-0000-0000-00003B190000}"/>
    <cellStyle name="Normal 5 2 5 4 2" xfId="3558" xr:uid="{00000000-0005-0000-0000-00003C190000}"/>
    <cellStyle name="Normal 5 2 5 4 2 2" xfId="7780" xr:uid="{00000000-0005-0000-0000-00003D190000}"/>
    <cellStyle name="Normal 5 2 5 4 2 2 2" xfId="17106" xr:uid="{BD0D318D-EE50-440E-A306-17FBD202A830}"/>
    <cellStyle name="Normal 5 2 5 4 2 3" xfId="12889" xr:uid="{2226F090-0A06-4B17-B59F-4DD5567B868E}"/>
    <cellStyle name="Normal 5 2 5 4 3" xfId="5635" xr:uid="{00000000-0005-0000-0000-00003E190000}"/>
    <cellStyle name="Normal 5 2 5 4 3 2" xfId="14961" xr:uid="{EF10174D-6882-4DD4-9D80-2C19AEC33CA1}"/>
    <cellStyle name="Normal 5 2 5 4 4" xfId="10744" xr:uid="{D043379A-5B12-4692-9E30-E582D49CA7F7}"/>
    <cellStyle name="Normal 5 2 5 5" xfId="1741" xr:uid="{00000000-0005-0000-0000-00003F190000}"/>
    <cellStyle name="Normal 5 2 5 5 2" xfId="3971" xr:uid="{00000000-0005-0000-0000-000040190000}"/>
    <cellStyle name="Normal 5 2 5 5 2 2" xfId="8193" xr:uid="{00000000-0005-0000-0000-000041190000}"/>
    <cellStyle name="Normal 5 2 5 5 2 2 2" xfId="17519" xr:uid="{93723536-B5A3-402C-BB43-4BC4F4E9651A}"/>
    <cellStyle name="Normal 5 2 5 5 2 3" xfId="13302" xr:uid="{67A6DCC1-CC59-451B-8EE3-8DBDD407083F}"/>
    <cellStyle name="Normal 5 2 5 5 3" xfId="6048" xr:uid="{00000000-0005-0000-0000-000042190000}"/>
    <cellStyle name="Normal 5 2 5 5 3 2" xfId="15374" xr:uid="{3F3D3377-7F6E-4E10-9D43-EC1DDDFC38FA}"/>
    <cellStyle name="Normal 5 2 5 5 4" xfId="11157" xr:uid="{453349D1-3A5C-44D9-85AF-F47A79A4A8F7}"/>
    <cellStyle name="Normal 5 2 5 6" xfId="2155" xr:uid="{00000000-0005-0000-0000-000043190000}"/>
    <cellStyle name="Normal 5 2 5 6 2" xfId="4384" xr:uid="{00000000-0005-0000-0000-000044190000}"/>
    <cellStyle name="Normal 5 2 5 6 2 2" xfId="8606" xr:uid="{00000000-0005-0000-0000-000045190000}"/>
    <cellStyle name="Normal 5 2 5 6 2 2 2" xfId="17932" xr:uid="{CB54DD9A-05A7-4C21-869B-4BA6B046CA7D}"/>
    <cellStyle name="Normal 5 2 5 6 2 3" xfId="13715" xr:uid="{809F508A-1939-40E4-804F-D9619F8DD36A}"/>
    <cellStyle name="Normal 5 2 5 6 3" xfId="6461" xr:uid="{00000000-0005-0000-0000-000046190000}"/>
    <cellStyle name="Normal 5 2 5 6 3 2" xfId="15787" xr:uid="{0F65F328-284F-4355-9123-E24992E1FEF7}"/>
    <cellStyle name="Normal 5 2 5 6 4" xfId="11570" xr:uid="{EA94A5B2-65FE-4155-81CA-ADE7A1CA9508}"/>
    <cellStyle name="Normal 5 2 5 7" xfId="2591" xr:uid="{00000000-0005-0000-0000-000047190000}"/>
    <cellStyle name="Normal 5 2 5 7 2" xfId="6874" xr:uid="{00000000-0005-0000-0000-000048190000}"/>
    <cellStyle name="Normal 5 2 5 7 2 2" xfId="16200" xr:uid="{C7049722-41FE-4712-9F4A-9918EAD785DB}"/>
    <cellStyle name="Normal 5 2 5 7 3" xfId="11983" xr:uid="{2FD4F82C-44EF-4D8A-9614-161D80D1DF97}"/>
    <cellStyle name="Normal 5 2 5 8" xfId="4809" xr:uid="{00000000-0005-0000-0000-000049190000}"/>
    <cellStyle name="Normal 5 2 5 8 2" xfId="14135" xr:uid="{C5EC6B94-4A58-48E6-8959-844A34D2DF7D}"/>
    <cellStyle name="Normal 5 2 5 9" xfId="8847" xr:uid="{504334B5-BB84-4906-81A5-68746D711AC3}"/>
    <cellStyle name="Normal 5 2 5 9 2" xfId="18171" xr:uid="{653DB8B6-A914-4157-8124-C0501FFF78E5}"/>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2 2 2" xfId="16695" xr:uid="{C86A3C07-5E74-491B-A815-70BFA2D708F1}"/>
    <cellStyle name="Normal 5 2 6 2 2 3" xfId="12478" xr:uid="{50AE4574-AC31-4B9F-A29C-AA9323C3CF66}"/>
    <cellStyle name="Normal 5 2 6 2 3" xfId="5224" xr:uid="{00000000-0005-0000-0000-00004E190000}"/>
    <cellStyle name="Normal 5 2 6 2 3 2" xfId="14550" xr:uid="{F8A3ABDF-A2F1-4146-81EE-DB6068C7CF34}"/>
    <cellStyle name="Normal 5 2 6 2 4" xfId="9388" xr:uid="{38BE55A5-085B-499D-8766-DF826B77D03C}"/>
    <cellStyle name="Normal 5 2 6 2 4 2" xfId="18703" xr:uid="{82A56928-E506-4BD5-9D4A-BB36C8BD7BD8}"/>
    <cellStyle name="Normal 5 2 6 2 5" xfId="10333" xr:uid="{E4E8534F-641E-4993-8E88-EE595B385E51}"/>
    <cellStyle name="Normal 5 2 6 3" xfId="1330" xr:uid="{00000000-0005-0000-0000-00004F190000}"/>
    <cellStyle name="Normal 5 2 6 3 2" xfId="3560" xr:uid="{00000000-0005-0000-0000-000050190000}"/>
    <cellStyle name="Normal 5 2 6 3 2 2" xfId="7782" xr:uid="{00000000-0005-0000-0000-000051190000}"/>
    <cellStyle name="Normal 5 2 6 3 2 2 2" xfId="17108" xr:uid="{40C9F72B-45F5-449D-AF9C-FDB870D36DCB}"/>
    <cellStyle name="Normal 5 2 6 3 2 3" xfId="12891" xr:uid="{A39F2325-E082-49DF-B0B2-D6788DAB509C}"/>
    <cellStyle name="Normal 5 2 6 3 3" xfId="5637" xr:uid="{00000000-0005-0000-0000-000052190000}"/>
    <cellStyle name="Normal 5 2 6 3 3 2" xfId="14963" xr:uid="{3FF4E734-9ADB-4AE4-B573-7C4E152CEFB5}"/>
    <cellStyle name="Normal 5 2 6 3 4" xfId="10746" xr:uid="{122B760B-D7E1-4319-A821-383FDC11BE9A}"/>
    <cellStyle name="Normal 5 2 6 4" xfId="1743" xr:uid="{00000000-0005-0000-0000-000053190000}"/>
    <cellStyle name="Normal 5 2 6 4 2" xfId="3973" xr:uid="{00000000-0005-0000-0000-000054190000}"/>
    <cellStyle name="Normal 5 2 6 4 2 2" xfId="8195" xr:uid="{00000000-0005-0000-0000-000055190000}"/>
    <cellStyle name="Normal 5 2 6 4 2 2 2" xfId="17521" xr:uid="{749C4230-7921-49C9-8E57-33199789585C}"/>
    <cellStyle name="Normal 5 2 6 4 2 3" xfId="13304" xr:uid="{FE3017DC-F6B7-4658-9701-8865931E5200}"/>
    <cellStyle name="Normal 5 2 6 4 3" xfId="6050" xr:uid="{00000000-0005-0000-0000-000056190000}"/>
    <cellStyle name="Normal 5 2 6 4 3 2" xfId="15376" xr:uid="{7BAE4E00-CC13-453C-9CD3-CE5F3668FF51}"/>
    <cellStyle name="Normal 5 2 6 4 4" xfId="11159" xr:uid="{D6300558-44F8-4625-AC75-966505026A13}"/>
    <cellStyle name="Normal 5 2 6 5" xfId="2157" xr:uid="{00000000-0005-0000-0000-000057190000}"/>
    <cellStyle name="Normal 5 2 6 5 2" xfId="4386" xr:uid="{00000000-0005-0000-0000-000058190000}"/>
    <cellStyle name="Normal 5 2 6 5 2 2" xfId="8608" xr:uid="{00000000-0005-0000-0000-000059190000}"/>
    <cellStyle name="Normal 5 2 6 5 2 2 2" xfId="17934" xr:uid="{0D384F27-284E-4F9C-87AB-4F1695A8B1DD}"/>
    <cellStyle name="Normal 5 2 6 5 2 3" xfId="13717" xr:uid="{91A181B2-22E5-46DE-A728-659D49DEECD8}"/>
    <cellStyle name="Normal 5 2 6 5 3" xfId="6463" xr:uid="{00000000-0005-0000-0000-00005A190000}"/>
    <cellStyle name="Normal 5 2 6 5 3 2" xfId="15789" xr:uid="{68B7B2A3-C9E0-47C6-95EE-770839A452B4}"/>
    <cellStyle name="Normal 5 2 6 5 4" xfId="11572" xr:uid="{63C9E1E8-DC18-46B2-81F8-E2664B38EB8F}"/>
    <cellStyle name="Normal 5 2 6 6" xfId="2593" xr:uid="{00000000-0005-0000-0000-00005B190000}"/>
    <cellStyle name="Normal 5 2 6 6 2" xfId="6876" xr:uid="{00000000-0005-0000-0000-00005C190000}"/>
    <cellStyle name="Normal 5 2 6 6 2 2" xfId="16202" xr:uid="{409729EA-D6F2-4646-A903-4CE658E00752}"/>
    <cellStyle name="Normal 5 2 6 6 3" xfId="11985" xr:uid="{43F18F43-034E-4F84-B60B-B137F9D69030}"/>
    <cellStyle name="Normal 5 2 6 7" xfId="4811" xr:uid="{00000000-0005-0000-0000-00005D190000}"/>
    <cellStyle name="Normal 5 2 6 7 2" xfId="14137" xr:uid="{AFD9F4BA-9D7F-4993-82E0-F135EB5D2B7A}"/>
    <cellStyle name="Normal 5 2 6 8" xfId="8963" xr:uid="{01BDB756-0B70-4C0D-AC32-9959EE0C8F11}"/>
    <cellStyle name="Normal 5 2 6 8 2" xfId="18287" xr:uid="{6E02DF51-5040-4682-8FD6-179C897F1902}"/>
    <cellStyle name="Normal 5 2 6 9" xfId="9920" xr:uid="{31913D4F-7EAD-4F6E-81A2-6FBEE99859A3}"/>
    <cellStyle name="Normal 5 2 7" xfId="881" xr:uid="{00000000-0005-0000-0000-00005E190000}"/>
    <cellStyle name="Normal 5 2 7 2" xfId="3116" xr:uid="{00000000-0005-0000-0000-00005F190000}"/>
    <cellStyle name="Normal 5 2 7 2 2" xfId="7338" xr:uid="{00000000-0005-0000-0000-000060190000}"/>
    <cellStyle name="Normal 5 2 7 2 2 2" xfId="16664" xr:uid="{94D0911E-4057-4C99-99D8-5BBEEF12AE6A}"/>
    <cellStyle name="Normal 5 2 7 2 3" xfId="12447" xr:uid="{CFA67264-4FF9-4359-A58E-7312D109EA9E}"/>
    <cellStyle name="Normal 5 2 7 3" xfId="5193" xr:uid="{00000000-0005-0000-0000-000061190000}"/>
    <cellStyle name="Normal 5 2 7 3 2" xfId="14519" xr:uid="{F1FB7C3B-3B42-4D53-8D3E-7B86C01D6EBB}"/>
    <cellStyle name="Normal 5 2 7 4" xfId="9166" xr:uid="{903BB692-5043-4803-B109-F7C532EB2A09}"/>
    <cellStyle name="Normal 5 2 7 4 2" xfId="18484" xr:uid="{254CAEDA-1360-406E-AE9A-78B4FE2A267B}"/>
    <cellStyle name="Normal 5 2 7 5" xfId="10302" xr:uid="{B03163EF-3AFC-458C-B8DE-6845B4B1E776}"/>
    <cellStyle name="Normal 5 2 8" xfId="1299" xr:uid="{00000000-0005-0000-0000-000062190000}"/>
    <cellStyle name="Normal 5 2 8 2" xfId="3529" xr:uid="{00000000-0005-0000-0000-000063190000}"/>
    <cellStyle name="Normal 5 2 8 2 2" xfId="7751" xr:uid="{00000000-0005-0000-0000-000064190000}"/>
    <cellStyle name="Normal 5 2 8 2 2 2" xfId="17077" xr:uid="{34D91B93-A4B3-41ED-A273-DF2A31139A82}"/>
    <cellStyle name="Normal 5 2 8 2 3" xfId="12860" xr:uid="{D9374A89-3FAB-4937-AD64-632454869086}"/>
    <cellStyle name="Normal 5 2 8 3" xfId="5606" xr:uid="{00000000-0005-0000-0000-000065190000}"/>
    <cellStyle name="Normal 5 2 8 3 2" xfId="14932" xr:uid="{A6569B89-9F57-474A-999F-E4158A2D8AD0}"/>
    <cellStyle name="Normal 5 2 8 4" xfId="10715" xr:uid="{147811E8-AC08-4F89-8D7B-90F681735B5A}"/>
    <cellStyle name="Normal 5 2 9" xfId="1712" xr:uid="{00000000-0005-0000-0000-000066190000}"/>
    <cellStyle name="Normal 5 2 9 2" xfId="3942" xr:uid="{00000000-0005-0000-0000-000067190000}"/>
    <cellStyle name="Normal 5 2 9 2 2" xfId="8164" xr:uid="{00000000-0005-0000-0000-000068190000}"/>
    <cellStyle name="Normal 5 2 9 2 2 2" xfId="17490" xr:uid="{FF17CE5F-5F52-4601-B0EB-C378DF23B6B6}"/>
    <cellStyle name="Normal 5 2 9 2 3" xfId="13273" xr:uid="{6717171C-C0B5-4378-9EF0-9808DFFBC12A}"/>
    <cellStyle name="Normal 5 2 9 3" xfId="6019" xr:uid="{00000000-0005-0000-0000-000069190000}"/>
    <cellStyle name="Normal 5 2 9 3 2" xfId="15345" xr:uid="{331B95D9-630F-4B1B-AA17-93B120E4028B}"/>
    <cellStyle name="Normal 5 2 9 4" xfId="11128" xr:uid="{A77B2B6C-CF35-4573-BEC3-BD458C9FB844}"/>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17935" xr:uid="{641A93FA-A9F4-43C1-86E1-42A5D78A6613}"/>
    <cellStyle name="Normal 5 3 10 2 3" xfId="13718" xr:uid="{665793AA-5386-4711-9890-6E53D581D305}"/>
    <cellStyle name="Normal 5 3 10 3" xfId="6464" xr:uid="{00000000-0005-0000-0000-00006E190000}"/>
    <cellStyle name="Normal 5 3 10 3 2" xfId="15790" xr:uid="{81455682-892E-4069-8EFA-29FC7B670AEC}"/>
    <cellStyle name="Normal 5 3 10 4" xfId="11573" xr:uid="{6FE5943F-46C2-4505-BE22-EDCBEE729BFB}"/>
    <cellStyle name="Normal 5 3 11" xfId="2594" xr:uid="{00000000-0005-0000-0000-00006F190000}"/>
    <cellStyle name="Normal 5 3 11 2" xfId="6877" xr:uid="{00000000-0005-0000-0000-000070190000}"/>
    <cellStyle name="Normal 5 3 11 2 2" xfId="16203" xr:uid="{2463D083-06DA-4375-94A3-15EDA98D58CD}"/>
    <cellStyle name="Normal 5 3 11 3" xfId="11986" xr:uid="{763698B2-B977-495C-87CB-0BF5185E1935}"/>
    <cellStyle name="Normal 5 3 12" xfId="4812" xr:uid="{00000000-0005-0000-0000-000071190000}"/>
    <cellStyle name="Normal 5 3 12 2" xfId="14138" xr:uid="{B4EE018F-9958-479A-BD6A-2EE61C89845C}"/>
    <cellStyle name="Normal 5 3 13" xfId="8750" xr:uid="{36957AEF-D081-4A23-AEE3-073A5901863C}"/>
    <cellStyle name="Normal 5 3 13 2" xfId="18074" xr:uid="{D944C436-B2DB-493D-8065-E8CE805335AD}"/>
    <cellStyle name="Normal 5 3 14" xfId="9921" xr:uid="{7E6AF2CB-AA9C-4088-B770-E506AAAB458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14139" xr:uid="{52BDCC58-D868-427A-BB80-65F1AF8A68CB}"/>
    <cellStyle name="Normal 5 3 3 11" xfId="8782" xr:uid="{4219AD28-469A-4693-BD0B-B0536AC433E5}"/>
    <cellStyle name="Normal 5 3 3 11 2" xfId="18106" xr:uid="{4BC371A0-774B-48A6-987C-351391FA7431}"/>
    <cellStyle name="Normal 5 3 3 12" xfId="9922" xr:uid="{340EBEB5-9F0C-40FD-89CF-15DFE87D1A4C}"/>
    <cellStyle name="Normal 5 3 3 2" xfId="442" xr:uid="{00000000-0005-0000-0000-000076190000}"/>
    <cellStyle name="Normal 5 3 3 2 10" xfId="8832" xr:uid="{03323DDB-E4E1-4078-8BBE-EA3DD4471E1B}"/>
    <cellStyle name="Normal 5 3 3 2 10 2" xfId="18156" xr:uid="{EAEEF1DD-BA72-45E2-8922-69E7B06BBA2B}"/>
    <cellStyle name="Normal 5 3 3 2 11" xfId="9923" xr:uid="{355B1116-771B-4C98-BA1D-67FDD8FEB908}"/>
    <cellStyle name="Normal 5 3 3 2 2" xfId="443" xr:uid="{00000000-0005-0000-0000-000077190000}"/>
    <cellStyle name="Normal 5 3 3 2 2 10" xfId="9924" xr:uid="{C06E8575-AF9E-4FE8-AC79-3FF17C5189A9}"/>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16700" xr:uid="{C3E2898A-A10F-40D6-AB45-EF2C368959A1}"/>
    <cellStyle name="Normal 5 3 3 2 2 2 2 2 3" xfId="12483" xr:uid="{6808B119-EC05-4A7E-98CD-FC1E917DBF76}"/>
    <cellStyle name="Normal 5 3 3 2 2 2 2 3" xfId="5229" xr:uid="{00000000-0005-0000-0000-00007C190000}"/>
    <cellStyle name="Normal 5 3 3 2 2 2 2 3 2" xfId="14555" xr:uid="{C8FAAE62-715A-4D8F-9ED6-75FB3BDA052C}"/>
    <cellStyle name="Normal 5 3 3 2 2 2 2 4" xfId="9567" xr:uid="{C2519486-6BC5-47D1-879F-EC6040BC9E9D}"/>
    <cellStyle name="Normal 5 3 3 2 2 2 2 4 2" xfId="18882" xr:uid="{0B7F0F70-7318-4818-A2E3-5075BF5E8F86}"/>
    <cellStyle name="Normal 5 3 3 2 2 2 2 5" xfId="10338" xr:uid="{3823D17D-3265-4821-93AF-E814FDA41258}"/>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17113" xr:uid="{CBD2B15A-C6AC-425D-B7DB-A4C8162839F9}"/>
    <cellStyle name="Normal 5 3 3 2 2 2 3 2 3" xfId="12896" xr:uid="{FB2ADD20-6BB9-42F9-A536-4F2606D7EFDA}"/>
    <cellStyle name="Normal 5 3 3 2 2 2 3 3" xfId="5642" xr:uid="{00000000-0005-0000-0000-000080190000}"/>
    <cellStyle name="Normal 5 3 3 2 2 2 3 3 2" xfId="14968" xr:uid="{E0A5BF27-2BE9-40FA-8B1A-AEF9123F7ED1}"/>
    <cellStyle name="Normal 5 3 3 2 2 2 3 4" xfId="10751" xr:uid="{396A2236-92EE-4BCA-8338-676274AC27BC}"/>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17526" xr:uid="{99235A8A-15A6-406A-88FD-306ABF18CCD8}"/>
    <cellStyle name="Normal 5 3 3 2 2 2 4 2 3" xfId="13309" xr:uid="{C0ADE037-FCF4-4045-849F-1DF7193B5CF4}"/>
    <cellStyle name="Normal 5 3 3 2 2 2 4 3" xfId="6055" xr:uid="{00000000-0005-0000-0000-000084190000}"/>
    <cellStyle name="Normal 5 3 3 2 2 2 4 3 2" xfId="15381" xr:uid="{4F209F0F-4F98-42AB-91EA-E65C8D2AD945}"/>
    <cellStyle name="Normal 5 3 3 2 2 2 4 4" xfId="11164" xr:uid="{9237A0E5-A154-4B7E-AD2E-ECE6560EFA14}"/>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17939" xr:uid="{D5AFA9A5-8875-4072-81C6-7B9C1BA4F5F2}"/>
    <cellStyle name="Normal 5 3 3 2 2 2 5 2 3" xfId="13722" xr:uid="{275678D4-F8B6-4026-9627-E0C0A7F5EEFA}"/>
    <cellStyle name="Normal 5 3 3 2 2 2 5 3" xfId="6468" xr:uid="{00000000-0005-0000-0000-000088190000}"/>
    <cellStyle name="Normal 5 3 3 2 2 2 5 3 2" xfId="15794" xr:uid="{BB9146E6-7907-4DF4-8C86-91E645DA94BC}"/>
    <cellStyle name="Normal 5 3 3 2 2 2 5 4" xfId="11577" xr:uid="{7C2F10E3-EB38-4B2F-B602-2054937B0A4D}"/>
    <cellStyle name="Normal 5 3 3 2 2 2 6" xfId="2598" xr:uid="{00000000-0005-0000-0000-000089190000}"/>
    <cellStyle name="Normal 5 3 3 2 2 2 6 2" xfId="6881" xr:uid="{00000000-0005-0000-0000-00008A190000}"/>
    <cellStyle name="Normal 5 3 3 2 2 2 6 2 2" xfId="16207" xr:uid="{761ED693-F739-4B54-91A9-FD7D487571D1}"/>
    <cellStyle name="Normal 5 3 3 2 2 2 6 3" xfId="11990" xr:uid="{F54AB6AD-0918-4865-AE2C-FAAF204D24AE}"/>
    <cellStyle name="Normal 5 3 3 2 2 2 7" xfId="4816" xr:uid="{00000000-0005-0000-0000-00008B190000}"/>
    <cellStyle name="Normal 5 3 3 2 2 2 7 2" xfId="14142" xr:uid="{B497C935-F2DD-4DF2-8794-CF26FE21B5F2}"/>
    <cellStyle name="Normal 5 3 3 2 2 2 8" xfId="9142" xr:uid="{81CF9711-3A0B-4712-8E8F-033C974AA9E3}"/>
    <cellStyle name="Normal 5 3 3 2 2 2 8 2" xfId="18466" xr:uid="{6DD9992C-5675-4ED3-9CA1-59318C9FA931}"/>
    <cellStyle name="Normal 5 3 3 2 2 2 9" xfId="9925" xr:uid="{BA1611FB-A9DA-42D6-AE03-027C372AE60B}"/>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16699" xr:uid="{F2D81140-2203-4217-AFB8-0894F5FDD289}"/>
    <cellStyle name="Normal 5 3 3 2 2 3 2 3" xfId="12482" xr:uid="{0990114C-28C3-4A0A-A52C-FE6D23734C01}"/>
    <cellStyle name="Normal 5 3 3 2 2 3 3" xfId="5228" xr:uid="{00000000-0005-0000-0000-00008F190000}"/>
    <cellStyle name="Normal 5 3 3 2 2 3 3 2" xfId="14554" xr:uid="{A7C38CD2-8A5D-4CEC-ACDE-30998FC015C5}"/>
    <cellStyle name="Normal 5 3 3 2 2 3 4" xfId="9360" xr:uid="{07447062-3C9B-4A41-BE9D-50DE495FF588}"/>
    <cellStyle name="Normal 5 3 3 2 2 3 4 2" xfId="18675" xr:uid="{EB69056D-A105-47C2-8124-FB34780C603A}"/>
    <cellStyle name="Normal 5 3 3 2 2 3 5" xfId="10337" xr:uid="{CBB4D776-52BE-456C-A608-AD08BB1503FF}"/>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17112" xr:uid="{CA0A850C-40CF-465E-91F5-D8E0B625823E}"/>
    <cellStyle name="Normal 5 3 3 2 2 4 2 3" xfId="12895" xr:uid="{8AE244EC-1FB1-4F02-BA07-318A31C87F0D}"/>
    <cellStyle name="Normal 5 3 3 2 2 4 3" xfId="5641" xr:uid="{00000000-0005-0000-0000-000093190000}"/>
    <cellStyle name="Normal 5 3 3 2 2 4 3 2" xfId="14967" xr:uid="{FEBBEA6F-4C6B-40E3-872C-4313AE195BFC}"/>
    <cellStyle name="Normal 5 3 3 2 2 4 4" xfId="10750" xr:uid="{4F64DA1E-155E-4C6B-B2E1-E063BC0D9948}"/>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17525" xr:uid="{ECF433BD-AAE3-43F1-9DD0-4F07373B5A72}"/>
    <cellStyle name="Normal 5 3 3 2 2 5 2 3" xfId="13308" xr:uid="{0C417270-E53D-4BA0-92F4-754BBF0D6074}"/>
    <cellStyle name="Normal 5 3 3 2 2 5 3" xfId="6054" xr:uid="{00000000-0005-0000-0000-000097190000}"/>
    <cellStyle name="Normal 5 3 3 2 2 5 3 2" xfId="15380" xr:uid="{2DCDCDAF-D215-4F7A-91C0-766C8D287D49}"/>
    <cellStyle name="Normal 5 3 3 2 2 5 4" xfId="11163" xr:uid="{4D9C22EB-0C23-4A55-89C1-F5A3F2EE6E23}"/>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17938" xr:uid="{4B20DD89-F100-4234-84B6-7E3CA33C7FA9}"/>
    <cellStyle name="Normal 5 3 3 2 2 6 2 3" xfId="13721" xr:uid="{691EFE6F-4251-4CBD-81A6-A2D6E9866252}"/>
    <cellStyle name="Normal 5 3 3 2 2 6 3" xfId="6467" xr:uid="{00000000-0005-0000-0000-00009B190000}"/>
    <cellStyle name="Normal 5 3 3 2 2 6 3 2" xfId="15793" xr:uid="{D8EC9ECD-6016-4B76-AB58-E67B1D46B8C4}"/>
    <cellStyle name="Normal 5 3 3 2 2 6 4" xfId="11576" xr:uid="{A2749DF2-3CB5-4E84-86B8-CAA29F55E41B}"/>
    <cellStyle name="Normal 5 3 3 2 2 7" xfId="2597" xr:uid="{00000000-0005-0000-0000-00009C190000}"/>
    <cellStyle name="Normal 5 3 3 2 2 7 2" xfId="6880" xr:uid="{00000000-0005-0000-0000-00009D190000}"/>
    <cellStyle name="Normal 5 3 3 2 2 7 2 2" xfId="16206" xr:uid="{118F5F8F-1E0F-4C8B-AB76-41C715797095}"/>
    <cellStyle name="Normal 5 3 3 2 2 7 3" xfId="11989" xr:uid="{5AF1C4CF-52E6-41A4-B926-7615A90FEB42}"/>
    <cellStyle name="Normal 5 3 3 2 2 8" xfId="4815" xr:uid="{00000000-0005-0000-0000-00009E190000}"/>
    <cellStyle name="Normal 5 3 3 2 2 8 2" xfId="14141" xr:uid="{E16D0DA8-4244-4FF4-807B-0362EC2BB895}"/>
    <cellStyle name="Normal 5 3 3 2 2 9" xfId="8935" xr:uid="{94B8766B-0DD5-4CC7-9403-D37FC711344B}"/>
    <cellStyle name="Normal 5 3 3 2 2 9 2" xfId="18259" xr:uid="{DABCA059-E507-4C4C-857B-D8248090BCD6}"/>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16701" xr:uid="{51E66264-F3FE-49D2-AD85-144114AFF24C}"/>
    <cellStyle name="Normal 5 3 3 2 3 2 2 3" xfId="12484" xr:uid="{1FF755A4-B46A-4D84-A36E-78EC1A7E8404}"/>
    <cellStyle name="Normal 5 3 3 2 3 2 3" xfId="5230" xr:uid="{00000000-0005-0000-0000-0000A3190000}"/>
    <cellStyle name="Normal 5 3 3 2 3 2 3 2" xfId="14556" xr:uid="{E2A976B9-928F-46BC-92A3-93823439CE81}"/>
    <cellStyle name="Normal 5 3 3 2 3 2 4" xfId="9464" xr:uid="{6A182EEF-0879-47AD-839A-17D560B4AF3D}"/>
    <cellStyle name="Normal 5 3 3 2 3 2 4 2" xfId="18779" xr:uid="{BA02A934-B8C1-49B6-871E-637919E3258B}"/>
    <cellStyle name="Normal 5 3 3 2 3 2 5" xfId="10339" xr:uid="{A49E650B-9068-4EE3-893F-72D55F6BD4C9}"/>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17114" xr:uid="{84660172-45FF-4CE9-A1F6-D930BE65AFB8}"/>
    <cellStyle name="Normal 5 3 3 2 3 3 2 3" xfId="12897" xr:uid="{FB8D6F30-FC0A-4F0B-AE2C-E1D2FB792616}"/>
    <cellStyle name="Normal 5 3 3 2 3 3 3" xfId="5643" xr:uid="{00000000-0005-0000-0000-0000A7190000}"/>
    <cellStyle name="Normal 5 3 3 2 3 3 3 2" xfId="14969" xr:uid="{0CE9638B-6149-483B-9551-17AE2E5EFEFA}"/>
    <cellStyle name="Normal 5 3 3 2 3 3 4" xfId="10752" xr:uid="{141FA4C6-7977-4D8C-8ACF-0C7D2C850DFF}"/>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17527" xr:uid="{3D7D7D9F-B4E1-43D5-ABDF-F57EA70224A9}"/>
    <cellStyle name="Normal 5 3 3 2 3 4 2 3" xfId="13310" xr:uid="{E8A380BF-DA83-461B-9B9A-D2E19B91417D}"/>
    <cellStyle name="Normal 5 3 3 2 3 4 3" xfId="6056" xr:uid="{00000000-0005-0000-0000-0000AB190000}"/>
    <cellStyle name="Normal 5 3 3 2 3 4 3 2" xfId="15382" xr:uid="{5719D6B3-64BE-4E66-AB41-F9B4CE589677}"/>
    <cellStyle name="Normal 5 3 3 2 3 4 4" xfId="11165" xr:uid="{93492D5E-F85E-410B-89D3-8DDE31719488}"/>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17940" xr:uid="{87BA7459-EDE0-41AA-A801-42061A1194D4}"/>
    <cellStyle name="Normal 5 3 3 2 3 5 2 3" xfId="13723" xr:uid="{E81EFAAE-95B2-4A94-B8FA-D6A2CBCE3EAE}"/>
    <cellStyle name="Normal 5 3 3 2 3 5 3" xfId="6469" xr:uid="{00000000-0005-0000-0000-0000AF190000}"/>
    <cellStyle name="Normal 5 3 3 2 3 5 3 2" xfId="15795" xr:uid="{DA419674-E4AB-4C8F-814F-F524C8161D7A}"/>
    <cellStyle name="Normal 5 3 3 2 3 5 4" xfId="11578" xr:uid="{27380B89-AB52-410E-8D26-03966B2F5630}"/>
    <cellStyle name="Normal 5 3 3 2 3 6" xfId="2599" xr:uid="{00000000-0005-0000-0000-0000B0190000}"/>
    <cellStyle name="Normal 5 3 3 2 3 6 2" xfId="6882" xr:uid="{00000000-0005-0000-0000-0000B1190000}"/>
    <cellStyle name="Normal 5 3 3 2 3 6 2 2" xfId="16208" xr:uid="{264AC7C1-7C56-49AA-A66B-6B5F6153C260}"/>
    <cellStyle name="Normal 5 3 3 2 3 6 3" xfId="11991" xr:uid="{8AB49BF3-3460-46DE-92B1-8FC148BAF2C6}"/>
    <cellStyle name="Normal 5 3 3 2 3 7" xfId="4817" xr:uid="{00000000-0005-0000-0000-0000B2190000}"/>
    <cellStyle name="Normal 5 3 3 2 3 7 2" xfId="14143" xr:uid="{8C9E3DB4-4FE2-4474-BC44-A1851D316494}"/>
    <cellStyle name="Normal 5 3 3 2 3 8" xfId="9039" xr:uid="{84D80CE6-A0CA-4841-8673-26EA7EC6806D}"/>
    <cellStyle name="Normal 5 3 3 2 3 8 2" xfId="18363" xr:uid="{F5B3EC4A-EF3A-4AC4-B9F5-130EE922033F}"/>
    <cellStyle name="Normal 5 3 3 2 3 9" xfId="9926" xr:uid="{A9302B26-F0DA-4127-91AD-4DCF643BFFFE}"/>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16698" xr:uid="{6F1F71B2-0EE4-4ABB-9D36-8CEC5E892127}"/>
    <cellStyle name="Normal 5 3 3 2 4 2 3" xfId="12481" xr:uid="{C60D1052-C200-44FD-BBE2-E655D165B09F}"/>
    <cellStyle name="Normal 5 3 3 2 4 3" xfId="5227" xr:uid="{00000000-0005-0000-0000-0000B6190000}"/>
    <cellStyle name="Normal 5 3 3 2 4 3 2" xfId="14553" xr:uid="{FED93A60-F7AD-405D-9073-BE1D7B2538F2}"/>
    <cellStyle name="Normal 5 3 3 2 4 4" xfId="9257" xr:uid="{E6656214-6E5B-491F-B1E3-227CB6568726}"/>
    <cellStyle name="Normal 5 3 3 2 4 4 2" xfId="18572" xr:uid="{A119DB5E-8170-43B0-8F5A-169448C5D22A}"/>
    <cellStyle name="Normal 5 3 3 2 4 5" xfId="10336" xr:uid="{B153DFCA-8579-40A0-9E56-7051C7F47C8F}"/>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17111" xr:uid="{8C56C939-A984-436E-B6C2-0711080772C3}"/>
    <cellStyle name="Normal 5 3 3 2 5 2 3" xfId="12894" xr:uid="{DB0C2FB7-DC97-4AF8-B2A8-DAC319017630}"/>
    <cellStyle name="Normal 5 3 3 2 5 3" xfId="5640" xr:uid="{00000000-0005-0000-0000-0000BA190000}"/>
    <cellStyle name="Normal 5 3 3 2 5 3 2" xfId="14966" xr:uid="{67BAA65F-9C64-4E7E-9389-3C8C5E6151FC}"/>
    <cellStyle name="Normal 5 3 3 2 5 4" xfId="10749" xr:uid="{8813FE73-62EE-49F1-917D-85AFAFF7FD31}"/>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17524" xr:uid="{95496DA3-A4C3-489B-949F-18D5FABFB1D9}"/>
    <cellStyle name="Normal 5 3 3 2 6 2 3" xfId="13307" xr:uid="{51E1DE6E-E800-443B-85A5-B89A0F1A2FE1}"/>
    <cellStyle name="Normal 5 3 3 2 6 3" xfId="6053" xr:uid="{00000000-0005-0000-0000-0000BE190000}"/>
    <cellStyle name="Normal 5 3 3 2 6 3 2" xfId="15379" xr:uid="{508E2E4F-DB13-47C9-88EB-AB9C48C011C4}"/>
    <cellStyle name="Normal 5 3 3 2 6 4" xfId="11162" xr:uid="{6A9CB710-9871-4F0C-8ED9-CBAD4E3B9C6E}"/>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17937" xr:uid="{4BF78DC4-B491-492D-AE79-BFB0926665E8}"/>
    <cellStyle name="Normal 5 3 3 2 7 2 3" xfId="13720" xr:uid="{2B7ABF1C-BEFE-4B00-8E8F-E07EDBEE3BB9}"/>
    <cellStyle name="Normal 5 3 3 2 7 3" xfId="6466" xr:uid="{00000000-0005-0000-0000-0000C2190000}"/>
    <cellStyle name="Normal 5 3 3 2 7 3 2" xfId="15792" xr:uid="{19943C3D-164F-496B-9954-3EB47B22CC21}"/>
    <cellStyle name="Normal 5 3 3 2 7 4" xfId="11575" xr:uid="{1B4E3EDF-982A-4F54-8954-07053EE2E825}"/>
    <cellStyle name="Normal 5 3 3 2 8" xfId="2596" xr:uid="{00000000-0005-0000-0000-0000C3190000}"/>
    <cellStyle name="Normal 5 3 3 2 8 2" xfId="6879" xr:uid="{00000000-0005-0000-0000-0000C4190000}"/>
    <cellStyle name="Normal 5 3 3 2 8 2 2" xfId="16205" xr:uid="{AABE02A8-18F3-4C7D-AEE8-F2BB7229898D}"/>
    <cellStyle name="Normal 5 3 3 2 8 3" xfId="11988" xr:uid="{7F10BF16-67F2-4461-B099-CFC11836BD99}"/>
    <cellStyle name="Normal 5 3 3 2 9" xfId="4814" xr:uid="{00000000-0005-0000-0000-0000C5190000}"/>
    <cellStyle name="Normal 5 3 3 2 9 2" xfId="14140" xr:uid="{F0CD6A33-E5E3-4716-B0D3-C598870F58DA}"/>
    <cellStyle name="Normal 5 3 3 3" xfId="446" xr:uid="{00000000-0005-0000-0000-0000C6190000}"/>
    <cellStyle name="Normal 5 3 3 3 10" xfId="9927" xr:uid="{699F1344-236F-42E3-906F-231FCD02AA6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16703" xr:uid="{BEA33E84-CD28-4D8E-B3B3-B6DD3873A447}"/>
    <cellStyle name="Normal 5 3 3 3 2 2 2 3" xfId="12486" xr:uid="{5BBC518C-8361-40A7-93E5-571576252C01}"/>
    <cellStyle name="Normal 5 3 3 3 2 2 3" xfId="5232" xr:uid="{00000000-0005-0000-0000-0000CB190000}"/>
    <cellStyle name="Normal 5 3 3 3 2 2 3 2" xfId="14558" xr:uid="{4E13982B-84B4-43B9-89D6-ACBB3DA15F15}"/>
    <cellStyle name="Normal 5 3 3 3 2 2 4" xfId="9517" xr:uid="{EA62A3B1-8ED5-4A6F-ACE0-B924BC16AA9E}"/>
    <cellStyle name="Normal 5 3 3 3 2 2 4 2" xfId="18832" xr:uid="{99867158-CCE4-4FA6-A1EC-C44EA125B15D}"/>
    <cellStyle name="Normal 5 3 3 3 2 2 5" xfId="10341" xr:uid="{5E8047AA-C6B4-43B8-AA91-CD7E99660EDB}"/>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17116" xr:uid="{189730CD-14DE-4024-BD7A-20FB23DD8A14}"/>
    <cellStyle name="Normal 5 3 3 3 2 3 2 3" xfId="12899" xr:uid="{90D026C8-77F3-4BFD-BAE0-98FAFF12D1F6}"/>
    <cellStyle name="Normal 5 3 3 3 2 3 3" xfId="5645" xr:uid="{00000000-0005-0000-0000-0000CF190000}"/>
    <cellStyle name="Normal 5 3 3 3 2 3 3 2" xfId="14971" xr:uid="{78622F49-7F3A-4FAE-9995-EF66B063F8BC}"/>
    <cellStyle name="Normal 5 3 3 3 2 3 4" xfId="10754" xr:uid="{C3C6DB0B-CA95-43A0-A97A-8C702EDE5839}"/>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17529" xr:uid="{F0B2FFE5-734E-4FD5-9B2A-E7DFD458A971}"/>
    <cellStyle name="Normal 5 3 3 3 2 4 2 3" xfId="13312" xr:uid="{DE194FE2-A4DA-45C8-B9A3-09D540A5336A}"/>
    <cellStyle name="Normal 5 3 3 3 2 4 3" xfId="6058" xr:uid="{00000000-0005-0000-0000-0000D3190000}"/>
    <cellStyle name="Normal 5 3 3 3 2 4 3 2" xfId="15384" xr:uid="{E8F04C93-D721-44EF-9643-81B8C48E2889}"/>
    <cellStyle name="Normal 5 3 3 3 2 4 4" xfId="11167" xr:uid="{7BF0D2AB-7F42-4CEC-A627-83ABAFB32B62}"/>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17942" xr:uid="{9555149A-1975-4BCA-BA6E-B21DFB8AB486}"/>
    <cellStyle name="Normal 5 3 3 3 2 5 2 3" xfId="13725" xr:uid="{FFF90889-32B0-45F4-9AD4-2B4F743778E2}"/>
    <cellStyle name="Normal 5 3 3 3 2 5 3" xfId="6471" xr:uid="{00000000-0005-0000-0000-0000D7190000}"/>
    <cellStyle name="Normal 5 3 3 3 2 5 3 2" xfId="15797" xr:uid="{1B191DD7-4C21-4286-A190-A0E44831D2B5}"/>
    <cellStyle name="Normal 5 3 3 3 2 5 4" xfId="11580" xr:uid="{1DA9C1D9-6425-480F-B6CA-ACCDA6DB93C1}"/>
    <cellStyle name="Normal 5 3 3 3 2 6" xfId="2601" xr:uid="{00000000-0005-0000-0000-0000D8190000}"/>
    <cellStyle name="Normal 5 3 3 3 2 6 2" xfId="6884" xr:uid="{00000000-0005-0000-0000-0000D9190000}"/>
    <cellStyle name="Normal 5 3 3 3 2 6 2 2" xfId="16210" xr:uid="{E8F78BE5-5607-4577-BF52-F3395B88F4A6}"/>
    <cellStyle name="Normal 5 3 3 3 2 6 3" xfId="11993" xr:uid="{4374DE17-A946-4586-84B3-6F95361F35ED}"/>
    <cellStyle name="Normal 5 3 3 3 2 7" xfId="4819" xr:uid="{00000000-0005-0000-0000-0000DA190000}"/>
    <cellStyle name="Normal 5 3 3 3 2 7 2" xfId="14145" xr:uid="{E5D3A397-F1C6-4D82-B4B2-4B6AE92D6A91}"/>
    <cellStyle name="Normal 5 3 3 3 2 8" xfId="9092" xr:uid="{A018BC5E-3880-4BA4-8CFB-322C89A13B5F}"/>
    <cellStyle name="Normal 5 3 3 3 2 8 2" xfId="18416" xr:uid="{787AE1E3-1C42-4F7F-88B7-51762B5BC4EF}"/>
    <cellStyle name="Normal 5 3 3 3 2 9" xfId="9928" xr:uid="{0CA3021D-858F-40DC-B6AD-D0F38AEF8859}"/>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16702" xr:uid="{5FE2CBBF-566E-4A6C-B48D-913600F7F756}"/>
    <cellStyle name="Normal 5 3 3 3 3 2 3" xfId="12485" xr:uid="{909C5DCB-89F9-4BA6-B9BB-541A6E0008C6}"/>
    <cellStyle name="Normal 5 3 3 3 3 3" xfId="5231" xr:uid="{00000000-0005-0000-0000-0000DE190000}"/>
    <cellStyle name="Normal 5 3 3 3 3 3 2" xfId="14557" xr:uid="{EEC5B02C-257D-44CF-A5D1-E057E6B892D6}"/>
    <cellStyle name="Normal 5 3 3 3 3 4" xfId="9310" xr:uid="{D169C31A-17C5-4934-97DF-D90479FD2654}"/>
    <cellStyle name="Normal 5 3 3 3 3 4 2" xfId="18625" xr:uid="{B9DEDECB-0C8C-472C-8A30-B28592E350EE}"/>
    <cellStyle name="Normal 5 3 3 3 3 5" xfId="10340" xr:uid="{62A5AF52-4D67-4197-AFA2-525CD5FC5A8E}"/>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17115" xr:uid="{D6F28CF7-AF10-4CFE-BB2C-82F7B8365962}"/>
    <cellStyle name="Normal 5 3 3 3 4 2 3" xfId="12898" xr:uid="{523E25E4-C1EC-428A-9E6D-DF8845A72148}"/>
    <cellStyle name="Normal 5 3 3 3 4 3" xfId="5644" xr:uid="{00000000-0005-0000-0000-0000E2190000}"/>
    <cellStyle name="Normal 5 3 3 3 4 3 2" xfId="14970" xr:uid="{E1246ECE-5874-4A06-B8E5-CEB54E610CEB}"/>
    <cellStyle name="Normal 5 3 3 3 4 4" xfId="10753" xr:uid="{12395320-BB6D-49AC-A8E9-DA1D1DE6E6C6}"/>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17528" xr:uid="{B28A75B9-AE82-4FC7-9D4E-CA0E690F1A7D}"/>
    <cellStyle name="Normal 5 3 3 3 5 2 3" xfId="13311" xr:uid="{48185DC4-A69B-432F-8FA9-1BB107823E39}"/>
    <cellStyle name="Normal 5 3 3 3 5 3" xfId="6057" xr:uid="{00000000-0005-0000-0000-0000E6190000}"/>
    <cellStyle name="Normal 5 3 3 3 5 3 2" xfId="15383" xr:uid="{D5506AA1-050B-4DED-962C-A8C2C12105AE}"/>
    <cellStyle name="Normal 5 3 3 3 5 4" xfId="11166" xr:uid="{54159CCF-ADB1-42E0-BB1C-58F791452F7C}"/>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17941" xr:uid="{4DB509CE-9488-4416-8C82-E2C7CBCE19E2}"/>
    <cellStyle name="Normal 5 3 3 3 6 2 3" xfId="13724" xr:uid="{126519B3-86CB-4B71-8409-4F66802B4DA1}"/>
    <cellStyle name="Normal 5 3 3 3 6 3" xfId="6470" xr:uid="{00000000-0005-0000-0000-0000EA190000}"/>
    <cellStyle name="Normal 5 3 3 3 6 3 2" xfId="15796" xr:uid="{95AB055C-3385-4E06-B649-65E4A7F20469}"/>
    <cellStyle name="Normal 5 3 3 3 6 4" xfId="11579" xr:uid="{FC1BDAA6-D751-4F9A-81D7-38EF6BC1BA3A}"/>
    <cellStyle name="Normal 5 3 3 3 7" xfId="2600" xr:uid="{00000000-0005-0000-0000-0000EB190000}"/>
    <cellStyle name="Normal 5 3 3 3 7 2" xfId="6883" xr:uid="{00000000-0005-0000-0000-0000EC190000}"/>
    <cellStyle name="Normal 5 3 3 3 7 2 2" xfId="16209" xr:uid="{3E3EA44D-1343-4A69-B3B4-33A2308D77FD}"/>
    <cellStyle name="Normal 5 3 3 3 7 3" xfId="11992" xr:uid="{7ABC2FF3-E5FD-42FA-80A7-A836F58D5EF2}"/>
    <cellStyle name="Normal 5 3 3 3 8" xfId="4818" xr:uid="{00000000-0005-0000-0000-0000ED190000}"/>
    <cellStyle name="Normal 5 3 3 3 8 2" xfId="14144" xr:uid="{3FB761D0-8328-4D1B-9FD4-B46B1C9E47D9}"/>
    <cellStyle name="Normal 5 3 3 3 9" xfId="8885" xr:uid="{BFA59703-C126-4DE9-A819-9190501D5C5B}"/>
    <cellStyle name="Normal 5 3 3 3 9 2" xfId="18209" xr:uid="{893445FE-6A12-42FF-83A9-A0D889169B04}"/>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16704" xr:uid="{DDF3F47A-5904-4350-B38D-B0D4D75636EE}"/>
    <cellStyle name="Normal 5 3 3 4 2 2 3" xfId="12487" xr:uid="{A588F5A7-AF0D-4AD2-859C-EA9ADA086BF4}"/>
    <cellStyle name="Normal 5 3 3 4 2 3" xfId="5233" xr:uid="{00000000-0005-0000-0000-0000F2190000}"/>
    <cellStyle name="Normal 5 3 3 4 2 3 2" xfId="14559" xr:uid="{C9561D38-C239-4F90-B6D0-82785E1882FC}"/>
    <cellStyle name="Normal 5 3 3 4 2 4" xfId="9414" xr:uid="{BD781A4C-FDA7-4D11-87F3-3D38EC19B37A}"/>
    <cellStyle name="Normal 5 3 3 4 2 4 2" xfId="18729" xr:uid="{CA510B82-CB6F-4B0E-AC0B-A23B18DC3E60}"/>
    <cellStyle name="Normal 5 3 3 4 2 5" xfId="10342" xr:uid="{B5160333-139F-430C-993E-681B48A7EB29}"/>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17117" xr:uid="{A2067FE1-CA77-47B1-8605-8F06DB403C19}"/>
    <cellStyle name="Normal 5 3 3 4 3 2 3" xfId="12900" xr:uid="{D85A71E3-940D-4C9E-83C9-A5FB91FED1B9}"/>
    <cellStyle name="Normal 5 3 3 4 3 3" xfId="5646" xr:uid="{00000000-0005-0000-0000-0000F6190000}"/>
    <cellStyle name="Normal 5 3 3 4 3 3 2" xfId="14972" xr:uid="{4FD2D02E-0D80-4007-B876-E7C1E60A54F7}"/>
    <cellStyle name="Normal 5 3 3 4 3 4" xfId="10755" xr:uid="{F7891418-6EC8-49B9-97E9-0EC3C41D1647}"/>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17530" xr:uid="{E2F71FE3-5676-4AD5-9038-F856EFE8650B}"/>
    <cellStyle name="Normal 5 3 3 4 4 2 3" xfId="13313" xr:uid="{D4CDDEA8-7582-4626-B2A4-D1B88351C320}"/>
    <cellStyle name="Normal 5 3 3 4 4 3" xfId="6059" xr:uid="{00000000-0005-0000-0000-0000FA190000}"/>
    <cellStyle name="Normal 5 3 3 4 4 3 2" xfId="15385" xr:uid="{2DE870EC-F81C-4D3C-9AB6-62F0FB499679}"/>
    <cellStyle name="Normal 5 3 3 4 4 4" xfId="11168" xr:uid="{FEBA1829-AEC8-4F7B-8CD3-C91AA3D9D4F5}"/>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17943" xr:uid="{56A6522F-BB8F-4069-9F5B-B9226E64F55C}"/>
    <cellStyle name="Normal 5 3 3 4 5 2 3" xfId="13726" xr:uid="{409CD5FC-D85A-4168-95E0-3E0967AAB914}"/>
    <cellStyle name="Normal 5 3 3 4 5 3" xfId="6472" xr:uid="{00000000-0005-0000-0000-0000FE190000}"/>
    <cellStyle name="Normal 5 3 3 4 5 3 2" xfId="15798" xr:uid="{0D2F6AAB-087E-4B90-BE9D-DD4D0B5B30E7}"/>
    <cellStyle name="Normal 5 3 3 4 5 4" xfId="11581" xr:uid="{F302DCFB-E52C-4FB2-B6D8-58CCE16F31A0}"/>
    <cellStyle name="Normal 5 3 3 4 6" xfId="2602" xr:uid="{00000000-0005-0000-0000-0000FF190000}"/>
    <cellStyle name="Normal 5 3 3 4 6 2" xfId="6885" xr:uid="{00000000-0005-0000-0000-0000001A0000}"/>
    <cellStyle name="Normal 5 3 3 4 6 2 2" xfId="16211" xr:uid="{841CAF40-659C-42CA-BF0A-2CD05669A6B8}"/>
    <cellStyle name="Normal 5 3 3 4 6 3" xfId="11994" xr:uid="{E05A4279-974A-423D-8153-604F6DCA0CBA}"/>
    <cellStyle name="Normal 5 3 3 4 7" xfId="4820" xr:uid="{00000000-0005-0000-0000-0000011A0000}"/>
    <cellStyle name="Normal 5 3 3 4 7 2" xfId="14146" xr:uid="{4FB90A22-CF79-4B19-B726-6DD57B1834FD}"/>
    <cellStyle name="Normal 5 3 3 4 8" xfId="8989" xr:uid="{20FA1483-98E6-46C4-B00B-4EAF7957981D}"/>
    <cellStyle name="Normal 5 3 3 4 8 2" xfId="18313" xr:uid="{1CAA6CA9-966F-4042-955B-3E719E420E58}"/>
    <cellStyle name="Normal 5 3 3 4 9" xfId="9929" xr:uid="{832D4F8D-BDFC-438B-8291-CBBE7F03F69F}"/>
    <cellStyle name="Normal 5 3 3 5" xfId="915" xr:uid="{00000000-0005-0000-0000-0000021A0000}"/>
    <cellStyle name="Normal 5 3 3 5 2" xfId="3149" xr:uid="{00000000-0005-0000-0000-0000031A0000}"/>
    <cellStyle name="Normal 5 3 3 5 2 2" xfId="7371" xr:uid="{00000000-0005-0000-0000-0000041A0000}"/>
    <cellStyle name="Normal 5 3 3 5 2 2 2" xfId="16697" xr:uid="{0C656C64-3996-43F7-8BEE-C72B439D037C}"/>
    <cellStyle name="Normal 5 3 3 5 2 3" xfId="12480" xr:uid="{6A7DB6E0-10D9-4C52-839E-FDE81E39A6F2}"/>
    <cellStyle name="Normal 5 3 3 5 3" xfId="5226" xr:uid="{00000000-0005-0000-0000-0000051A0000}"/>
    <cellStyle name="Normal 5 3 3 5 3 2" xfId="14552" xr:uid="{DA7B17F2-EC4F-48A1-9029-DC4B1165CAA4}"/>
    <cellStyle name="Normal 5 3 3 5 4" xfId="9206" xr:uid="{CA749CBB-EAB5-483B-862D-D7B95A23D45C}"/>
    <cellStyle name="Normal 5 3 3 5 4 2" xfId="18522" xr:uid="{27D03F45-8FA7-42D0-89BF-9B0C25D2B74F}"/>
    <cellStyle name="Normal 5 3 3 5 5" xfId="10335" xr:uid="{ADD390F4-DEE3-4611-B337-CD5785A948E0}"/>
    <cellStyle name="Normal 5 3 3 6" xfId="1332" xr:uid="{00000000-0005-0000-0000-0000061A0000}"/>
    <cellStyle name="Normal 5 3 3 6 2" xfId="3562" xr:uid="{00000000-0005-0000-0000-0000071A0000}"/>
    <cellStyle name="Normal 5 3 3 6 2 2" xfId="7784" xr:uid="{00000000-0005-0000-0000-0000081A0000}"/>
    <cellStyle name="Normal 5 3 3 6 2 2 2" xfId="17110" xr:uid="{AD483DF1-E68B-461C-8D54-E561DC437A20}"/>
    <cellStyle name="Normal 5 3 3 6 2 3" xfId="12893" xr:uid="{48D5D0AC-BDE1-4880-912B-6EFAA7E8239E}"/>
    <cellStyle name="Normal 5 3 3 6 3" xfId="5639" xr:uid="{00000000-0005-0000-0000-0000091A0000}"/>
    <cellStyle name="Normal 5 3 3 6 3 2" xfId="14965" xr:uid="{4FEA719B-AB21-4EC4-8CB0-C1DF8C8C99AC}"/>
    <cellStyle name="Normal 5 3 3 6 4" xfId="10748" xr:uid="{DBB2B408-6D51-458E-8CE0-D798FCBA8E79}"/>
    <cellStyle name="Normal 5 3 3 7" xfId="1745" xr:uid="{00000000-0005-0000-0000-00000A1A0000}"/>
    <cellStyle name="Normal 5 3 3 7 2" xfId="3975" xr:uid="{00000000-0005-0000-0000-00000B1A0000}"/>
    <cellStyle name="Normal 5 3 3 7 2 2" xfId="8197" xr:uid="{00000000-0005-0000-0000-00000C1A0000}"/>
    <cellStyle name="Normal 5 3 3 7 2 2 2" xfId="17523" xr:uid="{3400D5D0-6ECB-4B06-B43C-52994B524153}"/>
    <cellStyle name="Normal 5 3 3 7 2 3" xfId="13306" xr:uid="{B4113201-89AE-4162-B6E2-135E7A1302FC}"/>
    <cellStyle name="Normal 5 3 3 7 3" xfId="6052" xr:uid="{00000000-0005-0000-0000-00000D1A0000}"/>
    <cellStyle name="Normal 5 3 3 7 3 2" xfId="15378" xr:uid="{C9EA4F24-A7B0-4F68-9738-529B9282EFD2}"/>
    <cellStyle name="Normal 5 3 3 7 4" xfId="11161" xr:uid="{D3A0BA4D-F7AF-47AC-AAC9-116337D9FD08}"/>
    <cellStyle name="Normal 5 3 3 8" xfId="2159" xr:uid="{00000000-0005-0000-0000-00000E1A0000}"/>
    <cellStyle name="Normal 5 3 3 8 2" xfId="4388" xr:uid="{00000000-0005-0000-0000-00000F1A0000}"/>
    <cellStyle name="Normal 5 3 3 8 2 2" xfId="8610" xr:uid="{00000000-0005-0000-0000-0000101A0000}"/>
    <cellStyle name="Normal 5 3 3 8 2 2 2" xfId="17936" xr:uid="{85805455-12E1-484D-9DB8-21C9A4558893}"/>
    <cellStyle name="Normal 5 3 3 8 2 3" xfId="13719" xr:uid="{EE34B89B-9F48-4DC9-BCB2-554033A03BED}"/>
    <cellStyle name="Normal 5 3 3 8 3" xfId="6465" xr:uid="{00000000-0005-0000-0000-0000111A0000}"/>
    <cellStyle name="Normal 5 3 3 8 3 2" xfId="15791" xr:uid="{5218A1AB-50D0-4B8C-9000-3ACE14403362}"/>
    <cellStyle name="Normal 5 3 3 8 4" xfId="11574" xr:uid="{914C70F7-A90F-4D9F-9EB1-47DFD2361A55}"/>
    <cellStyle name="Normal 5 3 3 9" xfId="2595" xr:uid="{00000000-0005-0000-0000-0000121A0000}"/>
    <cellStyle name="Normal 5 3 3 9 2" xfId="6878" xr:uid="{00000000-0005-0000-0000-0000131A0000}"/>
    <cellStyle name="Normal 5 3 3 9 2 2" xfId="16204" xr:uid="{A5E063DD-903C-407B-B6C9-B48CF006D9D2}"/>
    <cellStyle name="Normal 5 3 3 9 3" xfId="11987" xr:uid="{AE505888-2CA1-48EC-B56E-A0C864216099}"/>
    <cellStyle name="Normal 5 3 4" xfId="449" xr:uid="{00000000-0005-0000-0000-0000141A0000}"/>
    <cellStyle name="Normal 5 3 4 10" xfId="8831" xr:uid="{39AD872D-FBC2-4C4A-B537-79F8014E4247}"/>
    <cellStyle name="Normal 5 3 4 10 2" xfId="18155" xr:uid="{D48697CB-85EF-4B2C-AFA2-8DB4EB517847}"/>
    <cellStyle name="Normal 5 3 4 11" xfId="9930" xr:uid="{A5DD87D0-5A12-4FE1-B1A7-EFB723C2473B}"/>
    <cellStyle name="Normal 5 3 4 2" xfId="450" xr:uid="{00000000-0005-0000-0000-0000151A0000}"/>
    <cellStyle name="Normal 5 3 4 2 10" xfId="9931" xr:uid="{468FC951-3984-4902-8F1F-D345DACDD37B}"/>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16707" xr:uid="{475E4EC8-959D-4338-AFCD-D9E53F6ACF60}"/>
    <cellStyle name="Normal 5 3 4 2 2 2 2 3" xfId="12490" xr:uid="{5C203D36-8722-48E3-B262-DF00D3997EC1}"/>
    <cellStyle name="Normal 5 3 4 2 2 2 3" xfId="5236" xr:uid="{00000000-0005-0000-0000-00001A1A0000}"/>
    <cellStyle name="Normal 5 3 4 2 2 2 3 2" xfId="14562" xr:uid="{536B3723-4F1F-4189-8A48-3162D9C97753}"/>
    <cellStyle name="Normal 5 3 4 2 2 2 4" xfId="9566" xr:uid="{D483C248-9680-462F-989C-42C712CD6EB7}"/>
    <cellStyle name="Normal 5 3 4 2 2 2 4 2" xfId="18881" xr:uid="{DF6A3094-D5B9-4EE2-8FDE-601523FAD425}"/>
    <cellStyle name="Normal 5 3 4 2 2 2 5" xfId="10345" xr:uid="{A3188A22-E72A-4C8B-A1C0-93C9BE24930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17120" xr:uid="{4800F294-705C-4FB7-B9B3-40215F810348}"/>
    <cellStyle name="Normal 5 3 4 2 2 3 2 3" xfId="12903" xr:uid="{7125E3FD-9E50-4C3A-9767-43DA0456ADFA}"/>
    <cellStyle name="Normal 5 3 4 2 2 3 3" xfId="5649" xr:uid="{00000000-0005-0000-0000-00001E1A0000}"/>
    <cellStyle name="Normal 5 3 4 2 2 3 3 2" xfId="14975" xr:uid="{0AC43F1A-6334-4AB2-980B-A1E573E137D8}"/>
    <cellStyle name="Normal 5 3 4 2 2 3 4" xfId="10758" xr:uid="{0A9485B0-4AEB-4F86-B194-3A572D736B87}"/>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17533" xr:uid="{B8F47203-75D6-429D-9440-97EF1009AB2C}"/>
    <cellStyle name="Normal 5 3 4 2 2 4 2 3" xfId="13316" xr:uid="{5732FDC4-E86B-4568-854B-D9B348091A85}"/>
    <cellStyle name="Normal 5 3 4 2 2 4 3" xfId="6062" xr:uid="{00000000-0005-0000-0000-0000221A0000}"/>
    <cellStyle name="Normal 5 3 4 2 2 4 3 2" xfId="15388" xr:uid="{267B2E44-39BD-4A33-9083-69533A728683}"/>
    <cellStyle name="Normal 5 3 4 2 2 4 4" xfId="11171" xr:uid="{535A47D9-8267-4760-B0CD-5E9D1D1C11E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17946" xr:uid="{833DA6F2-C20B-4574-91A3-AA7F2DB73268}"/>
    <cellStyle name="Normal 5 3 4 2 2 5 2 3" xfId="13729" xr:uid="{D9467ADC-50FD-4672-A587-32FB0CD6D48D}"/>
    <cellStyle name="Normal 5 3 4 2 2 5 3" xfId="6475" xr:uid="{00000000-0005-0000-0000-0000261A0000}"/>
    <cellStyle name="Normal 5 3 4 2 2 5 3 2" xfId="15801" xr:uid="{00390DBB-F804-49FE-B79A-91A7AEA85FC6}"/>
    <cellStyle name="Normal 5 3 4 2 2 5 4" xfId="11584" xr:uid="{3C765A44-64EB-4643-8333-A7F15E20D41E}"/>
    <cellStyle name="Normal 5 3 4 2 2 6" xfId="2605" xr:uid="{00000000-0005-0000-0000-0000271A0000}"/>
    <cellStyle name="Normal 5 3 4 2 2 6 2" xfId="6888" xr:uid="{00000000-0005-0000-0000-0000281A0000}"/>
    <cellStyle name="Normal 5 3 4 2 2 6 2 2" xfId="16214" xr:uid="{EB4E74E7-CB40-43D3-BDA9-3639F0234AA8}"/>
    <cellStyle name="Normal 5 3 4 2 2 6 3" xfId="11997" xr:uid="{FBB4BADC-394F-4E20-823B-3293A01DC411}"/>
    <cellStyle name="Normal 5 3 4 2 2 7" xfId="4823" xr:uid="{00000000-0005-0000-0000-0000291A0000}"/>
    <cellStyle name="Normal 5 3 4 2 2 7 2" xfId="14149" xr:uid="{66036854-8813-4B2E-BAD0-4EEB0ED8DA26}"/>
    <cellStyle name="Normal 5 3 4 2 2 8" xfId="9141" xr:uid="{6B63A6D0-0E60-498B-8E53-451D5144533A}"/>
    <cellStyle name="Normal 5 3 4 2 2 8 2" xfId="18465" xr:uid="{563B5D45-095A-447A-8ED5-6E79FAD6E3AB}"/>
    <cellStyle name="Normal 5 3 4 2 2 9" xfId="9932" xr:uid="{3AC0CE4D-1FCB-4555-9A46-82F6A3FD8E12}"/>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16706" xr:uid="{D9F7447D-05C8-44C9-B71A-CFA2774C742B}"/>
    <cellStyle name="Normal 5 3 4 2 3 2 3" xfId="12489" xr:uid="{30E3DF88-E3BA-431E-93FE-A5ADFBA6DAE0}"/>
    <cellStyle name="Normal 5 3 4 2 3 3" xfId="5235" xr:uid="{00000000-0005-0000-0000-00002D1A0000}"/>
    <cellStyle name="Normal 5 3 4 2 3 3 2" xfId="14561" xr:uid="{BA7DEB67-FDCF-4B4C-9759-F15B910A22DE}"/>
    <cellStyle name="Normal 5 3 4 2 3 4" xfId="9359" xr:uid="{FAC41203-2BC4-411F-9296-10781BA4F1AB}"/>
    <cellStyle name="Normal 5 3 4 2 3 4 2" xfId="18674" xr:uid="{37577CDB-F870-4496-9B64-BCA45D58B145}"/>
    <cellStyle name="Normal 5 3 4 2 3 5" xfId="10344" xr:uid="{002A8A18-B00D-4517-A730-9F905422ED4E}"/>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17119" xr:uid="{0A77C892-4915-48C6-89D4-CCB965EF5E0B}"/>
    <cellStyle name="Normal 5 3 4 2 4 2 3" xfId="12902" xr:uid="{35F33B6B-A98A-4D0D-92E4-D4CD79E2869C}"/>
    <cellStyle name="Normal 5 3 4 2 4 3" xfId="5648" xr:uid="{00000000-0005-0000-0000-0000311A0000}"/>
    <cellStyle name="Normal 5 3 4 2 4 3 2" xfId="14974" xr:uid="{507364FF-0DDE-4FDC-A646-FEE3D3C68F4F}"/>
    <cellStyle name="Normal 5 3 4 2 4 4" xfId="10757" xr:uid="{5FAA35B2-7D1C-4B65-AC87-A077BE8A506B}"/>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17532" xr:uid="{3CA5159B-3B37-4F0B-88A2-727AC3DDEA92}"/>
    <cellStyle name="Normal 5 3 4 2 5 2 3" xfId="13315" xr:uid="{15FB35E0-DD4E-4B85-8B60-0CCAC0D6F74B}"/>
    <cellStyle name="Normal 5 3 4 2 5 3" xfId="6061" xr:uid="{00000000-0005-0000-0000-0000351A0000}"/>
    <cellStyle name="Normal 5 3 4 2 5 3 2" xfId="15387" xr:uid="{9809EFBF-683F-4B21-BB82-9CB29FA98769}"/>
    <cellStyle name="Normal 5 3 4 2 5 4" xfId="11170" xr:uid="{1BB51935-6C6C-4542-AB25-4DE8C6C04B32}"/>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17945" xr:uid="{BAD87FDF-F79A-4B8E-8E84-2AA88EE1E804}"/>
    <cellStyle name="Normal 5 3 4 2 6 2 3" xfId="13728" xr:uid="{9635A71E-6F0F-4F0A-8F1A-A285F5D3FB9A}"/>
    <cellStyle name="Normal 5 3 4 2 6 3" xfId="6474" xr:uid="{00000000-0005-0000-0000-0000391A0000}"/>
    <cellStyle name="Normal 5 3 4 2 6 3 2" xfId="15800" xr:uid="{7E9A47A0-3AD8-4DF9-8C33-A3C86D96C7E8}"/>
    <cellStyle name="Normal 5 3 4 2 6 4" xfId="11583" xr:uid="{493EEF0D-5E37-4D3C-A468-B2A25D1E7E2D}"/>
    <cellStyle name="Normal 5 3 4 2 7" xfId="2604" xr:uid="{00000000-0005-0000-0000-00003A1A0000}"/>
    <cellStyle name="Normal 5 3 4 2 7 2" xfId="6887" xr:uid="{00000000-0005-0000-0000-00003B1A0000}"/>
    <cellStyle name="Normal 5 3 4 2 7 2 2" xfId="16213" xr:uid="{605180F0-7D3C-4D82-8D13-C358E1373811}"/>
    <cellStyle name="Normal 5 3 4 2 7 3" xfId="11996" xr:uid="{2F4DA428-5BCC-4614-B450-131F624CEAA4}"/>
    <cellStyle name="Normal 5 3 4 2 8" xfId="4822" xr:uid="{00000000-0005-0000-0000-00003C1A0000}"/>
    <cellStyle name="Normal 5 3 4 2 8 2" xfId="14148" xr:uid="{21FA54C6-009D-4E6F-89FE-AD0DB6FF051C}"/>
    <cellStyle name="Normal 5 3 4 2 9" xfId="8934" xr:uid="{D16D0DF9-4576-4200-8972-8AAD50545E0D}"/>
    <cellStyle name="Normal 5 3 4 2 9 2" xfId="18258" xr:uid="{AA2CA211-DC3B-45D4-8C3E-A90755183C78}"/>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16708" xr:uid="{0FF303F9-C9FD-4323-A893-C35BFFBBA9EB}"/>
    <cellStyle name="Normal 5 3 4 3 2 2 3" xfId="12491" xr:uid="{08B3A5E0-F99C-4352-9A8D-E4692FF1894B}"/>
    <cellStyle name="Normal 5 3 4 3 2 3" xfId="5237" xr:uid="{00000000-0005-0000-0000-0000411A0000}"/>
    <cellStyle name="Normal 5 3 4 3 2 3 2" xfId="14563" xr:uid="{B45EE9F8-91D8-4BF3-B2CB-2119EF5A222A}"/>
    <cellStyle name="Normal 5 3 4 3 2 4" xfId="9463" xr:uid="{1CC38E89-013B-404F-9F3E-11BABC37F656}"/>
    <cellStyle name="Normal 5 3 4 3 2 4 2" xfId="18778" xr:uid="{52790442-686C-41D1-9AAC-D83F7C90EB1E}"/>
    <cellStyle name="Normal 5 3 4 3 2 5" xfId="10346" xr:uid="{2298C04D-3A9D-41F3-BE23-C4BC236A414B}"/>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17121" xr:uid="{EB2947A5-C0C6-439B-BB83-730B03DA2E2B}"/>
    <cellStyle name="Normal 5 3 4 3 3 2 3" xfId="12904" xr:uid="{37140F2A-77CE-4909-86EF-734F785ADDAC}"/>
    <cellStyle name="Normal 5 3 4 3 3 3" xfId="5650" xr:uid="{00000000-0005-0000-0000-0000451A0000}"/>
    <cellStyle name="Normal 5 3 4 3 3 3 2" xfId="14976" xr:uid="{40467A14-ACEC-4D6F-BC45-98A368146E5D}"/>
    <cellStyle name="Normal 5 3 4 3 3 4" xfId="10759" xr:uid="{DE5BB93E-6CDB-487D-BE82-A8B317627DB9}"/>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17534" xr:uid="{619034A3-8D9B-4A45-BEF7-D31E3AC43456}"/>
    <cellStyle name="Normal 5 3 4 3 4 2 3" xfId="13317" xr:uid="{4FAAE24F-4043-4E2B-B02E-60B69A522DB5}"/>
    <cellStyle name="Normal 5 3 4 3 4 3" xfId="6063" xr:uid="{00000000-0005-0000-0000-0000491A0000}"/>
    <cellStyle name="Normal 5 3 4 3 4 3 2" xfId="15389" xr:uid="{97BFD9BA-D352-40CF-9BFC-A1CB25400E05}"/>
    <cellStyle name="Normal 5 3 4 3 4 4" xfId="11172" xr:uid="{922AD532-43E9-4D43-A0FF-1D8AA82964BD}"/>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17947" xr:uid="{3E8EECCF-441E-4F2B-86A8-4154B7FF7DE2}"/>
    <cellStyle name="Normal 5 3 4 3 5 2 3" xfId="13730" xr:uid="{80B43BBD-968D-432C-88E2-0BBD3F4A900D}"/>
    <cellStyle name="Normal 5 3 4 3 5 3" xfId="6476" xr:uid="{00000000-0005-0000-0000-00004D1A0000}"/>
    <cellStyle name="Normal 5 3 4 3 5 3 2" xfId="15802" xr:uid="{36495024-3FF4-4F6D-B873-36F7CD873BC1}"/>
    <cellStyle name="Normal 5 3 4 3 5 4" xfId="11585" xr:uid="{E512B2E7-E000-4396-8D62-FF58D5174850}"/>
    <cellStyle name="Normal 5 3 4 3 6" xfId="2606" xr:uid="{00000000-0005-0000-0000-00004E1A0000}"/>
    <cellStyle name="Normal 5 3 4 3 6 2" xfId="6889" xr:uid="{00000000-0005-0000-0000-00004F1A0000}"/>
    <cellStyle name="Normal 5 3 4 3 6 2 2" xfId="16215" xr:uid="{CF341F89-7C5F-4DB5-AE89-595C9D86558C}"/>
    <cellStyle name="Normal 5 3 4 3 6 3" xfId="11998" xr:uid="{2C9E8AE6-A709-4B61-8234-B69504A1BA53}"/>
    <cellStyle name="Normal 5 3 4 3 7" xfId="4824" xr:uid="{00000000-0005-0000-0000-0000501A0000}"/>
    <cellStyle name="Normal 5 3 4 3 7 2" xfId="14150" xr:uid="{63EDD815-BB6E-43F5-84C2-8A7ECF73E82A}"/>
    <cellStyle name="Normal 5 3 4 3 8" xfId="9038" xr:uid="{15024032-E3C2-4FDD-B674-481D39A836C5}"/>
    <cellStyle name="Normal 5 3 4 3 8 2" xfId="18362" xr:uid="{573ACE58-C9D7-4816-9591-0CF2A4D6A5B0}"/>
    <cellStyle name="Normal 5 3 4 3 9" xfId="9933" xr:uid="{B789D415-09FB-4BC8-A2F0-08AFFFC62D47}"/>
    <cellStyle name="Normal 5 3 4 4" xfId="923" xr:uid="{00000000-0005-0000-0000-0000511A0000}"/>
    <cellStyle name="Normal 5 3 4 4 2" xfId="3157" xr:uid="{00000000-0005-0000-0000-0000521A0000}"/>
    <cellStyle name="Normal 5 3 4 4 2 2" xfId="7379" xr:uid="{00000000-0005-0000-0000-0000531A0000}"/>
    <cellStyle name="Normal 5 3 4 4 2 2 2" xfId="16705" xr:uid="{D30CC016-E596-4EAB-96D1-3840497D819A}"/>
    <cellStyle name="Normal 5 3 4 4 2 3" xfId="12488" xr:uid="{B64DD1DD-457D-4EA0-B0FE-8C3CAE6F2878}"/>
    <cellStyle name="Normal 5 3 4 4 3" xfId="5234" xr:uid="{00000000-0005-0000-0000-0000541A0000}"/>
    <cellStyle name="Normal 5 3 4 4 3 2" xfId="14560" xr:uid="{A8A16D6A-6BBF-4C97-B777-886081DA85F4}"/>
    <cellStyle name="Normal 5 3 4 4 4" xfId="9256" xr:uid="{69A14F57-2B46-4294-8CA5-E21858516C25}"/>
    <cellStyle name="Normal 5 3 4 4 4 2" xfId="18571" xr:uid="{0E809824-ABA0-4A98-8582-78A7A19916D6}"/>
    <cellStyle name="Normal 5 3 4 4 5" xfId="10343" xr:uid="{C819A8A0-D2AB-4746-A41D-AC250CE980F1}"/>
    <cellStyle name="Normal 5 3 4 5" xfId="1340" xr:uid="{00000000-0005-0000-0000-0000551A0000}"/>
    <cellStyle name="Normal 5 3 4 5 2" xfId="3570" xr:uid="{00000000-0005-0000-0000-0000561A0000}"/>
    <cellStyle name="Normal 5 3 4 5 2 2" xfId="7792" xr:uid="{00000000-0005-0000-0000-0000571A0000}"/>
    <cellStyle name="Normal 5 3 4 5 2 2 2" xfId="17118" xr:uid="{08E20D4C-484B-4774-885F-1490AB525C05}"/>
    <cellStyle name="Normal 5 3 4 5 2 3" xfId="12901" xr:uid="{B463525B-5C8E-4DC4-AE76-BCD4B7C2131D}"/>
    <cellStyle name="Normal 5 3 4 5 3" xfId="5647" xr:uid="{00000000-0005-0000-0000-0000581A0000}"/>
    <cellStyle name="Normal 5 3 4 5 3 2" xfId="14973" xr:uid="{420D4CBE-6603-4CD1-9D8D-0B57C8736CDE}"/>
    <cellStyle name="Normal 5 3 4 5 4" xfId="10756" xr:uid="{53DE0B9A-E02D-43D9-AB57-4F3EC29FB314}"/>
    <cellStyle name="Normal 5 3 4 6" xfId="1753" xr:uid="{00000000-0005-0000-0000-0000591A0000}"/>
    <cellStyle name="Normal 5 3 4 6 2" xfId="3983" xr:uid="{00000000-0005-0000-0000-00005A1A0000}"/>
    <cellStyle name="Normal 5 3 4 6 2 2" xfId="8205" xr:uid="{00000000-0005-0000-0000-00005B1A0000}"/>
    <cellStyle name="Normal 5 3 4 6 2 2 2" xfId="17531" xr:uid="{4CFB0FC9-C4FB-46F8-97A4-D5353F59CC1D}"/>
    <cellStyle name="Normal 5 3 4 6 2 3" xfId="13314" xr:uid="{5BC65757-F3CE-4F84-AAE6-79685AEC021E}"/>
    <cellStyle name="Normal 5 3 4 6 3" xfId="6060" xr:uid="{00000000-0005-0000-0000-00005C1A0000}"/>
    <cellStyle name="Normal 5 3 4 6 3 2" xfId="15386" xr:uid="{E44F4D4B-FCD9-4A5C-8BF0-BE8ED266EACA}"/>
    <cellStyle name="Normal 5 3 4 6 4" xfId="11169" xr:uid="{6EAD878C-AD55-400D-8382-F901E465FC2C}"/>
    <cellStyle name="Normal 5 3 4 7" xfId="2167" xr:uid="{00000000-0005-0000-0000-00005D1A0000}"/>
    <cellStyle name="Normal 5 3 4 7 2" xfId="4396" xr:uid="{00000000-0005-0000-0000-00005E1A0000}"/>
    <cellStyle name="Normal 5 3 4 7 2 2" xfId="8618" xr:uid="{00000000-0005-0000-0000-00005F1A0000}"/>
    <cellStyle name="Normal 5 3 4 7 2 2 2" xfId="17944" xr:uid="{CC8045F2-6D10-421C-91EB-A65A72EEEEBC}"/>
    <cellStyle name="Normal 5 3 4 7 2 3" xfId="13727" xr:uid="{723200CE-5842-4B3E-B3AA-5EE794797645}"/>
    <cellStyle name="Normal 5 3 4 7 3" xfId="6473" xr:uid="{00000000-0005-0000-0000-0000601A0000}"/>
    <cellStyle name="Normal 5 3 4 7 3 2" xfId="15799" xr:uid="{F501CD3B-2648-4B5B-B2A6-95B7F251243E}"/>
    <cellStyle name="Normal 5 3 4 7 4" xfId="11582" xr:uid="{09F38451-8F19-46D8-BC3A-B4A59719E84F}"/>
    <cellStyle name="Normal 5 3 4 8" xfId="2603" xr:uid="{00000000-0005-0000-0000-0000611A0000}"/>
    <cellStyle name="Normal 5 3 4 8 2" xfId="6886" xr:uid="{00000000-0005-0000-0000-0000621A0000}"/>
    <cellStyle name="Normal 5 3 4 8 2 2" xfId="16212" xr:uid="{F495B24A-837C-4530-8B16-058B800DB7B3}"/>
    <cellStyle name="Normal 5 3 4 8 3" xfId="11995" xr:uid="{AD1B97E8-8492-431A-803F-91E50B5EEBAB}"/>
    <cellStyle name="Normal 5 3 4 9" xfId="4821" xr:uid="{00000000-0005-0000-0000-0000631A0000}"/>
    <cellStyle name="Normal 5 3 4 9 2" xfId="14147" xr:uid="{4C0B81CB-D22C-4BD2-93C0-DFB2ED4C3287}"/>
    <cellStyle name="Normal 5 3 5" xfId="453" xr:uid="{00000000-0005-0000-0000-0000641A0000}"/>
    <cellStyle name="Normal 5 3 5 10" xfId="9934" xr:uid="{0DFB1EE0-B8B4-4A3B-95D8-31407DC43C84}"/>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16710" xr:uid="{58E819D2-BD36-4A42-8C80-12FBDFC1BA25}"/>
    <cellStyle name="Normal 5 3 5 2 2 2 3" xfId="12493" xr:uid="{FCB05496-09AF-4D35-BEFA-B18E7D84B3E2}"/>
    <cellStyle name="Normal 5 3 5 2 2 3" xfId="5239" xr:uid="{00000000-0005-0000-0000-0000691A0000}"/>
    <cellStyle name="Normal 5 3 5 2 2 3 2" xfId="14565" xr:uid="{02207173-3488-4078-A9D9-82F24F12C9EE}"/>
    <cellStyle name="Normal 5 3 5 2 2 4" xfId="9485" xr:uid="{E88A0512-4544-44F7-B02F-696DEB177F8E}"/>
    <cellStyle name="Normal 5 3 5 2 2 4 2" xfId="18800" xr:uid="{49EEE831-6C66-4634-8550-0ED358C5FDDB}"/>
    <cellStyle name="Normal 5 3 5 2 2 5" xfId="10348" xr:uid="{65EE88D4-8085-4756-9DC1-F6B03B520422}"/>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17123" xr:uid="{74EABF6B-AECC-4E39-B4E9-89122E04CD63}"/>
    <cellStyle name="Normal 5 3 5 2 3 2 3" xfId="12906" xr:uid="{A2E142D7-2EA3-4003-BD3E-234DD8688C5F}"/>
    <cellStyle name="Normal 5 3 5 2 3 3" xfId="5652" xr:uid="{00000000-0005-0000-0000-00006D1A0000}"/>
    <cellStyle name="Normal 5 3 5 2 3 3 2" xfId="14978" xr:uid="{34FBB1F5-2AE6-4EB1-B50E-4C3480D9CBC8}"/>
    <cellStyle name="Normal 5 3 5 2 3 4" xfId="10761" xr:uid="{66F3C2E3-EB74-4B3F-B84B-D3179A56D095}"/>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17536" xr:uid="{20029615-0EA7-404D-980F-6FC530952BC7}"/>
    <cellStyle name="Normal 5 3 5 2 4 2 3" xfId="13319" xr:uid="{6033FBB8-5E7C-4F3B-B209-08A8ECDA73D5}"/>
    <cellStyle name="Normal 5 3 5 2 4 3" xfId="6065" xr:uid="{00000000-0005-0000-0000-0000711A0000}"/>
    <cellStyle name="Normal 5 3 5 2 4 3 2" xfId="15391" xr:uid="{7313FC36-F483-4EB4-85AC-C2F6A0E68445}"/>
    <cellStyle name="Normal 5 3 5 2 4 4" xfId="11174" xr:uid="{CE7ECF99-B145-4728-871C-B179E1CC3AB2}"/>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17949" xr:uid="{03729122-0BEB-4483-B804-0D4FB47D3B52}"/>
    <cellStyle name="Normal 5 3 5 2 5 2 3" xfId="13732" xr:uid="{BA54847E-B910-4086-B2F1-5F4EA6BCEA95}"/>
    <cellStyle name="Normal 5 3 5 2 5 3" xfId="6478" xr:uid="{00000000-0005-0000-0000-0000751A0000}"/>
    <cellStyle name="Normal 5 3 5 2 5 3 2" xfId="15804" xr:uid="{1FAEAA54-AB0C-4273-AFBD-660A6893A085}"/>
    <cellStyle name="Normal 5 3 5 2 5 4" xfId="11587" xr:uid="{F353724F-D33F-4A5B-AF18-54C52405CFA5}"/>
    <cellStyle name="Normal 5 3 5 2 6" xfId="2608" xr:uid="{00000000-0005-0000-0000-0000761A0000}"/>
    <cellStyle name="Normal 5 3 5 2 6 2" xfId="6891" xr:uid="{00000000-0005-0000-0000-0000771A0000}"/>
    <cellStyle name="Normal 5 3 5 2 6 2 2" xfId="16217" xr:uid="{FA918D10-2A85-469C-BDAF-C1685EC81D4D}"/>
    <cellStyle name="Normal 5 3 5 2 6 3" xfId="12000" xr:uid="{7FAF3A18-82A0-41FE-A442-5E7FDF0199E5}"/>
    <cellStyle name="Normal 5 3 5 2 7" xfId="4826" xr:uid="{00000000-0005-0000-0000-0000781A0000}"/>
    <cellStyle name="Normal 5 3 5 2 7 2" xfId="14152" xr:uid="{8CA53E54-CAB2-4F2B-9CFA-57837334CA9B}"/>
    <cellStyle name="Normal 5 3 5 2 8" xfId="9060" xr:uid="{D76124DC-5753-46E4-97E7-1D76E6E20EEE}"/>
    <cellStyle name="Normal 5 3 5 2 8 2" xfId="18384" xr:uid="{599F6A73-7BCB-4630-A8CC-0EB34505EA77}"/>
    <cellStyle name="Normal 5 3 5 2 9" xfId="9935" xr:uid="{BFA6DF4B-0E49-42F0-AF36-D8AAE817C493}"/>
    <cellStyle name="Normal 5 3 5 3" xfId="927" xr:uid="{00000000-0005-0000-0000-0000791A0000}"/>
    <cellStyle name="Normal 5 3 5 3 2" xfId="3161" xr:uid="{00000000-0005-0000-0000-00007A1A0000}"/>
    <cellStyle name="Normal 5 3 5 3 2 2" xfId="7383" xr:uid="{00000000-0005-0000-0000-00007B1A0000}"/>
    <cellStyle name="Normal 5 3 5 3 2 2 2" xfId="16709" xr:uid="{E39230A0-BB97-4C67-BA6D-F247DF124F44}"/>
    <cellStyle name="Normal 5 3 5 3 2 3" xfId="12492" xr:uid="{F46B1317-9BA6-4A0E-B912-196049B3A671}"/>
    <cellStyle name="Normal 5 3 5 3 3" xfId="5238" xr:uid="{00000000-0005-0000-0000-00007C1A0000}"/>
    <cellStyle name="Normal 5 3 5 3 3 2" xfId="14564" xr:uid="{4B8D607D-5409-4E48-A0F1-0F9D85C06D0D}"/>
    <cellStyle name="Normal 5 3 5 3 4" xfId="9278" xr:uid="{6197750A-97CA-41EF-A67C-63E25EE58E9E}"/>
    <cellStyle name="Normal 5 3 5 3 4 2" xfId="18593" xr:uid="{D794288C-DFAC-40C7-B421-85294B2599E0}"/>
    <cellStyle name="Normal 5 3 5 3 5" xfId="10347" xr:uid="{62EA8CD5-6B02-40B2-8FE0-E8F360BBC0E2}"/>
    <cellStyle name="Normal 5 3 5 4" xfId="1344" xr:uid="{00000000-0005-0000-0000-00007D1A0000}"/>
    <cellStyle name="Normal 5 3 5 4 2" xfId="3574" xr:uid="{00000000-0005-0000-0000-00007E1A0000}"/>
    <cellStyle name="Normal 5 3 5 4 2 2" xfId="7796" xr:uid="{00000000-0005-0000-0000-00007F1A0000}"/>
    <cellStyle name="Normal 5 3 5 4 2 2 2" xfId="17122" xr:uid="{37A93824-8C57-4318-AE60-93398BBD4C60}"/>
    <cellStyle name="Normal 5 3 5 4 2 3" xfId="12905" xr:uid="{D30F0D83-AFDA-4077-BD7A-16F66F182D7F}"/>
    <cellStyle name="Normal 5 3 5 4 3" xfId="5651" xr:uid="{00000000-0005-0000-0000-0000801A0000}"/>
    <cellStyle name="Normal 5 3 5 4 3 2" xfId="14977" xr:uid="{5275433D-8253-4F82-9BC5-411A51F11411}"/>
    <cellStyle name="Normal 5 3 5 4 4" xfId="10760" xr:uid="{78AD2E98-9A2D-4F57-AFCD-E2C0D8EAFC77}"/>
    <cellStyle name="Normal 5 3 5 5" xfId="1757" xr:uid="{00000000-0005-0000-0000-0000811A0000}"/>
    <cellStyle name="Normal 5 3 5 5 2" xfId="3987" xr:uid="{00000000-0005-0000-0000-0000821A0000}"/>
    <cellStyle name="Normal 5 3 5 5 2 2" xfId="8209" xr:uid="{00000000-0005-0000-0000-0000831A0000}"/>
    <cellStyle name="Normal 5 3 5 5 2 2 2" xfId="17535" xr:uid="{664CA83F-BCCD-49D0-8AE3-D5490046331A}"/>
    <cellStyle name="Normal 5 3 5 5 2 3" xfId="13318" xr:uid="{1AE59382-9102-4B65-AD0B-A9D239BB4698}"/>
    <cellStyle name="Normal 5 3 5 5 3" xfId="6064" xr:uid="{00000000-0005-0000-0000-0000841A0000}"/>
    <cellStyle name="Normal 5 3 5 5 3 2" xfId="15390" xr:uid="{BDA4EACB-AF74-4CB2-9F40-5AB1739A5580}"/>
    <cellStyle name="Normal 5 3 5 5 4" xfId="11173" xr:uid="{AF978008-8603-4175-85B5-70D5956C8D4C}"/>
    <cellStyle name="Normal 5 3 5 6" xfId="2171" xr:uid="{00000000-0005-0000-0000-0000851A0000}"/>
    <cellStyle name="Normal 5 3 5 6 2" xfId="4400" xr:uid="{00000000-0005-0000-0000-0000861A0000}"/>
    <cellStyle name="Normal 5 3 5 6 2 2" xfId="8622" xr:uid="{00000000-0005-0000-0000-0000871A0000}"/>
    <cellStyle name="Normal 5 3 5 6 2 2 2" xfId="17948" xr:uid="{3E414639-C03A-49E0-8D1B-5D4DEBB844C2}"/>
    <cellStyle name="Normal 5 3 5 6 2 3" xfId="13731" xr:uid="{AAD1C756-1BD0-458D-A406-27919148A5E4}"/>
    <cellStyle name="Normal 5 3 5 6 3" xfId="6477" xr:uid="{00000000-0005-0000-0000-0000881A0000}"/>
    <cellStyle name="Normal 5 3 5 6 3 2" xfId="15803" xr:uid="{DB119292-E335-4A19-BC59-78052E0E5FE2}"/>
    <cellStyle name="Normal 5 3 5 6 4" xfId="11586" xr:uid="{FBBD1096-0132-4162-BD65-29FCA61C91FD}"/>
    <cellStyle name="Normal 5 3 5 7" xfId="2607" xr:uid="{00000000-0005-0000-0000-0000891A0000}"/>
    <cellStyle name="Normal 5 3 5 7 2" xfId="6890" xr:uid="{00000000-0005-0000-0000-00008A1A0000}"/>
    <cellStyle name="Normal 5 3 5 7 2 2" xfId="16216" xr:uid="{AC0F0B5B-AA4D-4E7E-9B62-813D2DD10A54}"/>
    <cellStyle name="Normal 5 3 5 7 3" xfId="11999" xr:uid="{906DD8F9-8D7A-4276-B368-1DD5A33ACF6D}"/>
    <cellStyle name="Normal 5 3 5 8" xfId="4825" xr:uid="{00000000-0005-0000-0000-00008B1A0000}"/>
    <cellStyle name="Normal 5 3 5 8 2" xfId="14151" xr:uid="{50D84396-82D2-4261-A21D-A8C9A0533606}"/>
    <cellStyle name="Normal 5 3 5 9" xfId="8853" xr:uid="{049FA2CE-003F-47C1-A264-645323886F35}"/>
    <cellStyle name="Normal 5 3 5 9 2" xfId="18177" xr:uid="{2F8F8E9D-6958-433A-B27A-269656B85AAA}"/>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2 2 2" xfId="16711" xr:uid="{74BF9A3D-81F5-4F2F-94B2-3D2A0AE9169B}"/>
    <cellStyle name="Normal 5 3 6 2 2 3" xfId="12494" xr:uid="{E88D6C58-E898-4429-B9F4-9E108E8D658A}"/>
    <cellStyle name="Normal 5 3 6 2 3" xfId="5240" xr:uid="{00000000-0005-0000-0000-0000901A0000}"/>
    <cellStyle name="Normal 5 3 6 2 3 2" xfId="14566" xr:uid="{0D8E2982-AE10-416F-B6F5-8F0EDA2657F5}"/>
    <cellStyle name="Normal 5 3 6 2 4" xfId="9394" xr:uid="{040FDD8C-10C9-4583-9A6E-8F76047ECA0C}"/>
    <cellStyle name="Normal 5 3 6 2 4 2" xfId="18709" xr:uid="{A29CAB5C-F996-4930-B496-29F0765D7BB6}"/>
    <cellStyle name="Normal 5 3 6 2 5" xfId="10349" xr:uid="{F27FC82E-0D90-47E8-922A-AA34AD1DACD2}"/>
    <cellStyle name="Normal 5 3 6 3" xfId="1346" xr:uid="{00000000-0005-0000-0000-0000911A0000}"/>
    <cellStyle name="Normal 5 3 6 3 2" xfId="3576" xr:uid="{00000000-0005-0000-0000-0000921A0000}"/>
    <cellStyle name="Normal 5 3 6 3 2 2" xfId="7798" xr:uid="{00000000-0005-0000-0000-0000931A0000}"/>
    <cellStyle name="Normal 5 3 6 3 2 2 2" xfId="17124" xr:uid="{7FEDFB66-90DE-42E2-AF59-FA29D55C94CC}"/>
    <cellStyle name="Normal 5 3 6 3 2 3" xfId="12907" xr:uid="{724F97BE-B277-4447-A2E8-F6078D9E0E23}"/>
    <cellStyle name="Normal 5 3 6 3 3" xfId="5653" xr:uid="{00000000-0005-0000-0000-0000941A0000}"/>
    <cellStyle name="Normal 5 3 6 3 3 2" xfId="14979" xr:uid="{E004A042-11DE-47B6-B3BE-2C4EDA5FAD02}"/>
    <cellStyle name="Normal 5 3 6 3 4" xfId="10762" xr:uid="{725B97CD-2568-41AA-9FCD-269BACB7A33D}"/>
    <cellStyle name="Normal 5 3 6 4" xfId="1759" xr:uid="{00000000-0005-0000-0000-0000951A0000}"/>
    <cellStyle name="Normal 5 3 6 4 2" xfId="3989" xr:uid="{00000000-0005-0000-0000-0000961A0000}"/>
    <cellStyle name="Normal 5 3 6 4 2 2" xfId="8211" xr:uid="{00000000-0005-0000-0000-0000971A0000}"/>
    <cellStyle name="Normal 5 3 6 4 2 2 2" xfId="17537" xr:uid="{242F77AA-0352-4503-9464-E55389C80408}"/>
    <cellStyle name="Normal 5 3 6 4 2 3" xfId="13320" xr:uid="{B3DD1945-BB03-4745-B035-9A193F17C0EC}"/>
    <cellStyle name="Normal 5 3 6 4 3" xfId="6066" xr:uid="{00000000-0005-0000-0000-0000981A0000}"/>
    <cellStyle name="Normal 5 3 6 4 3 2" xfId="15392" xr:uid="{8D74B1F5-1A7D-4E0E-944A-5D3026BC1F6E}"/>
    <cellStyle name="Normal 5 3 6 4 4" xfId="11175" xr:uid="{06D615A9-A8AD-4B20-A7EF-3E49ADDAAFAD}"/>
    <cellStyle name="Normal 5 3 6 5" xfId="2173" xr:uid="{00000000-0005-0000-0000-0000991A0000}"/>
    <cellStyle name="Normal 5 3 6 5 2" xfId="4402" xr:uid="{00000000-0005-0000-0000-00009A1A0000}"/>
    <cellStyle name="Normal 5 3 6 5 2 2" xfId="8624" xr:uid="{00000000-0005-0000-0000-00009B1A0000}"/>
    <cellStyle name="Normal 5 3 6 5 2 2 2" xfId="17950" xr:uid="{EBE8BE44-FDC0-481B-9B4B-A909769312CA}"/>
    <cellStyle name="Normal 5 3 6 5 2 3" xfId="13733" xr:uid="{54E19A22-0868-49F1-9052-7B38E1313D02}"/>
    <cellStyle name="Normal 5 3 6 5 3" xfId="6479" xr:uid="{00000000-0005-0000-0000-00009C1A0000}"/>
    <cellStyle name="Normal 5 3 6 5 3 2" xfId="15805" xr:uid="{9D3CEDA0-A730-47E6-90CE-E888474913E6}"/>
    <cellStyle name="Normal 5 3 6 5 4" xfId="11588" xr:uid="{A74BD2F5-3861-4233-846B-8B7394F6C061}"/>
    <cellStyle name="Normal 5 3 6 6" xfId="2609" xr:uid="{00000000-0005-0000-0000-00009D1A0000}"/>
    <cellStyle name="Normal 5 3 6 6 2" xfId="6892" xr:uid="{00000000-0005-0000-0000-00009E1A0000}"/>
    <cellStyle name="Normal 5 3 6 6 2 2" xfId="16218" xr:uid="{2A72918A-B6DA-447B-9396-F20335A7DC90}"/>
    <cellStyle name="Normal 5 3 6 6 3" xfId="12001" xr:uid="{DADF7B8D-E9F1-4FEC-831A-69F95039950E}"/>
    <cellStyle name="Normal 5 3 6 7" xfId="4827" xr:uid="{00000000-0005-0000-0000-00009F1A0000}"/>
    <cellStyle name="Normal 5 3 6 7 2" xfId="14153" xr:uid="{A61C1B07-6A31-4430-B3B7-C4640ABCC820}"/>
    <cellStyle name="Normal 5 3 6 8" xfId="8969" xr:uid="{FA7ABEAF-BFEA-4D3E-A53B-E23F3117BFD8}"/>
    <cellStyle name="Normal 5 3 6 8 2" xfId="18293" xr:uid="{764E669D-D500-4ADF-84B4-F97676152687}"/>
    <cellStyle name="Normal 5 3 6 9" xfId="9936" xr:uid="{BBC595FC-36C9-4BBD-80B7-835EB5D566BA}"/>
    <cellStyle name="Normal 5 3 7" xfId="913" xr:uid="{00000000-0005-0000-0000-0000A01A0000}"/>
    <cellStyle name="Normal 5 3 7 2" xfId="3148" xr:uid="{00000000-0005-0000-0000-0000A11A0000}"/>
    <cellStyle name="Normal 5 3 7 2 2" xfId="7370" xr:uid="{00000000-0005-0000-0000-0000A21A0000}"/>
    <cellStyle name="Normal 5 3 7 2 2 2" xfId="16696" xr:uid="{6073422A-8F06-472B-8157-DF30EF46C4AF}"/>
    <cellStyle name="Normal 5 3 7 2 3" xfId="12479" xr:uid="{A36E80DC-6B46-453B-9CEE-DC31B87381F2}"/>
    <cellStyle name="Normal 5 3 7 3" xfId="5225" xr:uid="{00000000-0005-0000-0000-0000A31A0000}"/>
    <cellStyle name="Normal 5 3 7 3 2" xfId="14551" xr:uid="{B4CF3B8A-EB4D-4D87-A3E3-2A355CA8EB51}"/>
    <cellStyle name="Normal 5 3 7 4" xfId="9172" xr:uid="{5609ABAF-B913-41DD-9CCE-B28C6A880815}"/>
    <cellStyle name="Normal 5 3 7 4 2" xfId="18490" xr:uid="{27361FF1-6108-49A2-8466-E133E981BA19}"/>
    <cellStyle name="Normal 5 3 7 5" xfId="10334" xr:uid="{5B259411-038E-4DBB-AE07-194C74E3A707}"/>
    <cellStyle name="Normal 5 3 8" xfId="1331" xr:uid="{00000000-0005-0000-0000-0000A41A0000}"/>
    <cellStyle name="Normal 5 3 8 2" xfId="3561" xr:uid="{00000000-0005-0000-0000-0000A51A0000}"/>
    <cellStyle name="Normal 5 3 8 2 2" xfId="7783" xr:uid="{00000000-0005-0000-0000-0000A61A0000}"/>
    <cellStyle name="Normal 5 3 8 2 2 2" xfId="17109" xr:uid="{9474FBE8-8892-4A2D-BBFB-824851C4325E}"/>
    <cellStyle name="Normal 5 3 8 2 3" xfId="12892" xr:uid="{BD66829F-D6B3-4122-B58D-AEFC62D88F93}"/>
    <cellStyle name="Normal 5 3 8 3" xfId="5638" xr:uid="{00000000-0005-0000-0000-0000A71A0000}"/>
    <cellStyle name="Normal 5 3 8 3 2" xfId="14964" xr:uid="{3C7293C5-7C09-4900-9069-3E4E35370904}"/>
    <cellStyle name="Normal 5 3 8 4" xfId="10747" xr:uid="{E62DBDED-D1A8-4034-A7CE-78A4CBA61BFE}"/>
    <cellStyle name="Normal 5 3 9" xfId="1744" xr:uid="{00000000-0005-0000-0000-0000A81A0000}"/>
    <cellStyle name="Normal 5 3 9 2" xfId="3974" xr:uid="{00000000-0005-0000-0000-0000A91A0000}"/>
    <cellStyle name="Normal 5 3 9 2 2" xfId="8196" xr:uid="{00000000-0005-0000-0000-0000AA1A0000}"/>
    <cellStyle name="Normal 5 3 9 2 2 2" xfId="17522" xr:uid="{51FB34EE-CD26-41AB-A3AD-B75714BDB585}"/>
    <cellStyle name="Normal 5 3 9 2 3" xfId="13305" xr:uid="{759A9EAA-3C80-4D7D-A017-9F4B80278E9B}"/>
    <cellStyle name="Normal 5 3 9 3" xfId="6051" xr:uid="{00000000-0005-0000-0000-0000AB1A0000}"/>
    <cellStyle name="Normal 5 3 9 3 2" xfId="15377" xr:uid="{623580DB-2552-4CDD-98F0-D8EEF1831EAE}"/>
    <cellStyle name="Normal 5 3 9 4" xfId="11160" xr:uid="{E69E5CCB-25D1-4D0D-8EDC-0D6C5215985F}"/>
    <cellStyle name="Normal 5 4" xfId="456" xr:uid="{00000000-0005-0000-0000-0000AC1A0000}"/>
    <cellStyle name="Normal 5 4 10" xfId="4828" xr:uid="{00000000-0005-0000-0000-0000AD1A0000}"/>
    <cellStyle name="Normal 5 4 10 2" xfId="14154" xr:uid="{5C3761E5-92A9-47D0-8C9A-C587CC912B61}"/>
    <cellStyle name="Normal 5 4 11" xfId="8773" xr:uid="{50472F80-32FD-428C-B078-8DE338D6CA16}"/>
    <cellStyle name="Normal 5 4 11 2" xfId="18097" xr:uid="{BE12899C-B30D-4DCF-B3CD-5BEB01C1189B}"/>
    <cellStyle name="Normal 5 4 12" xfId="9937" xr:uid="{9271190C-47EC-4663-A550-7487D8B887F0}"/>
    <cellStyle name="Normal 5 4 2" xfId="457" xr:uid="{00000000-0005-0000-0000-0000AE1A0000}"/>
    <cellStyle name="Normal 5 4 2 10" xfId="8833" xr:uid="{6EA55230-8E5B-4EF6-B83C-8DF4202F8C31}"/>
    <cellStyle name="Normal 5 4 2 10 2" xfId="18157" xr:uid="{FB10214A-7C96-4939-A7A1-145DA0094997}"/>
    <cellStyle name="Normal 5 4 2 11" xfId="9938" xr:uid="{51F334B1-1ACE-4E6A-BFAA-346AF9D114F0}"/>
    <cellStyle name="Normal 5 4 2 2" xfId="458" xr:uid="{00000000-0005-0000-0000-0000AF1A0000}"/>
    <cellStyle name="Normal 5 4 2 2 10" xfId="9939" xr:uid="{E554DB0C-F97F-4C29-B59C-C35F7A99BFFD}"/>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16715" xr:uid="{499FA569-F9B1-48BC-B290-7D6F0F78AB30}"/>
    <cellStyle name="Normal 5 4 2 2 2 2 2 3" xfId="12498" xr:uid="{8C444D02-4416-4296-AFA7-656964AAC65C}"/>
    <cellStyle name="Normal 5 4 2 2 2 2 3" xfId="5244" xr:uid="{00000000-0005-0000-0000-0000B41A0000}"/>
    <cellStyle name="Normal 5 4 2 2 2 2 3 2" xfId="14570" xr:uid="{CE9717CF-8632-4010-80DE-E2F4C94887E1}"/>
    <cellStyle name="Normal 5 4 2 2 2 2 4" xfId="9568" xr:uid="{C9922021-D284-4633-BD4E-F2DB1197482A}"/>
    <cellStyle name="Normal 5 4 2 2 2 2 4 2" xfId="18883" xr:uid="{9774869B-0B39-45AE-9681-66CC34091D9B}"/>
    <cellStyle name="Normal 5 4 2 2 2 2 5" xfId="10353" xr:uid="{F7AB4572-16DA-40FF-BDDF-E8BE43A843E7}"/>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17128" xr:uid="{958B4AB9-B312-4EE3-BECC-23AD4A870FE4}"/>
    <cellStyle name="Normal 5 4 2 2 2 3 2 3" xfId="12911" xr:uid="{1D3BC8E7-5776-4A1E-B1B9-479BCD273980}"/>
    <cellStyle name="Normal 5 4 2 2 2 3 3" xfId="5657" xr:uid="{00000000-0005-0000-0000-0000B81A0000}"/>
    <cellStyle name="Normal 5 4 2 2 2 3 3 2" xfId="14983" xr:uid="{28651015-B631-4683-8697-27D48D70E5DD}"/>
    <cellStyle name="Normal 5 4 2 2 2 3 4" xfId="10766" xr:uid="{E7FD5B92-1F33-4E47-9993-8AA36DC0B2D3}"/>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17541" xr:uid="{D05C2525-E079-40C2-A582-72285972EA35}"/>
    <cellStyle name="Normal 5 4 2 2 2 4 2 3" xfId="13324" xr:uid="{6CFDC982-920B-4238-9C44-FA4B743D1FAF}"/>
    <cellStyle name="Normal 5 4 2 2 2 4 3" xfId="6070" xr:uid="{00000000-0005-0000-0000-0000BC1A0000}"/>
    <cellStyle name="Normal 5 4 2 2 2 4 3 2" xfId="15396" xr:uid="{8EFD2FD0-C03F-48BA-A84E-B5231F1E7FDB}"/>
    <cellStyle name="Normal 5 4 2 2 2 4 4" xfId="11179" xr:uid="{6C792547-5594-4ABE-A20D-610134564FA1}"/>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17954" xr:uid="{3D6989CC-6385-40CB-BDAB-0FE9CA329A69}"/>
    <cellStyle name="Normal 5 4 2 2 2 5 2 3" xfId="13737" xr:uid="{5904CF15-0A14-4089-B458-4A2713D3EF9E}"/>
    <cellStyle name="Normal 5 4 2 2 2 5 3" xfId="6483" xr:uid="{00000000-0005-0000-0000-0000C01A0000}"/>
    <cellStyle name="Normal 5 4 2 2 2 5 3 2" xfId="15809" xr:uid="{ECAB7B8D-9762-4D0F-9183-201D24234F6D}"/>
    <cellStyle name="Normal 5 4 2 2 2 5 4" xfId="11592" xr:uid="{966BB1D3-A075-469F-98B3-25EAE0F40028}"/>
    <cellStyle name="Normal 5 4 2 2 2 6" xfId="2613" xr:uid="{00000000-0005-0000-0000-0000C11A0000}"/>
    <cellStyle name="Normal 5 4 2 2 2 6 2" xfId="6896" xr:uid="{00000000-0005-0000-0000-0000C21A0000}"/>
    <cellStyle name="Normal 5 4 2 2 2 6 2 2" xfId="16222" xr:uid="{920B9C0C-B322-4820-8CCE-97B0144F1F86}"/>
    <cellStyle name="Normal 5 4 2 2 2 6 3" xfId="12005" xr:uid="{EA5E96C6-1E90-4796-A2C5-AF55F5DCD7DE}"/>
    <cellStyle name="Normal 5 4 2 2 2 7" xfId="4831" xr:uid="{00000000-0005-0000-0000-0000C31A0000}"/>
    <cellStyle name="Normal 5 4 2 2 2 7 2" xfId="14157" xr:uid="{7282EA08-64E9-4380-AA88-502066E7B3FB}"/>
    <cellStyle name="Normal 5 4 2 2 2 8" xfId="9143" xr:uid="{C8F15FA9-FDFE-4358-95A8-17B14299B14C}"/>
    <cellStyle name="Normal 5 4 2 2 2 8 2" xfId="18467" xr:uid="{F1BE86F5-A754-4AEA-9E63-68D98E52A197}"/>
    <cellStyle name="Normal 5 4 2 2 2 9" xfId="9940" xr:uid="{6F46AD79-15DE-4865-9C7E-133229B7451F}"/>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16714" xr:uid="{F9D8BD6A-A660-4FDF-B3FD-21B41468E21A}"/>
    <cellStyle name="Normal 5 4 2 2 3 2 3" xfId="12497" xr:uid="{990C7F5B-8613-43EC-B403-BB3176EF76A0}"/>
    <cellStyle name="Normal 5 4 2 2 3 3" xfId="5243" xr:uid="{00000000-0005-0000-0000-0000C71A0000}"/>
    <cellStyle name="Normal 5 4 2 2 3 3 2" xfId="14569" xr:uid="{FFA3F6D2-3020-48B6-81DA-295864BECB6F}"/>
    <cellStyle name="Normal 5 4 2 2 3 4" xfId="9361" xr:uid="{421F0FC8-8E8F-498F-BD31-B00CB58D5B43}"/>
    <cellStyle name="Normal 5 4 2 2 3 4 2" xfId="18676" xr:uid="{937355DE-A4A2-4502-8134-58643BCD1617}"/>
    <cellStyle name="Normal 5 4 2 2 3 5" xfId="10352" xr:uid="{4E06C949-9E76-41DE-9815-C9EFE3379DEA}"/>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17127" xr:uid="{F706C997-C7AE-4C0D-AA28-A1C20486E003}"/>
    <cellStyle name="Normal 5 4 2 2 4 2 3" xfId="12910" xr:uid="{0FD9AC04-D7C1-4CDF-B4DB-1AD12835FA53}"/>
    <cellStyle name="Normal 5 4 2 2 4 3" xfId="5656" xr:uid="{00000000-0005-0000-0000-0000CB1A0000}"/>
    <cellStyle name="Normal 5 4 2 2 4 3 2" xfId="14982" xr:uid="{1D55793C-2205-4A86-9F8D-D9B6EB2A25C7}"/>
    <cellStyle name="Normal 5 4 2 2 4 4" xfId="10765" xr:uid="{CBF93ECC-38E6-4C39-ADF4-77279C9C1697}"/>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17540" xr:uid="{A797BC0F-A7A7-4AD4-8632-39EF61DCB5FE}"/>
    <cellStyle name="Normal 5 4 2 2 5 2 3" xfId="13323" xr:uid="{4DE08F4D-4A18-4A20-83B9-27E7EB3214D5}"/>
    <cellStyle name="Normal 5 4 2 2 5 3" xfId="6069" xr:uid="{00000000-0005-0000-0000-0000CF1A0000}"/>
    <cellStyle name="Normal 5 4 2 2 5 3 2" xfId="15395" xr:uid="{AB4AE682-E819-4128-AD3D-DC4D857B1DAD}"/>
    <cellStyle name="Normal 5 4 2 2 5 4" xfId="11178" xr:uid="{2AEA994C-379F-477B-A45D-76C058E3E0BF}"/>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17953" xr:uid="{544EB5F8-7E20-4AD3-BD3F-7D94E4E9865F}"/>
    <cellStyle name="Normal 5 4 2 2 6 2 3" xfId="13736" xr:uid="{BC03D50B-6C42-44A2-9A34-016090DA3CA6}"/>
    <cellStyle name="Normal 5 4 2 2 6 3" xfId="6482" xr:uid="{00000000-0005-0000-0000-0000D31A0000}"/>
    <cellStyle name="Normal 5 4 2 2 6 3 2" xfId="15808" xr:uid="{7F0CBDB0-B11B-4474-9630-319520CBDD29}"/>
    <cellStyle name="Normal 5 4 2 2 6 4" xfId="11591" xr:uid="{E2CDB725-CE73-4681-A324-563AECEAC91C}"/>
    <cellStyle name="Normal 5 4 2 2 7" xfId="2612" xr:uid="{00000000-0005-0000-0000-0000D41A0000}"/>
    <cellStyle name="Normal 5 4 2 2 7 2" xfId="6895" xr:uid="{00000000-0005-0000-0000-0000D51A0000}"/>
    <cellStyle name="Normal 5 4 2 2 7 2 2" xfId="16221" xr:uid="{6E16514F-8CB8-4B64-83CC-1C0F65D911C5}"/>
    <cellStyle name="Normal 5 4 2 2 7 3" xfId="12004" xr:uid="{E9E6132C-BA03-44AC-A3F6-B8A1B7509855}"/>
    <cellStyle name="Normal 5 4 2 2 8" xfId="4830" xr:uid="{00000000-0005-0000-0000-0000D61A0000}"/>
    <cellStyle name="Normal 5 4 2 2 8 2" xfId="14156" xr:uid="{6E3CD815-1FF6-4293-BAC3-7B269457DDB4}"/>
    <cellStyle name="Normal 5 4 2 2 9" xfId="8936" xr:uid="{31CF7A09-919D-40D2-B5FD-098CEA44D314}"/>
    <cellStyle name="Normal 5 4 2 2 9 2" xfId="18260" xr:uid="{0C4AC5C5-1774-4BD5-8E90-E7549306D8AF}"/>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16716" xr:uid="{F884CAAC-E11A-4E73-B088-1120DFD5F377}"/>
    <cellStyle name="Normal 5 4 2 3 2 2 3" xfId="12499" xr:uid="{DE6B5DDA-D4A3-4E08-85FF-0AC7D8A3110D}"/>
    <cellStyle name="Normal 5 4 2 3 2 3" xfId="5245" xr:uid="{00000000-0005-0000-0000-0000DB1A0000}"/>
    <cellStyle name="Normal 5 4 2 3 2 3 2" xfId="14571" xr:uid="{CC92D11A-B9B7-414D-A9D7-66CB37FE81D2}"/>
    <cellStyle name="Normal 5 4 2 3 2 4" xfId="9465" xr:uid="{B8459C73-266B-467B-A163-FFDFF015A460}"/>
    <cellStyle name="Normal 5 4 2 3 2 4 2" xfId="18780" xr:uid="{82A11FFF-BDA8-4F38-8CEA-7A8067767161}"/>
    <cellStyle name="Normal 5 4 2 3 2 5" xfId="10354" xr:uid="{1B1C29F9-B170-4AF3-A92B-866630B3EFA1}"/>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17129" xr:uid="{CD5826E8-BEFF-43C1-A37D-DDA7ED808D00}"/>
    <cellStyle name="Normal 5 4 2 3 3 2 3" xfId="12912" xr:uid="{0BF99E34-8B7D-4DCF-8B83-69383DB55070}"/>
    <cellStyle name="Normal 5 4 2 3 3 3" xfId="5658" xr:uid="{00000000-0005-0000-0000-0000DF1A0000}"/>
    <cellStyle name="Normal 5 4 2 3 3 3 2" xfId="14984" xr:uid="{BB8D5899-0927-4A4D-A9A9-2819BBFE348E}"/>
    <cellStyle name="Normal 5 4 2 3 3 4" xfId="10767" xr:uid="{CA98FD01-9F27-4FD3-A530-2ED6DCEB532B}"/>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17542" xr:uid="{8C715D81-80DB-42C9-910F-DF51304AF3A5}"/>
    <cellStyle name="Normal 5 4 2 3 4 2 3" xfId="13325" xr:uid="{7CF2DC0A-7708-4319-A8F4-494F1ED55E05}"/>
    <cellStyle name="Normal 5 4 2 3 4 3" xfId="6071" xr:uid="{00000000-0005-0000-0000-0000E31A0000}"/>
    <cellStyle name="Normal 5 4 2 3 4 3 2" xfId="15397" xr:uid="{CC4583D4-F258-476F-9039-8851A3FF17E1}"/>
    <cellStyle name="Normal 5 4 2 3 4 4" xfId="11180" xr:uid="{964A07EA-AB4D-4D80-A5FF-3168358797C1}"/>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17955" xr:uid="{963CAA1E-1745-426D-9832-C3B0389B8A9E}"/>
    <cellStyle name="Normal 5 4 2 3 5 2 3" xfId="13738" xr:uid="{76FEA7CB-F5D6-4A4E-A119-25097DB6C5D3}"/>
    <cellStyle name="Normal 5 4 2 3 5 3" xfId="6484" xr:uid="{00000000-0005-0000-0000-0000E71A0000}"/>
    <cellStyle name="Normal 5 4 2 3 5 3 2" xfId="15810" xr:uid="{8C285886-C195-4F41-B9CC-DFB14A4E563E}"/>
    <cellStyle name="Normal 5 4 2 3 5 4" xfId="11593" xr:uid="{8392BB47-B1C3-46D4-9C49-B0F201A95878}"/>
    <cellStyle name="Normal 5 4 2 3 6" xfId="2614" xr:uid="{00000000-0005-0000-0000-0000E81A0000}"/>
    <cellStyle name="Normal 5 4 2 3 6 2" xfId="6897" xr:uid="{00000000-0005-0000-0000-0000E91A0000}"/>
    <cellStyle name="Normal 5 4 2 3 6 2 2" xfId="16223" xr:uid="{2242B39C-34EB-4803-9839-0CA239272D25}"/>
    <cellStyle name="Normal 5 4 2 3 6 3" xfId="12006" xr:uid="{7A429B1B-2780-4D49-BB46-A2025F77FC76}"/>
    <cellStyle name="Normal 5 4 2 3 7" xfId="4832" xr:uid="{00000000-0005-0000-0000-0000EA1A0000}"/>
    <cellStyle name="Normal 5 4 2 3 7 2" xfId="14158" xr:uid="{0200A2DD-F449-4BA1-85D7-F8D1D95564D2}"/>
    <cellStyle name="Normal 5 4 2 3 8" xfId="9040" xr:uid="{D68CAB17-BB41-4D9B-AA76-76FE511392DC}"/>
    <cellStyle name="Normal 5 4 2 3 8 2" xfId="18364" xr:uid="{05838023-89CC-49FF-9410-238A660091B9}"/>
    <cellStyle name="Normal 5 4 2 3 9" xfId="9941" xr:uid="{CFEE0239-5C7F-48C3-BAC5-83EA0BF3674A}"/>
    <cellStyle name="Normal 5 4 2 4" xfId="931" xr:uid="{00000000-0005-0000-0000-0000EB1A0000}"/>
    <cellStyle name="Normal 5 4 2 4 2" xfId="3165" xr:uid="{00000000-0005-0000-0000-0000EC1A0000}"/>
    <cellStyle name="Normal 5 4 2 4 2 2" xfId="7387" xr:uid="{00000000-0005-0000-0000-0000ED1A0000}"/>
    <cellStyle name="Normal 5 4 2 4 2 2 2" xfId="16713" xr:uid="{5C77B5A7-3244-4B8A-BEB6-BEB53557F010}"/>
    <cellStyle name="Normal 5 4 2 4 2 3" xfId="12496" xr:uid="{569A31ED-46FE-4E9E-8A71-C7159156BF77}"/>
    <cellStyle name="Normal 5 4 2 4 3" xfId="5242" xr:uid="{00000000-0005-0000-0000-0000EE1A0000}"/>
    <cellStyle name="Normal 5 4 2 4 3 2" xfId="14568" xr:uid="{D999B925-082B-4AAF-87B8-2B392435EA28}"/>
    <cellStyle name="Normal 5 4 2 4 4" xfId="9258" xr:uid="{971C48A9-8200-405B-A9BE-B3AFD2CDDA76}"/>
    <cellStyle name="Normal 5 4 2 4 4 2" xfId="18573" xr:uid="{9F2B905D-9F6A-4835-B4A4-7BBBD6B5671B}"/>
    <cellStyle name="Normal 5 4 2 4 5" xfId="10351" xr:uid="{8E6ECD30-3F5C-446E-B226-E225412FE57A}"/>
    <cellStyle name="Normal 5 4 2 5" xfId="1348" xr:uid="{00000000-0005-0000-0000-0000EF1A0000}"/>
    <cellStyle name="Normal 5 4 2 5 2" xfId="3578" xr:uid="{00000000-0005-0000-0000-0000F01A0000}"/>
    <cellStyle name="Normal 5 4 2 5 2 2" xfId="7800" xr:uid="{00000000-0005-0000-0000-0000F11A0000}"/>
    <cellStyle name="Normal 5 4 2 5 2 2 2" xfId="17126" xr:uid="{D7747FD0-B391-4217-8B2D-BAD68B17AE7D}"/>
    <cellStyle name="Normal 5 4 2 5 2 3" xfId="12909" xr:uid="{2D562697-10E4-4CDE-A213-783E75247793}"/>
    <cellStyle name="Normal 5 4 2 5 3" xfId="5655" xr:uid="{00000000-0005-0000-0000-0000F21A0000}"/>
    <cellStyle name="Normal 5 4 2 5 3 2" xfId="14981" xr:uid="{A082B900-7E9E-4FDB-8B18-6D866CD4F113}"/>
    <cellStyle name="Normal 5 4 2 5 4" xfId="10764" xr:uid="{22C30277-DB31-45D1-9CBF-7488E1BFD094}"/>
    <cellStyle name="Normal 5 4 2 6" xfId="1761" xr:uid="{00000000-0005-0000-0000-0000F31A0000}"/>
    <cellStyle name="Normal 5 4 2 6 2" xfId="3991" xr:uid="{00000000-0005-0000-0000-0000F41A0000}"/>
    <cellStyle name="Normal 5 4 2 6 2 2" xfId="8213" xr:uid="{00000000-0005-0000-0000-0000F51A0000}"/>
    <cellStyle name="Normal 5 4 2 6 2 2 2" xfId="17539" xr:uid="{E70B002F-9D1E-4DD2-8354-7ACAB515F0ED}"/>
    <cellStyle name="Normal 5 4 2 6 2 3" xfId="13322" xr:uid="{48147E2C-95DF-4994-9480-6581D498A531}"/>
    <cellStyle name="Normal 5 4 2 6 3" xfId="6068" xr:uid="{00000000-0005-0000-0000-0000F61A0000}"/>
    <cellStyle name="Normal 5 4 2 6 3 2" xfId="15394" xr:uid="{2F6C5709-6EDE-4080-9BEB-D8BE0E3FE6E8}"/>
    <cellStyle name="Normal 5 4 2 6 4" xfId="11177" xr:uid="{C6B3EAB9-3792-45FB-8264-E71FA1CE7225}"/>
    <cellStyle name="Normal 5 4 2 7" xfId="2175" xr:uid="{00000000-0005-0000-0000-0000F71A0000}"/>
    <cellStyle name="Normal 5 4 2 7 2" xfId="4404" xr:uid="{00000000-0005-0000-0000-0000F81A0000}"/>
    <cellStyle name="Normal 5 4 2 7 2 2" xfId="8626" xr:uid="{00000000-0005-0000-0000-0000F91A0000}"/>
    <cellStyle name="Normal 5 4 2 7 2 2 2" xfId="17952" xr:uid="{7C208BE5-0F69-47E4-BB76-E346323D041B}"/>
    <cellStyle name="Normal 5 4 2 7 2 3" xfId="13735" xr:uid="{C221430C-C419-41CC-BE6B-45580DEE39BB}"/>
    <cellStyle name="Normal 5 4 2 7 3" xfId="6481" xr:uid="{00000000-0005-0000-0000-0000FA1A0000}"/>
    <cellStyle name="Normal 5 4 2 7 3 2" xfId="15807" xr:uid="{E4A1697C-C7A0-4A2B-926F-5E328C7702CC}"/>
    <cellStyle name="Normal 5 4 2 7 4" xfId="11590" xr:uid="{484BFAD6-4263-403C-8DD0-302CAF24F3A2}"/>
    <cellStyle name="Normal 5 4 2 8" xfId="2611" xr:uid="{00000000-0005-0000-0000-0000FB1A0000}"/>
    <cellStyle name="Normal 5 4 2 8 2" xfId="6894" xr:uid="{00000000-0005-0000-0000-0000FC1A0000}"/>
    <cellStyle name="Normal 5 4 2 8 2 2" xfId="16220" xr:uid="{BA26A253-543D-4276-A70B-4E4EF7096034}"/>
    <cellStyle name="Normal 5 4 2 8 3" xfId="12003" xr:uid="{874C11A7-1CB8-4838-8354-08629EE6F477}"/>
    <cellStyle name="Normal 5 4 2 9" xfId="4829" xr:uid="{00000000-0005-0000-0000-0000FD1A0000}"/>
    <cellStyle name="Normal 5 4 2 9 2" xfId="14155" xr:uid="{A82BCC1C-13E8-4755-A3D4-63A4B2F959C7}"/>
    <cellStyle name="Normal 5 4 3" xfId="461" xr:uid="{00000000-0005-0000-0000-0000FE1A0000}"/>
    <cellStyle name="Normal 5 4 3 10" xfId="9942" xr:uid="{CA52D1A1-B456-42DE-B729-1875E778674D}"/>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16718" xr:uid="{0B68F8FA-897B-4537-BF15-5A3982562658}"/>
    <cellStyle name="Normal 5 4 3 2 2 2 3" xfId="12501" xr:uid="{C842E714-4F3B-4A05-BF26-EB277DCE43FF}"/>
    <cellStyle name="Normal 5 4 3 2 2 3" xfId="5247" xr:uid="{00000000-0005-0000-0000-0000031B0000}"/>
    <cellStyle name="Normal 5 4 3 2 2 3 2" xfId="14573" xr:uid="{CF4FB8BF-7101-470F-9AA9-48004028B3C0}"/>
    <cellStyle name="Normal 5 4 3 2 2 4" xfId="9508" xr:uid="{1F9B5A8F-2A45-43C5-9422-E8BC84424A55}"/>
    <cellStyle name="Normal 5 4 3 2 2 4 2" xfId="18823" xr:uid="{CE274B5A-B17A-4C84-A243-4C88984F1396}"/>
    <cellStyle name="Normal 5 4 3 2 2 5" xfId="10356" xr:uid="{91D142A7-8BD8-4850-8178-4F706DB9BFA0}"/>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17131" xr:uid="{1E99D356-D7A6-4EC6-81D9-4210CDB2BB9D}"/>
    <cellStyle name="Normal 5 4 3 2 3 2 3" xfId="12914" xr:uid="{E3610FB6-4500-4B1E-9DED-88123E9080B8}"/>
    <cellStyle name="Normal 5 4 3 2 3 3" xfId="5660" xr:uid="{00000000-0005-0000-0000-0000071B0000}"/>
    <cellStyle name="Normal 5 4 3 2 3 3 2" xfId="14986" xr:uid="{1B655CA8-B6A2-4BBE-8A0B-48BC38BDD071}"/>
    <cellStyle name="Normal 5 4 3 2 3 4" xfId="10769" xr:uid="{6C394ECB-DEAE-4F89-B312-DF0C1909C633}"/>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17544" xr:uid="{549944B6-EBD6-4181-9CC2-7949096FC488}"/>
    <cellStyle name="Normal 5 4 3 2 4 2 3" xfId="13327" xr:uid="{176E7A13-3E3C-4230-888A-7A361975D95D}"/>
    <cellStyle name="Normal 5 4 3 2 4 3" xfId="6073" xr:uid="{00000000-0005-0000-0000-00000B1B0000}"/>
    <cellStyle name="Normal 5 4 3 2 4 3 2" xfId="15399" xr:uid="{7204CE76-CA3B-48CB-BDFC-B41A51A0110C}"/>
    <cellStyle name="Normal 5 4 3 2 4 4" xfId="11182" xr:uid="{70375D39-2699-4313-B870-52AC394D37C8}"/>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17957" xr:uid="{CD2B7F7D-DF5C-44E2-AB76-B7F1ED37C5DE}"/>
    <cellStyle name="Normal 5 4 3 2 5 2 3" xfId="13740" xr:uid="{879EBD1E-8926-426F-9190-43E383EF093B}"/>
    <cellStyle name="Normal 5 4 3 2 5 3" xfId="6486" xr:uid="{00000000-0005-0000-0000-00000F1B0000}"/>
    <cellStyle name="Normal 5 4 3 2 5 3 2" xfId="15812" xr:uid="{6C27FAD7-950F-459E-89AA-A18FFF70CF80}"/>
    <cellStyle name="Normal 5 4 3 2 5 4" xfId="11595" xr:uid="{5CDB44EF-D28B-479F-B448-FA95B2B535C1}"/>
    <cellStyle name="Normal 5 4 3 2 6" xfId="2616" xr:uid="{00000000-0005-0000-0000-0000101B0000}"/>
    <cellStyle name="Normal 5 4 3 2 6 2" xfId="6899" xr:uid="{00000000-0005-0000-0000-0000111B0000}"/>
    <cellStyle name="Normal 5 4 3 2 6 2 2" xfId="16225" xr:uid="{B8C8E22C-535B-4868-8165-E1EB6FC0942B}"/>
    <cellStyle name="Normal 5 4 3 2 6 3" xfId="12008" xr:uid="{A9FC4384-F4C0-4AE2-83F2-2D503DE0815C}"/>
    <cellStyle name="Normal 5 4 3 2 7" xfId="4834" xr:uid="{00000000-0005-0000-0000-0000121B0000}"/>
    <cellStyle name="Normal 5 4 3 2 7 2" xfId="14160" xr:uid="{194A4ABD-C018-476F-B4CA-6929A881D406}"/>
    <cellStyle name="Normal 5 4 3 2 8" xfId="9083" xr:uid="{206384C8-6AD8-4D28-8F99-3033A80D68FC}"/>
    <cellStyle name="Normal 5 4 3 2 8 2" xfId="18407" xr:uid="{F7BF411B-AC40-4822-8715-C21695AAA1B0}"/>
    <cellStyle name="Normal 5 4 3 2 9" xfId="9943" xr:uid="{5775FA18-9F94-4BA5-A8D7-5021F8E29979}"/>
    <cellStyle name="Normal 5 4 3 3" xfId="935" xr:uid="{00000000-0005-0000-0000-0000131B0000}"/>
    <cellStyle name="Normal 5 4 3 3 2" xfId="3169" xr:uid="{00000000-0005-0000-0000-0000141B0000}"/>
    <cellStyle name="Normal 5 4 3 3 2 2" xfId="7391" xr:uid="{00000000-0005-0000-0000-0000151B0000}"/>
    <cellStyle name="Normal 5 4 3 3 2 2 2" xfId="16717" xr:uid="{F37F7406-07A3-4AFC-B906-1DDBE3675485}"/>
    <cellStyle name="Normal 5 4 3 3 2 3" xfId="12500" xr:uid="{F40E2624-7690-44D7-A561-4EA5C952D6E1}"/>
    <cellStyle name="Normal 5 4 3 3 3" xfId="5246" xr:uid="{00000000-0005-0000-0000-0000161B0000}"/>
    <cellStyle name="Normal 5 4 3 3 3 2" xfId="14572" xr:uid="{9168D2BF-DB43-4928-A6D8-C235FEBF3F5E}"/>
    <cellStyle name="Normal 5 4 3 3 4" xfId="9301" xr:uid="{CB02BBE7-2E3D-4C67-A62E-BA84DE882039}"/>
    <cellStyle name="Normal 5 4 3 3 4 2" xfId="18616" xr:uid="{6748B305-6D96-4D56-B593-7FB97E99AEB1}"/>
    <cellStyle name="Normal 5 4 3 3 5" xfId="10355" xr:uid="{9D0B9090-D6E4-4F8B-B155-C6CD485DAB68}"/>
    <cellStyle name="Normal 5 4 3 4" xfId="1352" xr:uid="{00000000-0005-0000-0000-0000171B0000}"/>
    <cellStyle name="Normal 5 4 3 4 2" xfId="3582" xr:uid="{00000000-0005-0000-0000-0000181B0000}"/>
    <cellStyle name="Normal 5 4 3 4 2 2" xfId="7804" xr:uid="{00000000-0005-0000-0000-0000191B0000}"/>
    <cellStyle name="Normal 5 4 3 4 2 2 2" xfId="17130" xr:uid="{95882ED4-8435-4AFB-A5CD-07B51AD65060}"/>
    <cellStyle name="Normal 5 4 3 4 2 3" xfId="12913" xr:uid="{E9CBF4E8-E3AD-4469-A437-7AD9575C3838}"/>
    <cellStyle name="Normal 5 4 3 4 3" xfId="5659" xr:uid="{00000000-0005-0000-0000-00001A1B0000}"/>
    <cellStyle name="Normal 5 4 3 4 3 2" xfId="14985" xr:uid="{B7159EDE-0031-4FA6-9FF7-788452068D07}"/>
    <cellStyle name="Normal 5 4 3 4 4" xfId="10768" xr:uid="{6073E8B0-CE4B-4D0B-815F-91929C5B8EAD}"/>
    <cellStyle name="Normal 5 4 3 5" xfId="1765" xr:uid="{00000000-0005-0000-0000-00001B1B0000}"/>
    <cellStyle name="Normal 5 4 3 5 2" xfId="3995" xr:uid="{00000000-0005-0000-0000-00001C1B0000}"/>
    <cellStyle name="Normal 5 4 3 5 2 2" xfId="8217" xr:uid="{00000000-0005-0000-0000-00001D1B0000}"/>
    <cellStyle name="Normal 5 4 3 5 2 2 2" xfId="17543" xr:uid="{768DECBD-3DF9-4B12-B40C-E5DDA6258993}"/>
    <cellStyle name="Normal 5 4 3 5 2 3" xfId="13326" xr:uid="{FB3DEA6E-EF6E-45F5-80FE-A7BFB9D8B3E7}"/>
    <cellStyle name="Normal 5 4 3 5 3" xfId="6072" xr:uid="{00000000-0005-0000-0000-00001E1B0000}"/>
    <cellStyle name="Normal 5 4 3 5 3 2" xfId="15398" xr:uid="{22790F5B-B76E-4729-81E3-FC187FB2CE5B}"/>
    <cellStyle name="Normal 5 4 3 5 4" xfId="11181" xr:uid="{6F614A85-4DE2-4FB7-9BC3-2DF8505336B2}"/>
    <cellStyle name="Normal 5 4 3 6" xfId="2179" xr:uid="{00000000-0005-0000-0000-00001F1B0000}"/>
    <cellStyle name="Normal 5 4 3 6 2" xfId="4408" xr:uid="{00000000-0005-0000-0000-0000201B0000}"/>
    <cellStyle name="Normal 5 4 3 6 2 2" xfId="8630" xr:uid="{00000000-0005-0000-0000-0000211B0000}"/>
    <cellStyle name="Normal 5 4 3 6 2 2 2" xfId="17956" xr:uid="{63AD5265-917D-4404-80F1-A5760E44CCD6}"/>
    <cellStyle name="Normal 5 4 3 6 2 3" xfId="13739" xr:uid="{14732D09-50A2-4AA5-BDD4-0F71B47D2790}"/>
    <cellStyle name="Normal 5 4 3 6 3" xfId="6485" xr:uid="{00000000-0005-0000-0000-0000221B0000}"/>
    <cellStyle name="Normal 5 4 3 6 3 2" xfId="15811" xr:uid="{20C2C684-8000-404A-9774-7AB42BB03DE1}"/>
    <cellStyle name="Normal 5 4 3 6 4" xfId="11594" xr:uid="{65432078-F2F2-4847-8C4E-FD4754971F80}"/>
    <cellStyle name="Normal 5 4 3 7" xfId="2615" xr:uid="{00000000-0005-0000-0000-0000231B0000}"/>
    <cellStyle name="Normal 5 4 3 7 2" xfId="6898" xr:uid="{00000000-0005-0000-0000-0000241B0000}"/>
    <cellStyle name="Normal 5 4 3 7 2 2" xfId="16224" xr:uid="{8C60FDAB-6E22-4408-8288-C749EAD6D8BD}"/>
    <cellStyle name="Normal 5 4 3 7 3" xfId="12007" xr:uid="{D85F0B59-CC72-4D70-AC14-B3210CA902E9}"/>
    <cellStyle name="Normal 5 4 3 8" xfId="4833" xr:uid="{00000000-0005-0000-0000-0000251B0000}"/>
    <cellStyle name="Normal 5 4 3 8 2" xfId="14159" xr:uid="{92B957BA-77CD-4A5A-8C56-83CB4E84A1B1}"/>
    <cellStyle name="Normal 5 4 3 9" xfId="8876" xr:uid="{D636A598-175F-46A4-8005-1A20EC6CCEC9}"/>
    <cellStyle name="Normal 5 4 3 9 2" xfId="18200" xr:uid="{BAA22226-1810-4699-AB18-3CDC0AFAB74B}"/>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2 2 2" xfId="16719" xr:uid="{254B608C-5F0E-4A7A-A715-FD98469F2292}"/>
    <cellStyle name="Normal 5 4 4 2 2 3" xfId="12502" xr:uid="{70A41322-D759-493C-BA21-51159CD49ED0}"/>
    <cellStyle name="Normal 5 4 4 2 3" xfId="5248" xr:uid="{00000000-0005-0000-0000-00002A1B0000}"/>
    <cellStyle name="Normal 5 4 4 2 3 2" xfId="14574" xr:uid="{ED74B360-EFD0-476E-A332-E3289440063A}"/>
    <cellStyle name="Normal 5 4 4 2 4" xfId="9405" xr:uid="{F05DE0DC-A0AA-4CEB-9ABC-0D70F781B819}"/>
    <cellStyle name="Normal 5 4 4 2 4 2" xfId="18720" xr:uid="{B96E3381-E36C-4A02-A944-53CCED4DF498}"/>
    <cellStyle name="Normal 5 4 4 2 5" xfId="10357" xr:uid="{A3DC9AC8-0A0A-4D1A-98C9-5AB6439C5AC5}"/>
    <cellStyle name="Normal 5 4 4 3" xfId="1354" xr:uid="{00000000-0005-0000-0000-00002B1B0000}"/>
    <cellStyle name="Normal 5 4 4 3 2" xfId="3584" xr:uid="{00000000-0005-0000-0000-00002C1B0000}"/>
    <cellStyle name="Normal 5 4 4 3 2 2" xfId="7806" xr:uid="{00000000-0005-0000-0000-00002D1B0000}"/>
    <cellStyle name="Normal 5 4 4 3 2 2 2" xfId="17132" xr:uid="{C157B8EE-1B3B-40DD-BC27-8087E8796A96}"/>
    <cellStyle name="Normal 5 4 4 3 2 3" xfId="12915" xr:uid="{BDF31FE4-4EA3-4321-9066-D6703D4243EF}"/>
    <cellStyle name="Normal 5 4 4 3 3" xfId="5661" xr:uid="{00000000-0005-0000-0000-00002E1B0000}"/>
    <cellStyle name="Normal 5 4 4 3 3 2" xfId="14987" xr:uid="{1557DB00-ED6B-401E-B712-C8FB3568CF76}"/>
    <cellStyle name="Normal 5 4 4 3 4" xfId="10770" xr:uid="{34C2A8A6-9407-4FEA-A5C3-C0AA0BCD9FC8}"/>
    <cellStyle name="Normal 5 4 4 4" xfId="1767" xr:uid="{00000000-0005-0000-0000-00002F1B0000}"/>
    <cellStyle name="Normal 5 4 4 4 2" xfId="3997" xr:uid="{00000000-0005-0000-0000-0000301B0000}"/>
    <cellStyle name="Normal 5 4 4 4 2 2" xfId="8219" xr:uid="{00000000-0005-0000-0000-0000311B0000}"/>
    <cellStyle name="Normal 5 4 4 4 2 2 2" xfId="17545" xr:uid="{CCE9D117-C796-4CF9-AA2B-0B70E8655155}"/>
    <cellStyle name="Normal 5 4 4 4 2 3" xfId="13328" xr:uid="{D3504BEF-6684-4417-BB67-46CA2DEDB0FB}"/>
    <cellStyle name="Normal 5 4 4 4 3" xfId="6074" xr:uid="{00000000-0005-0000-0000-0000321B0000}"/>
    <cellStyle name="Normal 5 4 4 4 3 2" xfId="15400" xr:uid="{A9EB8BDA-9ECD-43EB-80EF-892F80FAEEDC}"/>
    <cellStyle name="Normal 5 4 4 4 4" xfId="11183" xr:uid="{7F4B1282-3994-424C-9203-C9F95B9FB376}"/>
    <cellStyle name="Normal 5 4 4 5" xfId="2181" xr:uid="{00000000-0005-0000-0000-0000331B0000}"/>
    <cellStyle name="Normal 5 4 4 5 2" xfId="4410" xr:uid="{00000000-0005-0000-0000-0000341B0000}"/>
    <cellStyle name="Normal 5 4 4 5 2 2" xfId="8632" xr:uid="{00000000-0005-0000-0000-0000351B0000}"/>
    <cellStyle name="Normal 5 4 4 5 2 2 2" xfId="17958" xr:uid="{3F32570F-B353-45E4-8447-056F07330FB6}"/>
    <cellStyle name="Normal 5 4 4 5 2 3" xfId="13741" xr:uid="{DAD8E9E6-8566-479B-BDD1-650FB9D4CF6D}"/>
    <cellStyle name="Normal 5 4 4 5 3" xfId="6487" xr:uid="{00000000-0005-0000-0000-0000361B0000}"/>
    <cellStyle name="Normal 5 4 4 5 3 2" xfId="15813" xr:uid="{93B583BC-8826-42D5-BE35-64DCB330AB54}"/>
    <cellStyle name="Normal 5 4 4 5 4" xfId="11596" xr:uid="{7F703369-B97D-4EAD-8D1E-D3DE00B393C9}"/>
    <cellStyle name="Normal 5 4 4 6" xfId="2617" xr:uid="{00000000-0005-0000-0000-0000371B0000}"/>
    <cellStyle name="Normal 5 4 4 6 2" xfId="6900" xr:uid="{00000000-0005-0000-0000-0000381B0000}"/>
    <cellStyle name="Normal 5 4 4 6 2 2" xfId="16226" xr:uid="{E0B05065-99F9-4197-8753-4B42D2DCCC01}"/>
    <cellStyle name="Normal 5 4 4 6 3" xfId="12009" xr:uid="{FD0A698A-685A-4E20-A33A-5BA67BA33911}"/>
    <cellStyle name="Normal 5 4 4 7" xfId="4835" xr:uid="{00000000-0005-0000-0000-0000391B0000}"/>
    <cellStyle name="Normal 5 4 4 7 2" xfId="14161" xr:uid="{3B440832-2445-4EA4-80CA-9D1CDF79903B}"/>
    <cellStyle name="Normal 5 4 4 8" xfId="8980" xr:uid="{B1DB48A4-94CB-4CC2-8D4B-8FD478363D48}"/>
    <cellStyle name="Normal 5 4 4 8 2" xfId="18304" xr:uid="{01C1E46A-11F4-475F-B9C9-5526CE3F134E}"/>
    <cellStyle name="Normal 5 4 4 9" xfId="9944" xr:uid="{2ADAA33B-DBD7-47FF-8A5D-F1F372C484BF}"/>
    <cellStyle name="Normal 5 4 5" xfId="930" xr:uid="{00000000-0005-0000-0000-00003A1B0000}"/>
    <cellStyle name="Normal 5 4 5 2" xfId="3164" xr:uid="{00000000-0005-0000-0000-00003B1B0000}"/>
    <cellStyle name="Normal 5 4 5 2 2" xfId="7386" xr:uid="{00000000-0005-0000-0000-00003C1B0000}"/>
    <cellStyle name="Normal 5 4 5 2 2 2" xfId="16712" xr:uid="{4225163B-4839-4EC9-AE0B-1D851137735C}"/>
    <cellStyle name="Normal 5 4 5 2 3" xfId="12495" xr:uid="{5217C349-DE4C-438C-97EA-AC9D1E79C97C}"/>
    <cellStyle name="Normal 5 4 5 3" xfId="5241" xr:uid="{00000000-0005-0000-0000-00003D1B0000}"/>
    <cellStyle name="Normal 5 4 5 3 2" xfId="14567" xr:uid="{69D16545-0E84-470E-8021-99AB3597F732}"/>
    <cellStyle name="Normal 5 4 5 4" xfId="9197" xr:uid="{44FF0EFB-444B-4C40-B695-8C256ADB5563}"/>
    <cellStyle name="Normal 5 4 5 4 2" xfId="18513" xr:uid="{026FEB1E-4E6F-457C-8B43-6E8A9042DD28}"/>
    <cellStyle name="Normal 5 4 5 5" xfId="10350" xr:uid="{7EE60F90-3BAF-4D1A-AD07-92A1FC9645E6}"/>
    <cellStyle name="Normal 5 4 6" xfId="1347" xr:uid="{00000000-0005-0000-0000-00003E1B0000}"/>
    <cellStyle name="Normal 5 4 6 2" xfId="3577" xr:uid="{00000000-0005-0000-0000-00003F1B0000}"/>
    <cellStyle name="Normal 5 4 6 2 2" xfId="7799" xr:uid="{00000000-0005-0000-0000-0000401B0000}"/>
    <cellStyle name="Normal 5 4 6 2 2 2" xfId="17125" xr:uid="{09582123-287C-4514-BAE8-01A3C3DCEC4E}"/>
    <cellStyle name="Normal 5 4 6 2 3" xfId="12908" xr:uid="{C46634D7-DC57-4F72-83FE-013D738784E5}"/>
    <cellStyle name="Normal 5 4 6 3" xfId="5654" xr:uid="{00000000-0005-0000-0000-0000411B0000}"/>
    <cellStyle name="Normal 5 4 6 3 2" xfId="14980" xr:uid="{E71E442A-085F-41B3-B957-D13E6B1BEB25}"/>
    <cellStyle name="Normal 5 4 6 4" xfId="10763" xr:uid="{6CA2B877-8ADF-40FD-90D1-A5F2293367F9}"/>
    <cellStyle name="Normal 5 4 7" xfId="1760" xr:uid="{00000000-0005-0000-0000-0000421B0000}"/>
    <cellStyle name="Normal 5 4 7 2" xfId="3990" xr:uid="{00000000-0005-0000-0000-0000431B0000}"/>
    <cellStyle name="Normal 5 4 7 2 2" xfId="8212" xr:uid="{00000000-0005-0000-0000-0000441B0000}"/>
    <cellStyle name="Normal 5 4 7 2 2 2" xfId="17538" xr:uid="{DDB16AD4-BE5A-4F21-A980-D3BEA311149F}"/>
    <cellStyle name="Normal 5 4 7 2 3" xfId="13321" xr:uid="{B458DDD3-0BBB-4F3A-B892-7EE2B83BFFC4}"/>
    <cellStyle name="Normal 5 4 7 3" xfId="6067" xr:uid="{00000000-0005-0000-0000-0000451B0000}"/>
    <cellStyle name="Normal 5 4 7 3 2" xfId="15393" xr:uid="{2EF1F43D-2BAF-4099-B5AC-1D0171E0D038}"/>
    <cellStyle name="Normal 5 4 7 4" xfId="11176" xr:uid="{A82E6C52-B81D-4F7F-BA35-A9C07F189D3F}"/>
    <cellStyle name="Normal 5 4 8" xfId="2174" xr:uid="{00000000-0005-0000-0000-0000461B0000}"/>
    <cellStyle name="Normal 5 4 8 2" xfId="4403" xr:uid="{00000000-0005-0000-0000-0000471B0000}"/>
    <cellStyle name="Normal 5 4 8 2 2" xfId="8625" xr:uid="{00000000-0005-0000-0000-0000481B0000}"/>
    <cellStyle name="Normal 5 4 8 2 2 2" xfId="17951" xr:uid="{9D529E1C-61D7-46C4-823D-F78F869584C3}"/>
    <cellStyle name="Normal 5 4 8 2 3" xfId="13734" xr:uid="{030600BF-3199-4B20-A871-2B10D9109455}"/>
    <cellStyle name="Normal 5 4 8 3" xfId="6480" xr:uid="{00000000-0005-0000-0000-0000491B0000}"/>
    <cellStyle name="Normal 5 4 8 3 2" xfId="15806" xr:uid="{E9A43AB4-73B6-4965-8641-A7E9B8857AC6}"/>
    <cellStyle name="Normal 5 4 8 4" xfId="11589" xr:uid="{BE9CE6E6-E5F4-4238-92C9-61DB27B1D0CF}"/>
    <cellStyle name="Normal 5 4 9" xfId="2610" xr:uid="{00000000-0005-0000-0000-00004A1B0000}"/>
    <cellStyle name="Normal 5 4 9 2" xfId="6893" xr:uid="{00000000-0005-0000-0000-00004B1B0000}"/>
    <cellStyle name="Normal 5 4 9 2 2" xfId="16219" xr:uid="{DE5ABCA5-A0AB-4F71-9440-949302046759}"/>
    <cellStyle name="Normal 5 4 9 3" xfId="12002" xr:uid="{2628C4E3-5F7C-4BF0-857E-7A18D89A892C}"/>
    <cellStyle name="Normal 5 5" xfId="464" xr:uid="{00000000-0005-0000-0000-00004C1B0000}"/>
    <cellStyle name="Normal 5 5 10" xfId="8826" xr:uid="{5746674A-546A-44BF-97FB-6D298BF3AD61}"/>
    <cellStyle name="Normal 5 5 10 2" xfId="18150" xr:uid="{8BB15C89-E1FC-48D0-A573-D8908861686C}"/>
    <cellStyle name="Normal 5 5 11" xfId="9945" xr:uid="{CA191463-3FCC-4A0A-B153-F3E9740A7759}"/>
    <cellStyle name="Normal 5 5 2" xfId="465" xr:uid="{00000000-0005-0000-0000-00004D1B0000}"/>
    <cellStyle name="Normal 5 5 2 10" xfId="9946" xr:uid="{5F4AE316-BD1F-4183-B3CF-046EC81C15F4}"/>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16722" xr:uid="{432EE714-B81D-40D9-A8B4-B5958265F79C}"/>
    <cellStyle name="Normal 5 5 2 2 2 2 3" xfId="12505" xr:uid="{CEC93DD8-F05D-4BA9-9095-0388455109D8}"/>
    <cellStyle name="Normal 5 5 2 2 2 3" xfId="5251" xr:uid="{00000000-0005-0000-0000-0000521B0000}"/>
    <cellStyle name="Normal 5 5 2 2 2 3 2" xfId="14577" xr:uid="{330818E0-B29C-423C-9D11-BF986F8F169C}"/>
    <cellStyle name="Normal 5 5 2 2 2 4" xfId="9561" xr:uid="{FF1EB4DD-E23E-4228-816B-D59B021F724D}"/>
    <cellStyle name="Normal 5 5 2 2 2 4 2" xfId="18876" xr:uid="{127590D2-99AC-4265-84A6-F6342E2536D9}"/>
    <cellStyle name="Normal 5 5 2 2 2 5" xfId="10360" xr:uid="{1BFDD271-5A8F-496E-9C7C-D2F301EC0FF0}"/>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17135" xr:uid="{A645369E-3416-423E-A125-DCCE6793DE66}"/>
    <cellStyle name="Normal 5 5 2 2 3 2 3" xfId="12918" xr:uid="{8590A41F-196F-45B1-A60F-1FC183CCD0B9}"/>
    <cellStyle name="Normal 5 5 2 2 3 3" xfId="5664" xr:uid="{00000000-0005-0000-0000-0000561B0000}"/>
    <cellStyle name="Normal 5 5 2 2 3 3 2" xfId="14990" xr:uid="{2E2343C5-D46C-4237-BFC4-A74F584F3BBD}"/>
    <cellStyle name="Normal 5 5 2 2 3 4" xfId="10773" xr:uid="{89A0D31B-8C35-452C-AF8A-1314CFD84C18}"/>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17548" xr:uid="{9D169FF1-74D7-4D20-80F0-D0CA5676D946}"/>
    <cellStyle name="Normal 5 5 2 2 4 2 3" xfId="13331" xr:uid="{754AD212-F816-4D18-BC89-0F0330B8BC09}"/>
    <cellStyle name="Normal 5 5 2 2 4 3" xfId="6077" xr:uid="{00000000-0005-0000-0000-00005A1B0000}"/>
    <cellStyle name="Normal 5 5 2 2 4 3 2" xfId="15403" xr:uid="{C963E71B-0166-4B8C-B916-608401AC6E05}"/>
    <cellStyle name="Normal 5 5 2 2 4 4" xfId="11186" xr:uid="{C9216A11-0C46-4D2D-B139-538425F4E90C}"/>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17961" xr:uid="{5C23AA11-8670-403F-AA94-3203D69B3BB8}"/>
    <cellStyle name="Normal 5 5 2 2 5 2 3" xfId="13744" xr:uid="{FF5BFC50-15C8-4ED9-B558-5F8419EBBC5C}"/>
    <cellStyle name="Normal 5 5 2 2 5 3" xfId="6490" xr:uid="{00000000-0005-0000-0000-00005E1B0000}"/>
    <cellStyle name="Normal 5 5 2 2 5 3 2" xfId="15816" xr:uid="{DDDA46EB-3F6F-485C-AF36-668FC379EB49}"/>
    <cellStyle name="Normal 5 5 2 2 5 4" xfId="11599" xr:uid="{B7BC7B48-11EB-4DF7-95D1-2727EF5FDDE6}"/>
    <cellStyle name="Normal 5 5 2 2 6" xfId="2620" xr:uid="{00000000-0005-0000-0000-00005F1B0000}"/>
    <cellStyle name="Normal 5 5 2 2 6 2" xfId="6903" xr:uid="{00000000-0005-0000-0000-0000601B0000}"/>
    <cellStyle name="Normal 5 5 2 2 6 2 2" xfId="16229" xr:uid="{C18B8A73-78EC-4641-82FD-031688C00712}"/>
    <cellStyle name="Normal 5 5 2 2 6 3" xfId="12012" xr:uid="{176041AB-FDBD-4E0F-9D35-8435462FB3FD}"/>
    <cellStyle name="Normal 5 5 2 2 7" xfId="4838" xr:uid="{00000000-0005-0000-0000-0000611B0000}"/>
    <cellStyle name="Normal 5 5 2 2 7 2" xfId="14164" xr:uid="{4C6DA9A2-1813-419A-9076-76A34BD6FAC7}"/>
    <cellStyle name="Normal 5 5 2 2 8" xfId="9136" xr:uid="{D41453B5-3BE6-4F01-B336-45A274529844}"/>
    <cellStyle name="Normal 5 5 2 2 8 2" xfId="18460" xr:uid="{B155F141-6B59-4E2E-AA7C-0C76462F0214}"/>
    <cellStyle name="Normal 5 5 2 2 9" xfId="9947" xr:uid="{3EE57541-427E-4A6C-92EA-CE2A6285647F}"/>
    <cellStyle name="Normal 5 5 2 3" xfId="939" xr:uid="{00000000-0005-0000-0000-0000621B0000}"/>
    <cellStyle name="Normal 5 5 2 3 2" xfId="3173" xr:uid="{00000000-0005-0000-0000-0000631B0000}"/>
    <cellStyle name="Normal 5 5 2 3 2 2" xfId="7395" xr:uid="{00000000-0005-0000-0000-0000641B0000}"/>
    <cellStyle name="Normal 5 5 2 3 2 2 2" xfId="16721" xr:uid="{54762C7A-DDC1-4416-AACE-B4EE322B3D96}"/>
    <cellStyle name="Normal 5 5 2 3 2 3" xfId="12504" xr:uid="{2A126DDC-078D-404A-9174-68E6093B0217}"/>
    <cellStyle name="Normal 5 5 2 3 3" xfId="5250" xr:uid="{00000000-0005-0000-0000-0000651B0000}"/>
    <cellStyle name="Normal 5 5 2 3 3 2" xfId="14576" xr:uid="{4C4D2677-7043-4D57-9FD6-39DBCDD73C58}"/>
    <cellStyle name="Normal 5 5 2 3 4" xfId="9354" xr:uid="{3251F49D-E700-469D-9840-28045D408641}"/>
    <cellStyle name="Normal 5 5 2 3 4 2" xfId="18669" xr:uid="{7C3A4A41-E315-49C8-8D0A-F732400A4307}"/>
    <cellStyle name="Normal 5 5 2 3 5" xfId="10359" xr:uid="{BDF6ED4E-F626-43A1-9041-E9049A7D69DF}"/>
    <cellStyle name="Normal 5 5 2 4" xfId="1356" xr:uid="{00000000-0005-0000-0000-0000661B0000}"/>
    <cellStyle name="Normal 5 5 2 4 2" xfId="3586" xr:uid="{00000000-0005-0000-0000-0000671B0000}"/>
    <cellStyle name="Normal 5 5 2 4 2 2" xfId="7808" xr:uid="{00000000-0005-0000-0000-0000681B0000}"/>
    <cellStyle name="Normal 5 5 2 4 2 2 2" xfId="17134" xr:uid="{89A29963-C5EC-4449-A864-80272952CA29}"/>
    <cellStyle name="Normal 5 5 2 4 2 3" xfId="12917" xr:uid="{17139480-2894-4E1F-B4EF-65CB574F3708}"/>
    <cellStyle name="Normal 5 5 2 4 3" xfId="5663" xr:uid="{00000000-0005-0000-0000-0000691B0000}"/>
    <cellStyle name="Normal 5 5 2 4 3 2" xfId="14989" xr:uid="{AA153503-C0A6-4062-BCE7-E163B7F68594}"/>
    <cellStyle name="Normal 5 5 2 4 4" xfId="10772" xr:uid="{1632FE15-6F88-4CB1-81BB-7FE17B529A47}"/>
    <cellStyle name="Normal 5 5 2 5" xfId="1769" xr:uid="{00000000-0005-0000-0000-00006A1B0000}"/>
    <cellStyle name="Normal 5 5 2 5 2" xfId="3999" xr:uid="{00000000-0005-0000-0000-00006B1B0000}"/>
    <cellStyle name="Normal 5 5 2 5 2 2" xfId="8221" xr:uid="{00000000-0005-0000-0000-00006C1B0000}"/>
    <cellStyle name="Normal 5 5 2 5 2 2 2" xfId="17547" xr:uid="{3DE80441-90D9-48BD-9401-4C49BC746963}"/>
    <cellStyle name="Normal 5 5 2 5 2 3" xfId="13330" xr:uid="{08F109C7-CE70-4E55-A546-BF2108CE3B9D}"/>
    <cellStyle name="Normal 5 5 2 5 3" xfId="6076" xr:uid="{00000000-0005-0000-0000-00006D1B0000}"/>
    <cellStyle name="Normal 5 5 2 5 3 2" xfId="15402" xr:uid="{C900EA15-334C-48C9-AD63-A562496B0A33}"/>
    <cellStyle name="Normal 5 5 2 5 4" xfId="11185" xr:uid="{64A4C26E-11F8-4D81-8093-BF7927A9B609}"/>
    <cellStyle name="Normal 5 5 2 6" xfId="2183" xr:uid="{00000000-0005-0000-0000-00006E1B0000}"/>
    <cellStyle name="Normal 5 5 2 6 2" xfId="4412" xr:uid="{00000000-0005-0000-0000-00006F1B0000}"/>
    <cellStyle name="Normal 5 5 2 6 2 2" xfId="8634" xr:uid="{00000000-0005-0000-0000-0000701B0000}"/>
    <cellStyle name="Normal 5 5 2 6 2 2 2" xfId="17960" xr:uid="{A2529CDE-E827-4781-BC7B-96AC456E4607}"/>
    <cellStyle name="Normal 5 5 2 6 2 3" xfId="13743" xr:uid="{D2A0A5E1-B08B-49C4-816D-A6D99B97AE1E}"/>
    <cellStyle name="Normal 5 5 2 6 3" xfId="6489" xr:uid="{00000000-0005-0000-0000-0000711B0000}"/>
    <cellStyle name="Normal 5 5 2 6 3 2" xfId="15815" xr:uid="{42DBA4EF-CF9F-4384-9C85-4F020AADE9FC}"/>
    <cellStyle name="Normal 5 5 2 6 4" xfId="11598" xr:uid="{65D685BB-DAF2-4C9F-A77D-BC7C6273518F}"/>
    <cellStyle name="Normal 5 5 2 7" xfId="2619" xr:uid="{00000000-0005-0000-0000-0000721B0000}"/>
    <cellStyle name="Normal 5 5 2 7 2" xfId="6902" xr:uid="{00000000-0005-0000-0000-0000731B0000}"/>
    <cellStyle name="Normal 5 5 2 7 2 2" xfId="16228" xr:uid="{284702F9-C571-447B-9B0F-F23DA644CD53}"/>
    <cellStyle name="Normal 5 5 2 7 3" xfId="12011" xr:uid="{DF5820D2-86F9-4721-B0B6-8FC32D574022}"/>
    <cellStyle name="Normal 5 5 2 8" xfId="4837" xr:uid="{00000000-0005-0000-0000-0000741B0000}"/>
    <cellStyle name="Normal 5 5 2 8 2" xfId="14163" xr:uid="{59DCA5FB-D691-47FC-AC01-533ED6DBBD37}"/>
    <cellStyle name="Normal 5 5 2 9" xfId="8929" xr:uid="{918246BA-1946-46D4-8BAF-6DC0C4DC8AC3}"/>
    <cellStyle name="Normal 5 5 2 9 2" xfId="18253" xr:uid="{470BF812-1256-4B29-AF10-20205097473A}"/>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2 2 2" xfId="16723" xr:uid="{CE650BE7-009E-45B9-833E-C65A1B1E78B2}"/>
    <cellStyle name="Normal 5 5 3 2 2 3" xfId="12506" xr:uid="{63D3314F-3996-44F1-9001-2ADDF3756221}"/>
    <cellStyle name="Normal 5 5 3 2 3" xfId="5252" xr:uid="{00000000-0005-0000-0000-0000791B0000}"/>
    <cellStyle name="Normal 5 5 3 2 3 2" xfId="14578" xr:uid="{682B196A-6B3D-497E-87CD-52A6B2C67631}"/>
    <cellStyle name="Normal 5 5 3 2 4" xfId="9458" xr:uid="{8AD16727-CFBF-4DB5-B58F-04D48E2B564D}"/>
    <cellStyle name="Normal 5 5 3 2 4 2" xfId="18773" xr:uid="{95AB3371-175F-494F-AE88-99145B2D3F3C}"/>
    <cellStyle name="Normal 5 5 3 2 5" xfId="10361" xr:uid="{1BA60CAC-AAB3-421B-A0FB-4BBA4300E788}"/>
    <cellStyle name="Normal 5 5 3 3" xfId="1358" xr:uid="{00000000-0005-0000-0000-00007A1B0000}"/>
    <cellStyle name="Normal 5 5 3 3 2" xfId="3588" xr:uid="{00000000-0005-0000-0000-00007B1B0000}"/>
    <cellStyle name="Normal 5 5 3 3 2 2" xfId="7810" xr:uid="{00000000-0005-0000-0000-00007C1B0000}"/>
    <cellStyle name="Normal 5 5 3 3 2 2 2" xfId="17136" xr:uid="{9A7C498E-70B4-4F5D-A824-49304FC2CDB5}"/>
    <cellStyle name="Normal 5 5 3 3 2 3" xfId="12919" xr:uid="{4E0C1AF9-5AFB-468B-A615-40D6D6C7815E}"/>
    <cellStyle name="Normal 5 5 3 3 3" xfId="5665" xr:uid="{00000000-0005-0000-0000-00007D1B0000}"/>
    <cellStyle name="Normal 5 5 3 3 3 2" xfId="14991" xr:uid="{C678D604-728C-48C4-9CC4-37815BAFEA4E}"/>
    <cellStyle name="Normal 5 5 3 3 4" xfId="10774" xr:uid="{6AC49B43-2012-4A14-9803-F0AE0CC6B11A}"/>
    <cellStyle name="Normal 5 5 3 4" xfId="1771" xr:uid="{00000000-0005-0000-0000-00007E1B0000}"/>
    <cellStyle name="Normal 5 5 3 4 2" xfId="4001" xr:uid="{00000000-0005-0000-0000-00007F1B0000}"/>
    <cellStyle name="Normal 5 5 3 4 2 2" xfId="8223" xr:uid="{00000000-0005-0000-0000-0000801B0000}"/>
    <cellStyle name="Normal 5 5 3 4 2 2 2" xfId="17549" xr:uid="{1FEDEAA8-4576-4698-8C6D-B806DEF6F7D0}"/>
    <cellStyle name="Normal 5 5 3 4 2 3" xfId="13332" xr:uid="{C0D88B3D-7CD7-41CF-893A-06BBE22B2CD2}"/>
    <cellStyle name="Normal 5 5 3 4 3" xfId="6078" xr:uid="{00000000-0005-0000-0000-0000811B0000}"/>
    <cellStyle name="Normal 5 5 3 4 3 2" xfId="15404" xr:uid="{A12F303C-CA71-42E0-92B6-EE75DE2A9238}"/>
    <cellStyle name="Normal 5 5 3 4 4" xfId="11187" xr:uid="{EFB56765-02FD-4628-B971-376EF00DAC42}"/>
    <cellStyle name="Normal 5 5 3 5" xfId="2185" xr:uid="{00000000-0005-0000-0000-0000821B0000}"/>
    <cellStyle name="Normal 5 5 3 5 2" xfId="4414" xr:uid="{00000000-0005-0000-0000-0000831B0000}"/>
    <cellStyle name="Normal 5 5 3 5 2 2" xfId="8636" xr:uid="{00000000-0005-0000-0000-0000841B0000}"/>
    <cellStyle name="Normal 5 5 3 5 2 2 2" xfId="17962" xr:uid="{6582D7A2-36D4-42C1-8365-E880DE8F1EB3}"/>
    <cellStyle name="Normal 5 5 3 5 2 3" xfId="13745" xr:uid="{D6A382A9-5B87-4880-9EE6-96AA5F2239FD}"/>
    <cellStyle name="Normal 5 5 3 5 3" xfId="6491" xr:uid="{00000000-0005-0000-0000-0000851B0000}"/>
    <cellStyle name="Normal 5 5 3 5 3 2" xfId="15817" xr:uid="{0514DA7E-CFF8-47DF-9F8D-185C3B8AFD91}"/>
    <cellStyle name="Normal 5 5 3 5 4" xfId="11600" xr:uid="{F68EFAFF-34F9-44FB-9A99-2AF4D9A3789B}"/>
    <cellStyle name="Normal 5 5 3 6" xfId="2621" xr:uid="{00000000-0005-0000-0000-0000861B0000}"/>
    <cellStyle name="Normal 5 5 3 6 2" xfId="6904" xr:uid="{00000000-0005-0000-0000-0000871B0000}"/>
    <cellStyle name="Normal 5 5 3 6 2 2" xfId="16230" xr:uid="{BDC4C82D-AB2B-4551-897B-52DC65BFECAE}"/>
    <cellStyle name="Normal 5 5 3 6 3" xfId="12013" xr:uid="{06468847-E388-479F-8AC9-4D7F59813CA8}"/>
    <cellStyle name="Normal 5 5 3 7" xfId="4839" xr:uid="{00000000-0005-0000-0000-0000881B0000}"/>
    <cellStyle name="Normal 5 5 3 7 2" xfId="14165" xr:uid="{B424FDA5-A8CE-4553-AFF4-8BA494B9C874}"/>
    <cellStyle name="Normal 5 5 3 8" xfId="9033" xr:uid="{08F77EF7-8D03-42D9-B538-FE3582C4B971}"/>
    <cellStyle name="Normal 5 5 3 8 2" xfId="18357" xr:uid="{CAF1AAAB-A6E7-4D16-9938-2A0E50C9B06A}"/>
    <cellStyle name="Normal 5 5 3 9" xfId="9948" xr:uid="{F158A34C-05A9-45D0-86D4-E0EA731FD424}"/>
    <cellStyle name="Normal 5 5 4" xfId="938" xr:uid="{00000000-0005-0000-0000-0000891B0000}"/>
    <cellStyle name="Normal 5 5 4 2" xfId="3172" xr:uid="{00000000-0005-0000-0000-00008A1B0000}"/>
    <cellStyle name="Normal 5 5 4 2 2" xfId="7394" xr:uid="{00000000-0005-0000-0000-00008B1B0000}"/>
    <cellStyle name="Normal 5 5 4 2 2 2" xfId="16720" xr:uid="{BEB0156F-BA17-4AA1-997F-F90E0F654D9A}"/>
    <cellStyle name="Normal 5 5 4 2 3" xfId="12503" xr:uid="{DBEA413D-9577-4578-91F5-391AAE134ABA}"/>
    <cellStyle name="Normal 5 5 4 3" xfId="5249" xr:uid="{00000000-0005-0000-0000-00008C1B0000}"/>
    <cellStyle name="Normal 5 5 4 3 2" xfId="14575" xr:uid="{7760A262-B3BB-44F7-B74C-A6CD01B418BB}"/>
    <cellStyle name="Normal 5 5 4 4" xfId="9251" xr:uid="{4EAD9E35-D3C9-46BE-AE4D-29A1C6D5A6F7}"/>
    <cellStyle name="Normal 5 5 4 4 2" xfId="18566" xr:uid="{2A0869D4-1863-4D68-86D0-B3558D85C0FC}"/>
    <cellStyle name="Normal 5 5 4 5" xfId="10358" xr:uid="{DD57F91C-7139-4AA7-926D-36179167A5BB}"/>
    <cellStyle name="Normal 5 5 5" xfId="1355" xr:uid="{00000000-0005-0000-0000-00008D1B0000}"/>
    <cellStyle name="Normal 5 5 5 2" xfId="3585" xr:uid="{00000000-0005-0000-0000-00008E1B0000}"/>
    <cellStyle name="Normal 5 5 5 2 2" xfId="7807" xr:uid="{00000000-0005-0000-0000-00008F1B0000}"/>
    <cellStyle name="Normal 5 5 5 2 2 2" xfId="17133" xr:uid="{9EEFC064-3882-42F9-A809-1C053456D130}"/>
    <cellStyle name="Normal 5 5 5 2 3" xfId="12916" xr:uid="{66B5C952-C5B0-43B0-A98E-C499E37D272D}"/>
    <cellStyle name="Normal 5 5 5 3" xfId="5662" xr:uid="{00000000-0005-0000-0000-0000901B0000}"/>
    <cellStyle name="Normal 5 5 5 3 2" xfId="14988" xr:uid="{DA867A2A-D501-4257-BF8C-00C6C91D90FE}"/>
    <cellStyle name="Normal 5 5 5 4" xfId="10771" xr:uid="{8B89DA11-7106-4CD0-8ABA-44194EEB03A3}"/>
    <cellStyle name="Normal 5 5 6" xfId="1768" xr:uid="{00000000-0005-0000-0000-0000911B0000}"/>
    <cellStyle name="Normal 5 5 6 2" xfId="3998" xr:uid="{00000000-0005-0000-0000-0000921B0000}"/>
    <cellStyle name="Normal 5 5 6 2 2" xfId="8220" xr:uid="{00000000-0005-0000-0000-0000931B0000}"/>
    <cellStyle name="Normal 5 5 6 2 2 2" xfId="17546" xr:uid="{0F1DDBAA-982D-4CB3-98A7-F130D8D8D5ED}"/>
    <cellStyle name="Normal 5 5 6 2 3" xfId="13329" xr:uid="{FB6103E9-0CA1-400E-A9B8-322B2C3D2649}"/>
    <cellStyle name="Normal 5 5 6 3" xfId="6075" xr:uid="{00000000-0005-0000-0000-0000941B0000}"/>
    <cellStyle name="Normal 5 5 6 3 2" xfId="15401" xr:uid="{1EC7ECED-0E08-4DF5-B054-2916BFCC52F2}"/>
    <cellStyle name="Normal 5 5 6 4" xfId="11184" xr:uid="{7EC25AB7-B584-47C5-9227-2D63E4145362}"/>
    <cellStyle name="Normal 5 5 7" xfId="2182" xr:uid="{00000000-0005-0000-0000-0000951B0000}"/>
    <cellStyle name="Normal 5 5 7 2" xfId="4411" xr:uid="{00000000-0005-0000-0000-0000961B0000}"/>
    <cellStyle name="Normal 5 5 7 2 2" xfId="8633" xr:uid="{00000000-0005-0000-0000-0000971B0000}"/>
    <cellStyle name="Normal 5 5 7 2 2 2" xfId="17959" xr:uid="{407829EB-A2E9-4E6C-A94B-89A577CC26E9}"/>
    <cellStyle name="Normal 5 5 7 2 3" xfId="13742" xr:uid="{CD7D60DC-F141-4D6F-BDF1-2A80AD26B9F1}"/>
    <cellStyle name="Normal 5 5 7 3" xfId="6488" xr:uid="{00000000-0005-0000-0000-0000981B0000}"/>
    <cellStyle name="Normal 5 5 7 3 2" xfId="15814" xr:uid="{164735FD-8B35-4CCC-9458-5851B1FF87AB}"/>
    <cellStyle name="Normal 5 5 7 4" xfId="11597" xr:uid="{9290D689-8812-4639-886A-300E57476BE0}"/>
    <cellStyle name="Normal 5 5 8" xfId="2618" xr:uid="{00000000-0005-0000-0000-0000991B0000}"/>
    <cellStyle name="Normal 5 5 8 2" xfId="6901" xr:uid="{00000000-0005-0000-0000-00009A1B0000}"/>
    <cellStyle name="Normal 5 5 8 2 2" xfId="16227" xr:uid="{505F4A7D-6F7E-418E-899E-A39940503F17}"/>
    <cellStyle name="Normal 5 5 8 3" xfId="12010" xr:uid="{F3FA29C0-C492-438F-8C49-3AC7F4454DE7}"/>
    <cellStyle name="Normal 5 5 9" xfId="4836" xr:uid="{00000000-0005-0000-0000-00009B1B0000}"/>
    <cellStyle name="Normal 5 5 9 2" xfId="14162" xr:uid="{9EE2CED9-8ED2-4D25-AFF3-7F6916AFC53E}"/>
    <cellStyle name="Normal 5 6" xfId="468" xr:uid="{00000000-0005-0000-0000-00009C1B0000}"/>
    <cellStyle name="Normal 5 6 10" xfId="9949" xr:uid="{835D43B5-DAE1-4500-9843-77C45455D0CE}"/>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2 2 2" xfId="16725" xr:uid="{C17199D7-815C-48F2-8B41-94DA86F36DA4}"/>
    <cellStyle name="Normal 5 6 2 2 2 3" xfId="12508" xr:uid="{5B01BF8C-D3EA-4C03-8EBF-BF8561A3D0F1}"/>
    <cellStyle name="Normal 5 6 2 2 3" xfId="5254" xr:uid="{00000000-0005-0000-0000-0000A11B0000}"/>
    <cellStyle name="Normal 5 6 2 2 3 2" xfId="14580" xr:uid="{53D75478-0EC9-4925-9175-40631729385D}"/>
    <cellStyle name="Normal 5 6 2 2 4" xfId="9476" xr:uid="{3B3E6CA1-4D97-4B11-99D5-4F82314AA0E0}"/>
    <cellStyle name="Normal 5 6 2 2 4 2" xfId="18791" xr:uid="{0B0BC46C-0972-4C0C-AD2E-27C85A0CBE34}"/>
    <cellStyle name="Normal 5 6 2 2 5" xfId="10363" xr:uid="{7A20E065-96A5-4C7E-88FB-2B83A035E219}"/>
    <cellStyle name="Normal 5 6 2 3" xfId="1360" xr:uid="{00000000-0005-0000-0000-0000A21B0000}"/>
    <cellStyle name="Normal 5 6 2 3 2" xfId="3590" xr:uid="{00000000-0005-0000-0000-0000A31B0000}"/>
    <cellStyle name="Normal 5 6 2 3 2 2" xfId="7812" xr:uid="{00000000-0005-0000-0000-0000A41B0000}"/>
    <cellStyle name="Normal 5 6 2 3 2 2 2" xfId="17138" xr:uid="{A1812EE9-A156-4546-8507-84616361FF59}"/>
    <cellStyle name="Normal 5 6 2 3 2 3" xfId="12921" xr:uid="{FCBE5BF1-CBEB-48C0-AA85-86B45C68FB69}"/>
    <cellStyle name="Normal 5 6 2 3 3" xfId="5667" xr:uid="{00000000-0005-0000-0000-0000A51B0000}"/>
    <cellStyle name="Normal 5 6 2 3 3 2" xfId="14993" xr:uid="{3668FBE8-DDDA-4F61-8CD5-45E1601369D3}"/>
    <cellStyle name="Normal 5 6 2 3 4" xfId="10776" xr:uid="{661FDC90-A34F-4048-BE32-EB4A35E9EDA5}"/>
    <cellStyle name="Normal 5 6 2 4" xfId="1773" xr:uid="{00000000-0005-0000-0000-0000A61B0000}"/>
    <cellStyle name="Normal 5 6 2 4 2" xfId="4003" xr:uid="{00000000-0005-0000-0000-0000A71B0000}"/>
    <cellStyle name="Normal 5 6 2 4 2 2" xfId="8225" xr:uid="{00000000-0005-0000-0000-0000A81B0000}"/>
    <cellStyle name="Normal 5 6 2 4 2 2 2" xfId="17551" xr:uid="{205D7A06-B6A7-4A48-A7E6-136684FA51B6}"/>
    <cellStyle name="Normal 5 6 2 4 2 3" xfId="13334" xr:uid="{FCDDFB47-AB72-4F1C-A1A1-CDA318809437}"/>
    <cellStyle name="Normal 5 6 2 4 3" xfId="6080" xr:uid="{00000000-0005-0000-0000-0000A91B0000}"/>
    <cellStyle name="Normal 5 6 2 4 3 2" xfId="15406" xr:uid="{0CE3DD8A-9CA6-424E-A8A7-6752ECF3697D}"/>
    <cellStyle name="Normal 5 6 2 4 4" xfId="11189" xr:uid="{04686607-188B-4A0E-A635-943A74D8EB1C}"/>
    <cellStyle name="Normal 5 6 2 5" xfId="2187" xr:uid="{00000000-0005-0000-0000-0000AA1B0000}"/>
    <cellStyle name="Normal 5 6 2 5 2" xfId="4416" xr:uid="{00000000-0005-0000-0000-0000AB1B0000}"/>
    <cellStyle name="Normal 5 6 2 5 2 2" xfId="8638" xr:uid="{00000000-0005-0000-0000-0000AC1B0000}"/>
    <cellStyle name="Normal 5 6 2 5 2 2 2" xfId="17964" xr:uid="{6FBADA16-ABC0-4CD3-AB3F-B3E0551989CE}"/>
    <cellStyle name="Normal 5 6 2 5 2 3" xfId="13747" xr:uid="{84168250-F62A-4CD3-B1BE-66B001B76406}"/>
    <cellStyle name="Normal 5 6 2 5 3" xfId="6493" xr:uid="{00000000-0005-0000-0000-0000AD1B0000}"/>
    <cellStyle name="Normal 5 6 2 5 3 2" xfId="15819" xr:uid="{1E7D23ED-3AFB-48A3-8FEC-6FD86EA3E120}"/>
    <cellStyle name="Normal 5 6 2 5 4" xfId="11602" xr:uid="{46FE59C8-FC5D-4110-A06E-2A7C8330227B}"/>
    <cellStyle name="Normal 5 6 2 6" xfId="2623" xr:uid="{00000000-0005-0000-0000-0000AE1B0000}"/>
    <cellStyle name="Normal 5 6 2 6 2" xfId="6906" xr:uid="{00000000-0005-0000-0000-0000AF1B0000}"/>
    <cellStyle name="Normal 5 6 2 6 2 2" xfId="16232" xr:uid="{DD97C674-20B3-4BA7-9A3D-753879E15F32}"/>
    <cellStyle name="Normal 5 6 2 6 3" xfId="12015" xr:uid="{7B7624FE-5575-4D46-B8D5-9EF3FFDBA658}"/>
    <cellStyle name="Normal 5 6 2 7" xfId="4841" xr:uid="{00000000-0005-0000-0000-0000B01B0000}"/>
    <cellStyle name="Normal 5 6 2 7 2" xfId="14167" xr:uid="{33F0FCFE-F521-4EEE-B526-ADC3DA25D18B}"/>
    <cellStyle name="Normal 5 6 2 8" xfId="9051" xr:uid="{97C72229-9AC1-4DA9-8A0B-8B4B6D970DE8}"/>
    <cellStyle name="Normal 5 6 2 8 2" xfId="18375" xr:uid="{2EB1F96B-A885-4FEC-8240-B0650B43F17C}"/>
    <cellStyle name="Normal 5 6 2 9" xfId="9950" xr:uid="{DB5B0CED-B4E3-4E10-9E35-C9179EF99917}"/>
    <cellStyle name="Normal 5 6 3" xfId="942" xr:uid="{00000000-0005-0000-0000-0000B11B0000}"/>
    <cellStyle name="Normal 5 6 3 2" xfId="3176" xr:uid="{00000000-0005-0000-0000-0000B21B0000}"/>
    <cellStyle name="Normal 5 6 3 2 2" xfId="7398" xr:uid="{00000000-0005-0000-0000-0000B31B0000}"/>
    <cellStyle name="Normal 5 6 3 2 2 2" xfId="16724" xr:uid="{175F2EFA-E0E9-4541-BBBA-155B9FB1FC56}"/>
    <cellStyle name="Normal 5 6 3 2 3" xfId="12507" xr:uid="{A2EE7B7D-D189-40CB-BA78-56F70B8C685E}"/>
    <cellStyle name="Normal 5 6 3 3" xfId="5253" xr:uid="{00000000-0005-0000-0000-0000B41B0000}"/>
    <cellStyle name="Normal 5 6 3 3 2" xfId="14579" xr:uid="{2A769BA0-CA1F-4484-A96C-CB57ED56AD1D}"/>
    <cellStyle name="Normal 5 6 3 4" xfId="9269" xr:uid="{7D6728A0-C210-4F3F-8114-143B9AE0BFB4}"/>
    <cellStyle name="Normal 5 6 3 4 2" xfId="18584" xr:uid="{710B421D-ADFF-4502-AEE4-558722016B84}"/>
    <cellStyle name="Normal 5 6 3 5" xfId="10362" xr:uid="{4F6791CB-C27A-428D-9DFF-2E6E157C980E}"/>
    <cellStyle name="Normal 5 6 4" xfId="1359" xr:uid="{00000000-0005-0000-0000-0000B51B0000}"/>
    <cellStyle name="Normal 5 6 4 2" xfId="3589" xr:uid="{00000000-0005-0000-0000-0000B61B0000}"/>
    <cellStyle name="Normal 5 6 4 2 2" xfId="7811" xr:uid="{00000000-0005-0000-0000-0000B71B0000}"/>
    <cellStyle name="Normal 5 6 4 2 2 2" xfId="17137" xr:uid="{D323CAEE-DBE6-4B3E-9198-4ECCFDDE4EAC}"/>
    <cellStyle name="Normal 5 6 4 2 3" xfId="12920" xr:uid="{69816C0D-B8ED-4D36-87E7-670FE5EC76F3}"/>
    <cellStyle name="Normal 5 6 4 3" xfId="5666" xr:uid="{00000000-0005-0000-0000-0000B81B0000}"/>
    <cellStyle name="Normal 5 6 4 3 2" xfId="14992" xr:uid="{AE9114E0-9990-4E77-98B3-FD63B0744464}"/>
    <cellStyle name="Normal 5 6 4 4" xfId="10775" xr:uid="{201490B9-2A11-436A-A981-EF668C776E88}"/>
    <cellStyle name="Normal 5 6 5" xfId="1772" xr:uid="{00000000-0005-0000-0000-0000B91B0000}"/>
    <cellStyle name="Normal 5 6 5 2" xfId="4002" xr:uid="{00000000-0005-0000-0000-0000BA1B0000}"/>
    <cellStyle name="Normal 5 6 5 2 2" xfId="8224" xr:uid="{00000000-0005-0000-0000-0000BB1B0000}"/>
    <cellStyle name="Normal 5 6 5 2 2 2" xfId="17550" xr:uid="{5E303CB3-5AE5-49B5-B6B8-0DB47C5D9F7D}"/>
    <cellStyle name="Normal 5 6 5 2 3" xfId="13333" xr:uid="{96A37A64-126C-439B-A806-F4D05221B412}"/>
    <cellStyle name="Normal 5 6 5 3" xfId="6079" xr:uid="{00000000-0005-0000-0000-0000BC1B0000}"/>
    <cellStyle name="Normal 5 6 5 3 2" xfId="15405" xr:uid="{8DE6358C-4000-4421-BE36-6685419EE379}"/>
    <cellStyle name="Normal 5 6 5 4" xfId="11188" xr:uid="{E6AAE227-3DEA-48AD-832B-2DB9BC7CE808}"/>
    <cellStyle name="Normal 5 6 6" xfId="2186" xr:uid="{00000000-0005-0000-0000-0000BD1B0000}"/>
    <cellStyle name="Normal 5 6 6 2" xfId="4415" xr:uid="{00000000-0005-0000-0000-0000BE1B0000}"/>
    <cellStyle name="Normal 5 6 6 2 2" xfId="8637" xr:uid="{00000000-0005-0000-0000-0000BF1B0000}"/>
    <cellStyle name="Normal 5 6 6 2 2 2" xfId="17963" xr:uid="{7B1A0125-F3F8-4A07-B7C5-4F4BCD91E523}"/>
    <cellStyle name="Normal 5 6 6 2 3" xfId="13746" xr:uid="{15EF5635-B244-4DC9-AF25-2A7A65327659}"/>
    <cellStyle name="Normal 5 6 6 3" xfId="6492" xr:uid="{00000000-0005-0000-0000-0000C01B0000}"/>
    <cellStyle name="Normal 5 6 6 3 2" xfId="15818" xr:uid="{99049A6D-7EF5-4B73-8D70-4C5B0725C330}"/>
    <cellStyle name="Normal 5 6 6 4" xfId="11601" xr:uid="{D9C96451-F4BF-4B7F-896D-C830F04DD6E1}"/>
    <cellStyle name="Normal 5 6 7" xfId="2622" xr:uid="{00000000-0005-0000-0000-0000C11B0000}"/>
    <cellStyle name="Normal 5 6 7 2" xfId="6905" xr:uid="{00000000-0005-0000-0000-0000C21B0000}"/>
    <cellStyle name="Normal 5 6 7 2 2" xfId="16231" xr:uid="{FD7DDAF5-BB6F-4D2E-B7C3-CA484C95F8B7}"/>
    <cellStyle name="Normal 5 6 7 3" xfId="12014" xr:uid="{14BFB5D5-A2C7-43B8-8A16-321A9F75E8AA}"/>
    <cellStyle name="Normal 5 6 8" xfId="4840" xr:uid="{00000000-0005-0000-0000-0000C31B0000}"/>
    <cellStyle name="Normal 5 6 8 2" xfId="14166" xr:uid="{1BFC86C8-19FB-4195-AB14-6FDEA1B138C2}"/>
    <cellStyle name="Normal 5 6 9" xfId="8844" xr:uid="{91B947E4-8FF0-409F-B157-688724766D9F}"/>
    <cellStyle name="Normal 5 6 9 2" xfId="18168" xr:uid="{DD6AD511-3E06-414B-9108-727CFA24FF8C}"/>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2 2 2" xfId="16726" xr:uid="{9F2954E0-3DE9-41E8-BA3C-CBA8C8797286}"/>
    <cellStyle name="Normal 5 7 2 2 3" xfId="12509" xr:uid="{61278751-2098-4407-A0DB-02012655E89F}"/>
    <cellStyle name="Normal 5 7 2 3" xfId="5255" xr:uid="{00000000-0005-0000-0000-0000C81B0000}"/>
    <cellStyle name="Normal 5 7 2 3 2" xfId="14581" xr:uid="{41877629-5C3F-479D-A238-5F35568647E3}"/>
    <cellStyle name="Normal 5 7 2 4" xfId="9385" xr:uid="{2E4A3B0A-2E42-41AC-9564-09D1598995A2}"/>
    <cellStyle name="Normal 5 7 2 4 2" xfId="18700" xr:uid="{480A3220-1983-4472-8050-AFF0001B6A77}"/>
    <cellStyle name="Normal 5 7 2 5" xfId="10364" xr:uid="{7659C330-759F-4D6F-9F94-B5B051887909}"/>
    <cellStyle name="Normal 5 7 3" xfId="1361" xr:uid="{00000000-0005-0000-0000-0000C91B0000}"/>
    <cellStyle name="Normal 5 7 3 2" xfId="3591" xr:uid="{00000000-0005-0000-0000-0000CA1B0000}"/>
    <cellStyle name="Normal 5 7 3 2 2" xfId="7813" xr:uid="{00000000-0005-0000-0000-0000CB1B0000}"/>
    <cellStyle name="Normal 5 7 3 2 2 2" xfId="17139" xr:uid="{C843D241-7C1B-41EC-84B3-88435FA82D15}"/>
    <cellStyle name="Normal 5 7 3 2 3" xfId="12922" xr:uid="{72EB72E5-4780-4C62-B3EE-902899D603DE}"/>
    <cellStyle name="Normal 5 7 3 3" xfId="5668" xr:uid="{00000000-0005-0000-0000-0000CC1B0000}"/>
    <cellStyle name="Normal 5 7 3 3 2" xfId="14994" xr:uid="{2CBDE5ED-13D2-4047-957F-2F688CD80FAE}"/>
    <cellStyle name="Normal 5 7 3 4" xfId="10777" xr:uid="{80878615-9517-48F9-9A59-B8BFC4A6EFEC}"/>
    <cellStyle name="Normal 5 7 4" xfId="1774" xr:uid="{00000000-0005-0000-0000-0000CD1B0000}"/>
    <cellStyle name="Normal 5 7 4 2" xfId="4004" xr:uid="{00000000-0005-0000-0000-0000CE1B0000}"/>
    <cellStyle name="Normal 5 7 4 2 2" xfId="8226" xr:uid="{00000000-0005-0000-0000-0000CF1B0000}"/>
    <cellStyle name="Normal 5 7 4 2 2 2" xfId="17552" xr:uid="{D410066C-6A18-4D49-B50F-A0127F4D7AA1}"/>
    <cellStyle name="Normal 5 7 4 2 3" xfId="13335" xr:uid="{F89CD665-6C0D-4771-8BD4-BE842920B1C0}"/>
    <cellStyle name="Normal 5 7 4 3" xfId="6081" xr:uid="{00000000-0005-0000-0000-0000D01B0000}"/>
    <cellStyle name="Normal 5 7 4 3 2" xfId="15407" xr:uid="{B8F061D1-53E3-48C3-9B32-290A15407685}"/>
    <cellStyle name="Normal 5 7 4 4" xfId="11190" xr:uid="{DB79805D-2E41-4F8F-BD9D-A09C74288817}"/>
    <cellStyle name="Normal 5 7 5" xfId="2188" xr:uid="{00000000-0005-0000-0000-0000D11B0000}"/>
    <cellStyle name="Normal 5 7 5 2" xfId="4417" xr:uid="{00000000-0005-0000-0000-0000D21B0000}"/>
    <cellStyle name="Normal 5 7 5 2 2" xfId="8639" xr:uid="{00000000-0005-0000-0000-0000D31B0000}"/>
    <cellStyle name="Normal 5 7 5 2 2 2" xfId="17965" xr:uid="{92AB816E-7EAB-47B4-A500-8DA556247EAE}"/>
    <cellStyle name="Normal 5 7 5 2 3" xfId="13748" xr:uid="{8869280C-497F-49B4-B572-0025C93E7448}"/>
    <cellStyle name="Normal 5 7 5 3" xfId="6494" xr:uid="{00000000-0005-0000-0000-0000D41B0000}"/>
    <cellStyle name="Normal 5 7 5 3 2" xfId="15820" xr:uid="{7B52A04B-0256-4543-B655-63DA3DD80BA5}"/>
    <cellStyle name="Normal 5 7 5 4" xfId="11603" xr:uid="{19AEFD84-A7F7-4370-86CF-29F41B2A3DD4}"/>
    <cellStyle name="Normal 5 7 6" xfId="2624" xr:uid="{00000000-0005-0000-0000-0000D51B0000}"/>
    <cellStyle name="Normal 5 7 6 2" xfId="6907" xr:uid="{00000000-0005-0000-0000-0000D61B0000}"/>
    <cellStyle name="Normal 5 7 6 2 2" xfId="16233" xr:uid="{AA497FBC-494E-4D97-B1A0-46C257CDC1A9}"/>
    <cellStyle name="Normal 5 7 6 3" xfId="12016" xr:uid="{3312DBDB-1172-47DF-BD3F-D474F9F4B36D}"/>
    <cellStyle name="Normal 5 7 7" xfId="4842" xr:uid="{00000000-0005-0000-0000-0000D71B0000}"/>
    <cellStyle name="Normal 5 7 7 2" xfId="14168" xr:uid="{EEFD3AC7-B592-4E1E-956B-88968D63BD77}"/>
    <cellStyle name="Normal 5 7 8" xfId="8960" xr:uid="{F4BEC964-53C9-4393-B7F1-69B47FC1FF25}"/>
    <cellStyle name="Normal 5 7 8 2" xfId="18284" xr:uid="{E8834C8B-EAFA-4EC8-81B1-E3DB7418D137}"/>
    <cellStyle name="Normal 5 7 9" xfId="9951" xr:uid="{B4130D29-C8BB-4177-9291-FCF2AA8DB474}"/>
    <cellStyle name="Normal 5 8" xfId="880" xr:uid="{00000000-0005-0000-0000-0000D81B0000}"/>
    <cellStyle name="Normal 5 8 2" xfId="3115" xr:uid="{00000000-0005-0000-0000-0000D91B0000}"/>
    <cellStyle name="Normal 5 8 2 2" xfId="7337" xr:uid="{00000000-0005-0000-0000-0000DA1B0000}"/>
    <cellStyle name="Normal 5 8 2 2 2" xfId="16663" xr:uid="{05420C09-FAAF-4365-9108-A6B500DA1BBF}"/>
    <cellStyle name="Normal 5 8 2 3" xfId="12446" xr:uid="{F05AA648-A9C0-4DAE-BF42-C33B17CE5C0D}"/>
    <cellStyle name="Normal 5 8 3" xfId="5192" xr:uid="{00000000-0005-0000-0000-0000DB1B0000}"/>
    <cellStyle name="Normal 5 8 3 2" xfId="14518" xr:uid="{F883A7DA-EEC2-41A3-9B36-10F88A218A52}"/>
    <cellStyle name="Normal 5 8 4" xfId="9163" xr:uid="{44C7CAD4-DD7C-48E0-9142-8ED22123C662}"/>
    <cellStyle name="Normal 5 8 4 2" xfId="18481" xr:uid="{565D3A6C-4BE4-4B7F-9DE4-E23B046B4DFB}"/>
    <cellStyle name="Normal 5 8 5" xfId="10301" xr:uid="{FFE6F2A5-EE74-41E2-A825-AFFA36BB5F19}"/>
    <cellStyle name="Normal 5 9" xfId="1298" xr:uid="{00000000-0005-0000-0000-0000DC1B0000}"/>
    <cellStyle name="Normal 5 9 2" xfId="3528" xr:uid="{00000000-0005-0000-0000-0000DD1B0000}"/>
    <cellStyle name="Normal 5 9 2 2" xfId="7750" xr:uid="{00000000-0005-0000-0000-0000DE1B0000}"/>
    <cellStyle name="Normal 5 9 2 2 2" xfId="17076" xr:uid="{85E2D046-CC02-4DF7-BDE6-AC7881927D22}"/>
    <cellStyle name="Normal 5 9 2 3" xfId="12859" xr:uid="{30A42827-1A99-454A-97DB-6CEB80649C53}"/>
    <cellStyle name="Normal 5 9 3" xfId="5605" xr:uid="{00000000-0005-0000-0000-0000DF1B0000}"/>
    <cellStyle name="Normal 5 9 3 2" xfId="14931" xr:uid="{323C9FBD-920C-4C0A-84F3-6ED4E8083032}"/>
    <cellStyle name="Normal 5 9 4" xfId="10714" xr:uid="{B19874D3-B84C-48DE-B8AE-EB0978BC69EE}"/>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17966" xr:uid="{1677026B-682E-45C4-A49B-C6FED43908ED}"/>
    <cellStyle name="Normal 8 10 2 3" xfId="13749" xr:uid="{9E53076B-5FCF-4053-AFA4-FDD01CD12BF2}"/>
    <cellStyle name="Normal 8 10 3" xfId="6495" xr:uid="{00000000-0005-0000-0000-0000EB1B0000}"/>
    <cellStyle name="Normal 8 10 3 2" xfId="15821" xr:uid="{D25C23D8-0CB1-4D4D-A70C-4FEB74D6F1B5}"/>
    <cellStyle name="Normal 8 10 4" xfId="11604" xr:uid="{C0F67237-5C13-448D-8F1F-3171F6CE0858}"/>
    <cellStyle name="Normal 8 11" xfId="2625" xr:uid="{00000000-0005-0000-0000-0000EC1B0000}"/>
    <cellStyle name="Normal 8 11 2" xfId="6908" xr:uid="{00000000-0005-0000-0000-0000ED1B0000}"/>
    <cellStyle name="Normal 8 11 2 2" xfId="16234" xr:uid="{FDC86B44-C25F-4E2A-9E6C-69C3D2DA5CC6}"/>
    <cellStyle name="Normal 8 11 3" xfId="12017" xr:uid="{9083B9CF-8DF1-4D82-964E-1553DBB86460}"/>
    <cellStyle name="Normal 8 12" xfId="4843" xr:uid="{00000000-0005-0000-0000-0000EE1B0000}"/>
    <cellStyle name="Normal 8 12 2" xfId="14169" xr:uid="{A44E5ACC-C046-4146-8C50-9B16E6FA029F}"/>
    <cellStyle name="Normal 8 13" xfId="8742" xr:uid="{AF36CBBC-3EEB-4AC8-923B-65C7C2418AB0}"/>
    <cellStyle name="Normal 8 13 2" xfId="18066" xr:uid="{37075C24-356F-478E-9CA9-C8A969A6B519}"/>
    <cellStyle name="Normal 8 14" xfId="9952" xr:uid="{DACC1BE9-FF54-4120-86E2-81C9BA10BD46}"/>
    <cellStyle name="Normal 8 2" xfId="479" xr:uid="{00000000-0005-0000-0000-0000EF1B0000}"/>
    <cellStyle name="Normal 8 2 10" xfId="2626" xr:uid="{00000000-0005-0000-0000-0000F01B0000}"/>
    <cellStyle name="Normal 8 2 10 2" xfId="6909" xr:uid="{00000000-0005-0000-0000-0000F11B0000}"/>
    <cellStyle name="Normal 8 2 10 2 2" xfId="16235" xr:uid="{DF2D942D-CFD1-4700-A27D-D9D9634F1CE1}"/>
    <cellStyle name="Normal 8 2 10 3" xfId="12018" xr:uid="{F8CB0733-4A22-46BB-B189-633BE2FE46BB}"/>
    <cellStyle name="Normal 8 2 11" xfId="4844" xr:uid="{00000000-0005-0000-0000-0000F21B0000}"/>
    <cellStyle name="Normal 8 2 11 2" xfId="14170" xr:uid="{9A247ABE-9921-45C5-9F46-2A76886F0AC9}"/>
    <cellStyle name="Normal 8 2 12" xfId="8751" xr:uid="{476D0553-3387-4D9F-B05B-56EC7A36F7A1}"/>
    <cellStyle name="Normal 8 2 12 2" xfId="18075" xr:uid="{4428F821-482F-4876-B325-FC193F7683B1}"/>
    <cellStyle name="Normal 8 2 13" xfId="9953" xr:uid="{C795F162-0F2D-4A44-8530-045C4EE187A4}"/>
    <cellStyle name="Normal 8 2 2" xfId="480" xr:uid="{00000000-0005-0000-0000-0000F31B0000}"/>
    <cellStyle name="Normal 8 2 2 10" xfId="4845" xr:uid="{00000000-0005-0000-0000-0000F41B0000}"/>
    <cellStyle name="Normal 8 2 2 10 2" xfId="14171" xr:uid="{31D83DCF-0F9D-4A79-AEEA-8C86AB2C6C09}"/>
    <cellStyle name="Normal 8 2 2 11" xfId="8783" xr:uid="{3C426022-C415-47DA-A8EF-1D6CE72527BD}"/>
    <cellStyle name="Normal 8 2 2 11 2" xfId="18107" xr:uid="{0A89117F-F8D9-4FD4-8100-24092EA6699D}"/>
    <cellStyle name="Normal 8 2 2 12" xfId="9954" xr:uid="{A6C82D26-8893-4E34-8C44-ABD85526553C}"/>
    <cellStyle name="Normal 8 2 2 2" xfId="481" xr:uid="{00000000-0005-0000-0000-0000F51B0000}"/>
    <cellStyle name="Normal 8 2 2 2 10" xfId="8836" xr:uid="{870E50AF-610D-4E0C-BDE0-389D6B32A0FA}"/>
    <cellStyle name="Normal 8 2 2 2 10 2" xfId="18160" xr:uid="{B56BBEF3-22CA-4C81-900A-5414566E4A1F}"/>
    <cellStyle name="Normal 8 2 2 2 11" xfId="9955" xr:uid="{0FAD13AF-37F4-476B-99B7-571F498155DF}"/>
    <cellStyle name="Normal 8 2 2 2 2" xfId="482" xr:uid="{00000000-0005-0000-0000-0000F61B0000}"/>
    <cellStyle name="Normal 8 2 2 2 2 10" xfId="9956" xr:uid="{B932DA1B-5EBA-4860-AFBC-746CD2C2FCB1}"/>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16732" xr:uid="{54F18BE2-6651-4D28-A16B-245780C46CB7}"/>
    <cellStyle name="Normal 8 2 2 2 2 2 2 2 3" xfId="12515" xr:uid="{FF9DDB63-259E-433B-B104-C20AB1396957}"/>
    <cellStyle name="Normal 8 2 2 2 2 2 2 3" xfId="5261" xr:uid="{00000000-0005-0000-0000-0000FB1B0000}"/>
    <cellStyle name="Normal 8 2 2 2 2 2 2 3 2" xfId="14587" xr:uid="{47F16960-DFC5-4BAD-B187-B27491603B79}"/>
    <cellStyle name="Normal 8 2 2 2 2 2 2 4" xfId="9571" xr:uid="{B467C179-FE08-45F9-B1E6-E66379D80EBC}"/>
    <cellStyle name="Normal 8 2 2 2 2 2 2 4 2" xfId="18886" xr:uid="{88AE17CD-C82A-4259-90A0-8B5C192A0029}"/>
    <cellStyle name="Normal 8 2 2 2 2 2 2 5" xfId="10370" xr:uid="{A79E6477-D60E-48BD-A463-F8B8B3461927}"/>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17145" xr:uid="{D3039C37-F2B8-416D-9C2A-7FA9ECF323CE}"/>
    <cellStyle name="Normal 8 2 2 2 2 2 3 2 3" xfId="12928" xr:uid="{0F56E8AE-1318-4266-80C7-5E999ED8221E}"/>
    <cellStyle name="Normal 8 2 2 2 2 2 3 3" xfId="5674" xr:uid="{00000000-0005-0000-0000-0000FF1B0000}"/>
    <cellStyle name="Normal 8 2 2 2 2 2 3 3 2" xfId="15000" xr:uid="{80F90941-6190-4B7B-93D6-34CDB7962BD1}"/>
    <cellStyle name="Normal 8 2 2 2 2 2 3 4" xfId="10783" xr:uid="{D85BB843-272C-4BE4-B87C-08A6910B20C6}"/>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17558" xr:uid="{C3B16AA0-FF4E-404F-9F49-DE717EDC1F43}"/>
    <cellStyle name="Normal 8 2 2 2 2 2 4 2 3" xfId="13341" xr:uid="{EE6369E8-44C4-4E08-BD6C-6296C794D158}"/>
    <cellStyle name="Normal 8 2 2 2 2 2 4 3" xfId="6087" xr:uid="{00000000-0005-0000-0000-0000031C0000}"/>
    <cellStyle name="Normal 8 2 2 2 2 2 4 3 2" xfId="15413" xr:uid="{E4FFCDDE-0A77-4503-B3ED-70B689E22034}"/>
    <cellStyle name="Normal 8 2 2 2 2 2 4 4" xfId="11196" xr:uid="{8C976F75-DC6D-4301-B849-9A653AE993A1}"/>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17971" xr:uid="{EC15F030-5E7E-442C-8534-A0A89A34CB0D}"/>
    <cellStyle name="Normal 8 2 2 2 2 2 5 2 3" xfId="13754" xr:uid="{8154C0E7-F237-4A9D-B12B-AD6147338CC9}"/>
    <cellStyle name="Normal 8 2 2 2 2 2 5 3" xfId="6500" xr:uid="{00000000-0005-0000-0000-0000071C0000}"/>
    <cellStyle name="Normal 8 2 2 2 2 2 5 3 2" xfId="15826" xr:uid="{BF84FDFE-DC05-4E41-91B5-829910D6A88B}"/>
    <cellStyle name="Normal 8 2 2 2 2 2 5 4" xfId="11609" xr:uid="{A1270E11-39C9-4D63-A82C-FF919C164FC5}"/>
    <cellStyle name="Normal 8 2 2 2 2 2 6" xfId="2630" xr:uid="{00000000-0005-0000-0000-0000081C0000}"/>
    <cellStyle name="Normal 8 2 2 2 2 2 6 2" xfId="6913" xr:uid="{00000000-0005-0000-0000-0000091C0000}"/>
    <cellStyle name="Normal 8 2 2 2 2 2 6 2 2" xfId="16239" xr:uid="{7F645608-299A-4E76-A65F-7D7A76997E57}"/>
    <cellStyle name="Normal 8 2 2 2 2 2 6 3" xfId="12022" xr:uid="{5131F514-9C96-4C12-B742-D85656BF5A1F}"/>
    <cellStyle name="Normal 8 2 2 2 2 2 7" xfId="4848" xr:uid="{00000000-0005-0000-0000-00000A1C0000}"/>
    <cellStyle name="Normal 8 2 2 2 2 2 7 2" xfId="14174" xr:uid="{32512881-9FD6-4CF6-B46C-14D5B32E2972}"/>
    <cellStyle name="Normal 8 2 2 2 2 2 8" xfId="9146" xr:uid="{0E570703-055D-406D-8BD9-575AF6037A75}"/>
    <cellStyle name="Normal 8 2 2 2 2 2 8 2" xfId="18470" xr:uid="{5D5A055A-7AC4-4462-A04A-1E5892766753}"/>
    <cellStyle name="Normal 8 2 2 2 2 2 9" xfId="9957" xr:uid="{8544E1A9-411A-4DCF-BD17-571CF58FA4D6}"/>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16731" xr:uid="{72B3C9B9-8F97-4A5F-9907-33B1BE88D2D4}"/>
    <cellStyle name="Normal 8 2 2 2 2 3 2 3" xfId="12514" xr:uid="{2D3BD29D-0498-455C-A6EF-B7DD97D098D7}"/>
    <cellStyle name="Normal 8 2 2 2 2 3 3" xfId="5260" xr:uid="{00000000-0005-0000-0000-00000E1C0000}"/>
    <cellStyle name="Normal 8 2 2 2 2 3 3 2" xfId="14586" xr:uid="{D428E548-DFC7-4DF2-A23B-FA4AC0261A64}"/>
    <cellStyle name="Normal 8 2 2 2 2 3 4" xfId="9364" xr:uid="{21426B7C-FC96-483C-B560-AC4767107497}"/>
    <cellStyle name="Normal 8 2 2 2 2 3 4 2" xfId="18679" xr:uid="{8F441F5D-FEB4-4839-87E3-48B0A2D44FCB}"/>
    <cellStyle name="Normal 8 2 2 2 2 3 5" xfId="10369" xr:uid="{E0B557E1-0009-4BAB-9555-65366B871943}"/>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17144" xr:uid="{F101D31F-1153-43AB-9197-B145A9D0DE6F}"/>
    <cellStyle name="Normal 8 2 2 2 2 4 2 3" xfId="12927" xr:uid="{16B23948-CB7B-412F-A1F5-F93AC115E135}"/>
    <cellStyle name="Normal 8 2 2 2 2 4 3" xfId="5673" xr:uid="{00000000-0005-0000-0000-0000121C0000}"/>
    <cellStyle name="Normal 8 2 2 2 2 4 3 2" xfId="14999" xr:uid="{E7D0A384-AAB2-497D-A19E-4EBC932D36F1}"/>
    <cellStyle name="Normal 8 2 2 2 2 4 4" xfId="10782" xr:uid="{946F7AA4-F0CB-4B10-AA22-B56CAE09855F}"/>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17557" xr:uid="{0CA9F989-2EE9-4955-80FA-898E7E0F7C20}"/>
    <cellStyle name="Normal 8 2 2 2 2 5 2 3" xfId="13340" xr:uid="{359D8896-CC70-40D8-8FB2-0208447CD1C0}"/>
    <cellStyle name="Normal 8 2 2 2 2 5 3" xfId="6086" xr:uid="{00000000-0005-0000-0000-0000161C0000}"/>
    <cellStyle name="Normal 8 2 2 2 2 5 3 2" xfId="15412" xr:uid="{BC5CBF7F-77B3-4A0C-9599-AEF8744B33B6}"/>
    <cellStyle name="Normal 8 2 2 2 2 5 4" xfId="11195" xr:uid="{DA84B053-1D54-4B3E-A817-513C8131E994}"/>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17970" xr:uid="{E0D99AA0-7A08-4EE4-B39B-F6B54915FD20}"/>
    <cellStyle name="Normal 8 2 2 2 2 6 2 3" xfId="13753" xr:uid="{DA0C4675-0054-49D0-979E-B956C250A27B}"/>
    <cellStyle name="Normal 8 2 2 2 2 6 3" xfId="6499" xr:uid="{00000000-0005-0000-0000-00001A1C0000}"/>
    <cellStyle name="Normal 8 2 2 2 2 6 3 2" xfId="15825" xr:uid="{616C1C83-93B5-40F0-8646-80244A1A981E}"/>
    <cellStyle name="Normal 8 2 2 2 2 6 4" xfId="11608" xr:uid="{58F371CE-FBC5-4526-BD74-F1ECB947606A}"/>
    <cellStyle name="Normal 8 2 2 2 2 7" xfId="2629" xr:uid="{00000000-0005-0000-0000-00001B1C0000}"/>
    <cellStyle name="Normal 8 2 2 2 2 7 2" xfId="6912" xr:uid="{00000000-0005-0000-0000-00001C1C0000}"/>
    <cellStyle name="Normal 8 2 2 2 2 7 2 2" xfId="16238" xr:uid="{B6DA6FFE-BDB2-45C8-BFB6-3E37C4F77684}"/>
    <cellStyle name="Normal 8 2 2 2 2 7 3" xfId="12021" xr:uid="{0A96D00F-0335-4F59-B7BD-583591769265}"/>
    <cellStyle name="Normal 8 2 2 2 2 8" xfId="4847" xr:uid="{00000000-0005-0000-0000-00001D1C0000}"/>
    <cellStyle name="Normal 8 2 2 2 2 8 2" xfId="14173" xr:uid="{B1C91C77-1F45-40E2-B966-287F111BA4C1}"/>
    <cellStyle name="Normal 8 2 2 2 2 9" xfId="8939" xr:uid="{385BAC75-25D1-414A-8E33-9B6DCCA130DE}"/>
    <cellStyle name="Normal 8 2 2 2 2 9 2" xfId="18263" xr:uid="{E25BBC81-D9D4-4E52-90BB-ED93093EB42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16733" xr:uid="{2432834D-3F32-44B3-A3F4-52558B64E69A}"/>
    <cellStyle name="Normal 8 2 2 2 3 2 2 3" xfId="12516" xr:uid="{9D0601A6-17D1-4A9F-B61C-2FB04BDB38A9}"/>
    <cellStyle name="Normal 8 2 2 2 3 2 3" xfId="5262" xr:uid="{00000000-0005-0000-0000-0000221C0000}"/>
    <cellStyle name="Normal 8 2 2 2 3 2 3 2" xfId="14588" xr:uid="{FF0BB339-8DBE-4C2C-9AF5-A8A39A5C0A44}"/>
    <cellStyle name="Normal 8 2 2 2 3 2 4" xfId="9468" xr:uid="{8CC4AD0E-72B4-4935-8967-B171D7B5EF8D}"/>
    <cellStyle name="Normal 8 2 2 2 3 2 4 2" xfId="18783" xr:uid="{803EB600-95F9-4CDC-9B17-83BFC3912A7C}"/>
    <cellStyle name="Normal 8 2 2 2 3 2 5" xfId="10371" xr:uid="{DC892C7C-7A06-4D5D-986E-8E300FEDBD86}"/>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17146" xr:uid="{5A864F65-65F4-4054-9FC5-058419AE989D}"/>
    <cellStyle name="Normal 8 2 2 2 3 3 2 3" xfId="12929" xr:uid="{E0138459-1041-45FA-9821-F32B29753209}"/>
    <cellStyle name="Normal 8 2 2 2 3 3 3" xfId="5675" xr:uid="{00000000-0005-0000-0000-0000261C0000}"/>
    <cellStyle name="Normal 8 2 2 2 3 3 3 2" xfId="15001" xr:uid="{F516E355-7AE7-40AA-846C-EAB21306FABC}"/>
    <cellStyle name="Normal 8 2 2 2 3 3 4" xfId="10784" xr:uid="{BD94D36B-8DE1-43A3-A024-601F255544EB}"/>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17559" xr:uid="{11D0A2AC-1789-4454-9007-73EBF0F2F761}"/>
    <cellStyle name="Normal 8 2 2 2 3 4 2 3" xfId="13342" xr:uid="{B5349CB6-82E2-46B7-AB2E-FBDCA901CA9B}"/>
    <cellStyle name="Normal 8 2 2 2 3 4 3" xfId="6088" xr:uid="{00000000-0005-0000-0000-00002A1C0000}"/>
    <cellStyle name="Normal 8 2 2 2 3 4 3 2" xfId="15414" xr:uid="{5A73534A-8D2A-441B-9737-D845FDE6DC7F}"/>
    <cellStyle name="Normal 8 2 2 2 3 4 4" xfId="11197" xr:uid="{1550F244-1FDE-4D8A-B4C4-9DA81293AEC3}"/>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17972" xr:uid="{C0877FC1-93B8-4D21-94F8-D1DD0BF002FA}"/>
    <cellStyle name="Normal 8 2 2 2 3 5 2 3" xfId="13755" xr:uid="{EB919840-3EC8-4386-911D-5379D987D228}"/>
    <cellStyle name="Normal 8 2 2 2 3 5 3" xfId="6501" xr:uid="{00000000-0005-0000-0000-00002E1C0000}"/>
    <cellStyle name="Normal 8 2 2 2 3 5 3 2" xfId="15827" xr:uid="{800794BA-A65C-45E2-9B42-988B6C4B9076}"/>
    <cellStyle name="Normal 8 2 2 2 3 5 4" xfId="11610" xr:uid="{C1C5E40F-0A92-48D4-8143-546C39D28806}"/>
    <cellStyle name="Normal 8 2 2 2 3 6" xfId="2631" xr:uid="{00000000-0005-0000-0000-00002F1C0000}"/>
    <cellStyle name="Normal 8 2 2 2 3 6 2" xfId="6914" xr:uid="{00000000-0005-0000-0000-0000301C0000}"/>
    <cellStyle name="Normal 8 2 2 2 3 6 2 2" xfId="16240" xr:uid="{C3391827-537E-4E42-AF46-1994AB53B78D}"/>
    <cellStyle name="Normal 8 2 2 2 3 6 3" xfId="12023" xr:uid="{20681854-93EE-43F1-A902-6AEBB803AFC3}"/>
    <cellStyle name="Normal 8 2 2 2 3 7" xfId="4849" xr:uid="{00000000-0005-0000-0000-0000311C0000}"/>
    <cellStyle name="Normal 8 2 2 2 3 7 2" xfId="14175" xr:uid="{1391296D-3435-4E41-A260-89423F0D26F6}"/>
    <cellStyle name="Normal 8 2 2 2 3 8" xfId="9043" xr:uid="{BAC463DF-40A7-4F07-ADD3-7274E57F505C}"/>
    <cellStyle name="Normal 8 2 2 2 3 8 2" xfId="18367" xr:uid="{AC0699DD-C352-4205-A514-ACAD9E9BE7E6}"/>
    <cellStyle name="Normal 8 2 2 2 3 9" xfId="9958" xr:uid="{9CE46B98-01D2-4CB8-9FE8-96F232D6B95A}"/>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16730" xr:uid="{EA4E2F19-C033-458A-91FE-41B82E43465E}"/>
    <cellStyle name="Normal 8 2 2 2 4 2 3" xfId="12513" xr:uid="{03DFC4F4-7081-4905-B5FF-A97ACDD1A538}"/>
    <cellStyle name="Normal 8 2 2 2 4 3" xfId="5259" xr:uid="{00000000-0005-0000-0000-0000351C0000}"/>
    <cellStyle name="Normal 8 2 2 2 4 3 2" xfId="14585" xr:uid="{8153C370-4CB1-4D4C-BC76-BBBA24FFBFF2}"/>
    <cellStyle name="Normal 8 2 2 2 4 4" xfId="9261" xr:uid="{70C29865-A6DE-4682-9EB1-83E4E07FD0A7}"/>
    <cellStyle name="Normal 8 2 2 2 4 4 2" xfId="18576" xr:uid="{AC4597E7-1071-4C69-BAB8-DA177A3D7575}"/>
    <cellStyle name="Normal 8 2 2 2 4 5" xfId="10368" xr:uid="{D6D29003-0D13-4211-949A-0CCB257E3267}"/>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17143" xr:uid="{6DB094FF-D786-49D2-876B-B46ADFA98CB2}"/>
    <cellStyle name="Normal 8 2 2 2 5 2 3" xfId="12926" xr:uid="{4FCB7210-AD87-4CE2-AB75-BAE5DE2D79FC}"/>
    <cellStyle name="Normal 8 2 2 2 5 3" xfId="5672" xr:uid="{00000000-0005-0000-0000-0000391C0000}"/>
    <cellStyle name="Normal 8 2 2 2 5 3 2" xfId="14998" xr:uid="{8ECE6EB2-0979-47F6-8B1E-6433CB445D73}"/>
    <cellStyle name="Normal 8 2 2 2 5 4" xfId="10781" xr:uid="{34F18B1C-224C-49F5-8288-C452F0EBA92F}"/>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17556" xr:uid="{8CE3D55B-97B2-40E8-82FF-F324F471541C}"/>
    <cellStyle name="Normal 8 2 2 2 6 2 3" xfId="13339" xr:uid="{CE3C6221-CC5C-452E-AB30-B7DA3F5D70E7}"/>
    <cellStyle name="Normal 8 2 2 2 6 3" xfId="6085" xr:uid="{00000000-0005-0000-0000-00003D1C0000}"/>
    <cellStyle name="Normal 8 2 2 2 6 3 2" xfId="15411" xr:uid="{E1942265-D311-40E3-B554-6B797ED6BCF4}"/>
    <cellStyle name="Normal 8 2 2 2 6 4" xfId="11194" xr:uid="{D19AAD2A-1651-489E-A66D-6C9524607CC0}"/>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17969" xr:uid="{BDB130BF-293D-40DC-9AEF-F2848DAC6724}"/>
    <cellStyle name="Normal 8 2 2 2 7 2 3" xfId="13752" xr:uid="{BBFA01D1-F761-477F-8376-F9C36E32B948}"/>
    <cellStyle name="Normal 8 2 2 2 7 3" xfId="6498" xr:uid="{00000000-0005-0000-0000-0000411C0000}"/>
    <cellStyle name="Normal 8 2 2 2 7 3 2" xfId="15824" xr:uid="{7D5BBBDA-53A9-4332-81B6-59AF8699665E}"/>
    <cellStyle name="Normal 8 2 2 2 7 4" xfId="11607" xr:uid="{AA085AFC-9102-4BAD-83E1-9ACFEDE2C93B}"/>
    <cellStyle name="Normal 8 2 2 2 8" xfId="2628" xr:uid="{00000000-0005-0000-0000-0000421C0000}"/>
    <cellStyle name="Normal 8 2 2 2 8 2" xfId="6911" xr:uid="{00000000-0005-0000-0000-0000431C0000}"/>
    <cellStyle name="Normal 8 2 2 2 8 2 2" xfId="16237" xr:uid="{1D9666E5-627A-4AE4-8067-9168357ED897}"/>
    <cellStyle name="Normal 8 2 2 2 8 3" xfId="12020" xr:uid="{722129B7-AFDC-4404-AD58-F028AA09D69C}"/>
    <cellStyle name="Normal 8 2 2 2 9" xfId="4846" xr:uid="{00000000-0005-0000-0000-0000441C0000}"/>
    <cellStyle name="Normal 8 2 2 2 9 2" xfId="14172" xr:uid="{22FB4F4C-7F2A-45AF-94FC-2A17184A3535}"/>
    <cellStyle name="Normal 8 2 2 3" xfId="485" xr:uid="{00000000-0005-0000-0000-0000451C0000}"/>
    <cellStyle name="Normal 8 2 2 3 10" xfId="9959" xr:uid="{E8EC1972-4D5D-439E-A0B9-5A6E2369A74B}"/>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16735" xr:uid="{A0462223-36A9-40A8-B639-7AE666669949}"/>
    <cellStyle name="Normal 8 2 2 3 2 2 2 3" xfId="12518" xr:uid="{91D000F8-0692-4DE6-85F5-1F36D06AFA5C}"/>
    <cellStyle name="Normal 8 2 2 3 2 2 3" xfId="5264" xr:uid="{00000000-0005-0000-0000-00004A1C0000}"/>
    <cellStyle name="Normal 8 2 2 3 2 2 3 2" xfId="14590" xr:uid="{6D5F0AE4-6F51-4193-B6B1-5619BF83AFEE}"/>
    <cellStyle name="Normal 8 2 2 3 2 2 4" xfId="9518" xr:uid="{FDE93D5E-A6D1-456B-8726-FC2AB8FD16A4}"/>
    <cellStyle name="Normal 8 2 2 3 2 2 4 2" xfId="18833" xr:uid="{11DF6484-1403-467F-95DF-6EC019C0FB90}"/>
    <cellStyle name="Normal 8 2 2 3 2 2 5" xfId="10373" xr:uid="{E8069E77-C743-4D02-A84D-634BB2883357}"/>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17148" xr:uid="{2D152332-1F9C-4FB2-B75B-0059E9E647C7}"/>
    <cellStyle name="Normal 8 2 2 3 2 3 2 3" xfId="12931" xr:uid="{AC73ABE5-B14E-4010-B0DC-21BD96075895}"/>
    <cellStyle name="Normal 8 2 2 3 2 3 3" xfId="5677" xr:uid="{00000000-0005-0000-0000-00004E1C0000}"/>
    <cellStyle name="Normal 8 2 2 3 2 3 3 2" xfId="15003" xr:uid="{6418B76F-97A1-4E9D-864E-70B3EB62599D}"/>
    <cellStyle name="Normal 8 2 2 3 2 3 4" xfId="10786" xr:uid="{E71FEED2-085C-4DB6-B830-815A7870DF5B}"/>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17561" xr:uid="{BD759038-0538-4AC0-8EF0-9C2680360B11}"/>
    <cellStyle name="Normal 8 2 2 3 2 4 2 3" xfId="13344" xr:uid="{A34E0F25-16E0-4B14-8D06-34A42877EB0B}"/>
    <cellStyle name="Normal 8 2 2 3 2 4 3" xfId="6090" xr:uid="{00000000-0005-0000-0000-0000521C0000}"/>
    <cellStyle name="Normal 8 2 2 3 2 4 3 2" xfId="15416" xr:uid="{C5AA8EED-3C09-4B12-9C6A-097D9C8C1542}"/>
    <cellStyle name="Normal 8 2 2 3 2 4 4" xfId="11199" xr:uid="{A1FBDFC2-9992-4C8F-95D2-A4C59DAD8AB4}"/>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17974" xr:uid="{9ACC4DDF-FCD5-48AC-B9F0-F6C432A1835D}"/>
    <cellStyle name="Normal 8 2 2 3 2 5 2 3" xfId="13757" xr:uid="{D35F8432-B36E-43F5-83F2-20A1087DBCF3}"/>
    <cellStyle name="Normal 8 2 2 3 2 5 3" xfId="6503" xr:uid="{00000000-0005-0000-0000-0000561C0000}"/>
    <cellStyle name="Normal 8 2 2 3 2 5 3 2" xfId="15829" xr:uid="{7D91099B-BADB-45BF-8E59-745F133E9B17}"/>
    <cellStyle name="Normal 8 2 2 3 2 5 4" xfId="11612" xr:uid="{12FAB6D7-AF34-4063-B131-64A6B897BEFE}"/>
    <cellStyle name="Normal 8 2 2 3 2 6" xfId="2633" xr:uid="{00000000-0005-0000-0000-0000571C0000}"/>
    <cellStyle name="Normal 8 2 2 3 2 6 2" xfId="6916" xr:uid="{00000000-0005-0000-0000-0000581C0000}"/>
    <cellStyle name="Normal 8 2 2 3 2 6 2 2" xfId="16242" xr:uid="{F3AC9CF4-F7A7-415E-B404-9A55D7A7DC02}"/>
    <cellStyle name="Normal 8 2 2 3 2 6 3" xfId="12025" xr:uid="{8B9B81EE-93B7-4E2E-9C63-067540C6C1A6}"/>
    <cellStyle name="Normal 8 2 2 3 2 7" xfId="4851" xr:uid="{00000000-0005-0000-0000-0000591C0000}"/>
    <cellStyle name="Normal 8 2 2 3 2 7 2" xfId="14177" xr:uid="{9061A45A-BB6C-4EA9-9CEB-4E94CC223E8E}"/>
    <cellStyle name="Normal 8 2 2 3 2 8" xfId="9093" xr:uid="{ADE34C72-BCCB-477C-B66A-BE7159CEB281}"/>
    <cellStyle name="Normal 8 2 2 3 2 8 2" xfId="18417" xr:uid="{A9180F17-A1E2-4C22-B460-434ABDE1FFFB}"/>
    <cellStyle name="Normal 8 2 2 3 2 9" xfId="9960" xr:uid="{5299B98C-E550-4250-85E3-BD643F513182}"/>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16734" xr:uid="{C02CEE53-5176-4B94-8B6A-F03B76867000}"/>
    <cellStyle name="Normal 8 2 2 3 3 2 3" xfId="12517" xr:uid="{BCC0AD1B-A83C-4886-83A2-F493AC2EAD96}"/>
    <cellStyle name="Normal 8 2 2 3 3 3" xfId="5263" xr:uid="{00000000-0005-0000-0000-00005D1C0000}"/>
    <cellStyle name="Normal 8 2 2 3 3 3 2" xfId="14589" xr:uid="{28B8988B-4038-4AA4-9E6F-972FE587EA5C}"/>
    <cellStyle name="Normal 8 2 2 3 3 4" xfId="9311" xr:uid="{F4618F1E-1235-4269-B5C6-B09BE5034F6C}"/>
    <cellStyle name="Normal 8 2 2 3 3 4 2" xfId="18626" xr:uid="{F75B1435-2BF1-4E9C-8088-35A275879361}"/>
    <cellStyle name="Normal 8 2 2 3 3 5" xfId="10372" xr:uid="{145B324E-540D-470A-804B-E4FEEACAE1B7}"/>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17147" xr:uid="{9139F2EA-1354-498B-AC1D-DBFC2FF6005B}"/>
    <cellStyle name="Normal 8 2 2 3 4 2 3" xfId="12930" xr:uid="{5139FE55-2736-4431-B723-140245211E6B}"/>
    <cellStyle name="Normal 8 2 2 3 4 3" xfId="5676" xr:uid="{00000000-0005-0000-0000-0000611C0000}"/>
    <cellStyle name="Normal 8 2 2 3 4 3 2" xfId="15002" xr:uid="{DD6599BF-529F-4F68-ACE5-1825FE512048}"/>
    <cellStyle name="Normal 8 2 2 3 4 4" xfId="10785" xr:uid="{89985496-CE7B-41FD-9B3C-33E9FD23A3A2}"/>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17560" xr:uid="{7308CD29-02CC-4599-8A1B-AAF00EA876D8}"/>
    <cellStyle name="Normal 8 2 2 3 5 2 3" xfId="13343" xr:uid="{F80FC04E-1B13-4EEB-A691-245E67749CBE}"/>
    <cellStyle name="Normal 8 2 2 3 5 3" xfId="6089" xr:uid="{00000000-0005-0000-0000-0000651C0000}"/>
    <cellStyle name="Normal 8 2 2 3 5 3 2" xfId="15415" xr:uid="{CD292802-F681-4B44-AACE-52FCE6041622}"/>
    <cellStyle name="Normal 8 2 2 3 5 4" xfId="11198" xr:uid="{D8F61B8F-E052-4E91-8553-3B038917424D}"/>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17973" xr:uid="{58099F8E-26A6-4B2F-AC2E-6E7C3612FF33}"/>
    <cellStyle name="Normal 8 2 2 3 6 2 3" xfId="13756" xr:uid="{B2185E3E-2462-4106-B7C6-B7169585C742}"/>
    <cellStyle name="Normal 8 2 2 3 6 3" xfId="6502" xr:uid="{00000000-0005-0000-0000-0000691C0000}"/>
    <cellStyle name="Normal 8 2 2 3 6 3 2" xfId="15828" xr:uid="{272EC845-9DE6-4DD1-ABC5-A3EF49683775}"/>
    <cellStyle name="Normal 8 2 2 3 6 4" xfId="11611" xr:uid="{ACDCA6A2-40DE-4640-8994-48C16FC62849}"/>
    <cellStyle name="Normal 8 2 2 3 7" xfId="2632" xr:uid="{00000000-0005-0000-0000-00006A1C0000}"/>
    <cellStyle name="Normal 8 2 2 3 7 2" xfId="6915" xr:uid="{00000000-0005-0000-0000-00006B1C0000}"/>
    <cellStyle name="Normal 8 2 2 3 7 2 2" xfId="16241" xr:uid="{940250B8-FCC1-488E-8478-66C9A863BAF8}"/>
    <cellStyle name="Normal 8 2 2 3 7 3" xfId="12024" xr:uid="{2AD0F6C9-6CA6-4D08-9366-09CE81D3F584}"/>
    <cellStyle name="Normal 8 2 2 3 8" xfId="4850" xr:uid="{00000000-0005-0000-0000-00006C1C0000}"/>
    <cellStyle name="Normal 8 2 2 3 8 2" xfId="14176" xr:uid="{D6A31EE1-B6EC-4A1F-A34C-A924F8298C57}"/>
    <cellStyle name="Normal 8 2 2 3 9" xfId="8886" xr:uid="{B2A45ACA-2377-4A40-A818-E7106AD46E30}"/>
    <cellStyle name="Normal 8 2 2 3 9 2" xfId="18210" xr:uid="{BFEC0E34-DE78-4E2D-B03A-949F09D9D0F7}"/>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16736" xr:uid="{04275981-8E7E-4BA8-BE83-EFF32EC90A55}"/>
    <cellStyle name="Normal 8 2 2 4 2 2 3" xfId="12519" xr:uid="{FF9491B8-7429-4AFC-B40D-1DCE9EDA6591}"/>
    <cellStyle name="Normal 8 2 2 4 2 3" xfId="5265" xr:uid="{00000000-0005-0000-0000-0000711C0000}"/>
    <cellStyle name="Normal 8 2 2 4 2 3 2" xfId="14591" xr:uid="{284148DA-7D01-43A9-93B8-5F58FABA477D}"/>
    <cellStyle name="Normal 8 2 2 4 2 4" xfId="9415" xr:uid="{88D7FF95-DEA9-4369-BE01-487FC7B2B7E8}"/>
    <cellStyle name="Normal 8 2 2 4 2 4 2" xfId="18730" xr:uid="{D1497AFC-B295-4F1A-8D9E-7AF94398E797}"/>
    <cellStyle name="Normal 8 2 2 4 2 5" xfId="10374" xr:uid="{89818486-9F39-4602-BE93-1A77F83122FD}"/>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17149" xr:uid="{B2C18F53-95A4-47C5-9A08-CB3FC01E9B9E}"/>
    <cellStyle name="Normal 8 2 2 4 3 2 3" xfId="12932" xr:uid="{A275846F-1776-4860-8AB8-FF3BABE39173}"/>
    <cellStyle name="Normal 8 2 2 4 3 3" xfId="5678" xr:uid="{00000000-0005-0000-0000-0000751C0000}"/>
    <cellStyle name="Normal 8 2 2 4 3 3 2" xfId="15004" xr:uid="{813B2BF1-DA75-41CC-9C75-0FE926B6E12D}"/>
    <cellStyle name="Normal 8 2 2 4 3 4" xfId="10787" xr:uid="{B6ED8983-6BCF-49FB-A151-1888AEB2A090}"/>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17562" xr:uid="{9E307F53-099A-4945-A8B3-208552E22284}"/>
    <cellStyle name="Normal 8 2 2 4 4 2 3" xfId="13345" xr:uid="{082EFF85-1BCE-40B1-8D90-389DDBA67FC8}"/>
    <cellStyle name="Normal 8 2 2 4 4 3" xfId="6091" xr:uid="{00000000-0005-0000-0000-0000791C0000}"/>
    <cellStyle name="Normal 8 2 2 4 4 3 2" xfId="15417" xr:uid="{4C47AB63-0E41-48C5-9C2E-185D14BD5012}"/>
    <cellStyle name="Normal 8 2 2 4 4 4" xfId="11200" xr:uid="{8863D128-3B51-425C-B7B6-D674E1F0AE20}"/>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17975" xr:uid="{1FF16BFB-9F48-4CFE-B5AA-E89C99A64C86}"/>
    <cellStyle name="Normal 8 2 2 4 5 2 3" xfId="13758" xr:uid="{A8C32697-BC43-4CFE-95E8-9D3D790A6025}"/>
    <cellStyle name="Normal 8 2 2 4 5 3" xfId="6504" xr:uid="{00000000-0005-0000-0000-00007D1C0000}"/>
    <cellStyle name="Normal 8 2 2 4 5 3 2" xfId="15830" xr:uid="{50E49E77-504E-45A2-ADD1-BAFAF61D7C9C}"/>
    <cellStyle name="Normal 8 2 2 4 5 4" xfId="11613" xr:uid="{53EDFBF4-D7F4-4C72-B1D1-90E5B408A6F8}"/>
    <cellStyle name="Normal 8 2 2 4 6" xfId="2634" xr:uid="{00000000-0005-0000-0000-00007E1C0000}"/>
    <cellStyle name="Normal 8 2 2 4 6 2" xfId="6917" xr:uid="{00000000-0005-0000-0000-00007F1C0000}"/>
    <cellStyle name="Normal 8 2 2 4 6 2 2" xfId="16243" xr:uid="{83B8ABD6-38DF-40F2-A11A-A7018A7C78CA}"/>
    <cellStyle name="Normal 8 2 2 4 6 3" xfId="12026" xr:uid="{E4C7EE7A-1DF0-4932-AB72-8CC19EE1D387}"/>
    <cellStyle name="Normal 8 2 2 4 7" xfId="4852" xr:uid="{00000000-0005-0000-0000-0000801C0000}"/>
    <cellStyle name="Normal 8 2 2 4 7 2" xfId="14178" xr:uid="{68A60004-69AB-4AA9-975B-8D93E8F18546}"/>
    <cellStyle name="Normal 8 2 2 4 8" xfId="8990" xr:uid="{F08D85C9-EB04-4227-BEA0-1B51DDB63DFA}"/>
    <cellStyle name="Normal 8 2 2 4 8 2" xfId="18314" xr:uid="{DC74ACDB-6136-45F8-BC37-9778A29613AC}"/>
    <cellStyle name="Normal 8 2 2 4 9" xfId="9961" xr:uid="{8D4B0884-48D3-4BC8-966B-2AEC04E857D6}"/>
    <cellStyle name="Normal 8 2 2 5" xfId="947" xr:uid="{00000000-0005-0000-0000-0000811C0000}"/>
    <cellStyle name="Normal 8 2 2 5 2" xfId="3181" xr:uid="{00000000-0005-0000-0000-0000821C0000}"/>
    <cellStyle name="Normal 8 2 2 5 2 2" xfId="7403" xr:uid="{00000000-0005-0000-0000-0000831C0000}"/>
    <cellStyle name="Normal 8 2 2 5 2 2 2" xfId="16729" xr:uid="{4DDB02FC-C22C-4506-95FA-196C97B1B3F7}"/>
    <cellStyle name="Normal 8 2 2 5 2 3" xfId="12512" xr:uid="{77A2CD74-0240-410B-846A-197910A7FD1E}"/>
    <cellStyle name="Normal 8 2 2 5 3" xfId="5258" xr:uid="{00000000-0005-0000-0000-0000841C0000}"/>
    <cellStyle name="Normal 8 2 2 5 3 2" xfId="14584" xr:uid="{02131E88-FCBC-4B54-B840-54629BACAEE1}"/>
    <cellStyle name="Normal 8 2 2 5 4" xfId="9207" xr:uid="{D4CDC4D2-5794-400F-B850-1B259D26C1FE}"/>
    <cellStyle name="Normal 8 2 2 5 4 2" xfId="18523" xr:uid="{2560B58A-DE68-42A3-8592-7DC18CE50220}"/>
    <cellStyle name="Normal 8 2 2 5 5" xfId="10367" xr:uid="{1E166898-5CCC-496F-99F3-4CDBF726992F}"/>
    <cellStyle name="Normal 8 2 2 6" xfId="1364" xr:uid="{00000000-0005-0000-0000-0000851C0000}"/>
    <cellStyle name="Normal 8 2 2 6 2" xfId="3594" xr:uid="{00000000-0005-0000-0000-0000861C0000}"/>
    <cellStyle name="Normal 8 2 2 6 2 2" xfId="7816" xr:uid="{00000000-0005-0000-0000-0000871C0000}"/>
    <cellStyle name="Normal 8 2 2 6 2 2 2" xfId="17142" xr:uid="{A6D5A4B9-3FC2-4FE3-B39A-C1D2515B9A8A}"/>
    <cellStyle name="Normal 8 2 2 6 2 3" xfId="12925" xr:uid="{B686F818-DF94-4019-B186-411B34D49437}"/>
    <cellStyle name="Normal 8 2 2 6 3" xfId="5671" xr:uid="{00000000-0005-0000-0000-0000881C0000}"/>
    <cellStyle name="Normal 8 2 2 6 3 2" xfId="14997" xr:uid="{0E9A5348-73EB-4B59-BB15-9BA6F787D6B1}"/>
    <cellStyle name="Normal 8 2 2 6 4" xfId="10780" xr:uid="{555FE636-2567-4BD1-827A-4B6CA0628E83}"/>
    <cellStyle name="Normal 8 2 2 7" xfId="1777" xr:uid="{00000000-0005-0000-0000-0000891C0000}"/>
    <cellStyle name="Normal 8 2 2 7 2" xfId="4007" xr:uid="{00000000-0005-0000-0000-00008A1C0000}"/>
    <cellStyle name="Normal 8 2 2 7 2 2" xfId="8229" xr:uid="{00000000-0005-0000-0000-00008B1C0000}"/>
    <cellStyle name="Normal 8 2 2 7 2 2 2" xfId="17555" xr:uid="{AF72C454-D0F3-4FC3-B115-F7B45AF85EF8}"/>
    <cellStyle name="Normal 8 2 2 7 2 3" xfId="13338" xr:uid="{E80BF2C4-5F31-4694-95C0-EAF4D93157AE}"/>
    <cellStyle name="Normal 8 2 2 7 3" xfId="6084" xr:uid="{00000000-0005-0000-0000-00008C1C0000}"/>
    <cellStyle name="Normal 8 2 2 7 3 2" xfId="15410" xr:uid="{69FCE92F-F4D8-4406-B510-CE5A0C03D1D4}"/>
    <cellStyle name="Normal 8 2 2 7 4" xfId="11193" xr:uid="{D1A384C2-6863-4385-B6A9-6B2D3F130BF5}"/>
    <cellStyle name="Normal 8 2 2 8" xfId="2191" xr:uid="{00000000-0005-0000-0000-00008D1C0000}"/>
    <cellStyle name="Normal 8 2 2 8 2" xfId="4420" xr:uid="{00000000-0005-0000-0000-00008E1C0000}"/>
    <cellStyle name="Normal 8 2 2 8 2 2" xfId="8642" xr:uid="{00000000-0005-0000-0000-00008F1C0000}"/>
    <cellStyle name="Normal 8 2 2 8 2 2 2" xfId="17968" xr:uid="{AFA8D6DB-149E-4FBF-9ADD-11260A2DDE3E}"/>
    <cellStyle name="Normal 8 2 2 8 2 3" xfId="13751" xr:uid="{DA0059F7-6F31-441A-9F4F-509155DCB087}"/>
    <cellStyle name="Normal 8 2 2 8 3" xfId="6497" xr:uid="{00000000-0005-0000-0000-0000901C0000}"/>
    <cellStyle name="Normal 8 2 2 8 3 2" xfId="15823" xr:uid="{C9B8ED2A-1051-4D30-93DA-4CAC6CC37FC2}"/>
    <cellStyle name="Normal 8 2 2 8 4" xfId="11606" xr:uid="{A6F82B22-0083-46BF-9A04-1526DEDA7ECE}"/>
    <cellStyle name="Normal 8 2 2 9" xfId="2627" xr:uid="{00000000-0005-0000-0000-0000911C0000}"/>
    <cellStyle name="Normal 8 2 2 9 2" xfId="6910" xr:uid="{00000000-0005-0000-0000-0000921C0000}"/>
    <cellStyle name="Normal 8 2 2 9 2 2" xfId="16236" xr:uid="{09BCC285-9D26-4F7B-BDCF-5EAFE5104200}"/>
    <cellStyle name="Normal 8 2 2 9 3" xfId="12019" xr:uid="{2DAD57EA-0DB2-4015-B229-A4E211719EDD}"/>
    <cellStyle name="Normal 8 2 3" xfId="488" xr:uid="{00000000-0005-0000-0000-0000931C0000}"/>
    <cellStyle name="Normal 8 2 3 10" xfId="8835" xr:uid="{2F0FB8B3-D08B-41EB-93AB-2D83A1BD6036}"/>
    <cellStyle name="Normal 8 2 3 10 2" xfId="18159" xr:uid="{9FBD6FA9-61CF-46FB-B004-FE27BEC6E60B}"/>
    <cellStyle name="Normal 8 2 3 11" xfId="9962" xr:uid="{955F6150-C6E0-4C95-81A0-293B790A5850}"/>
    <cellStyle name="Normal 8 2 3 2" xfId="489" xr:uid="{00000000-0005-0000-0000-0000941C0000}"/>
    <cellStyle name="Normal 8 2 3 2 10" xfId="9963" xr:uid="{7EA95A5E-CE77-43D8-BE58-9175622AA835}"/>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16739" xr:uid="{7A92E54C-8A58-46C0-A011-D86EBFFF016C}"/>
    <cellStyle name="Normal 8 2 3 2 2 2 2 3" xfId="12522" xr:uid="{93953250-8CA7-4223-B9DB-B9A899F350CC}"/>
    <cellStyle name="Normal 8 2 3 2 2 2 3" xfId="5268" xr:uid="{00000000-0005-0000-0000-0000991C0000}"/>
    <cellStyle name="Normal 8 2 3 2 2 2 3 2" xfId="14594" xr:uid="{4A38D5EE-5A8C-4DFF-93F5-75BCABEEAEB4}"/>
    <cellStyle name="Normal 8 2 3 2 2 2 4" xfId="9570" xr:uid="{BA9732E0-D9E4-47DB-882D-D871A821FA55}"/>
    <cellStyle name="Normal 8 2 3 2 2 2 4 2" xfId="18885" xr:uid="{BDE457E0-D585-4999-92EE-26B9A18250AB}"/>
    <cellStyle name="Normal 8 2 3 2 2 2 5" xfId="10377" xr:uid="{3A01528A-9E07-45BF-86E7-A20FA8B2E62A}"/>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17152" xr:uid="{82157881-5607-46FF-88AF-8CF24AF6847D}"/>
    <cellStyle name="Normal 8 2 3 2 2 3 2 3" xfId="12935" xr:uid="{92E0AD4D-A452-47A0-AC5B-8255E9A92EC8}"/>
    <cellStyle name="Normal 8 2 3 2 2 3 3" xfId="5681" xr:uid="{00000000-0005-0000-0000-00009D1C0000}"/>
    <cellStyle name="Normal 8 2 3 2 2 3 3 2" xfId="15007" xr:uid="{C77F970D-EA17-428A-83A2-07E5E543D16E}"/>
    <cellStyle name="Normal 8 2 3 2 2 3 4" xfId="10790" xr:uid="{9FDF899F-D7DD-447C-81D2-A6BBD98D1965}"/>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17565" xr:uid="{4EC5D989-D589-4A66-A94D-54AE903E90E1}"/>
    <cellStyle name="Normal 8 2 3 2 2 4 2 3" xfId="13348" xr:uid="{C099B10A-23B3-4730-9852-3AB6750731E9}"/>
    <cellStyle name="Normal 8 2 3 2 2 4 3" xfId="6094" xr:uid="{00000000-0005-0000-0000-0000A11C0000}"/>
    <cellStyle name="Normal 8 2 3 2 2 4 3 2" xfId="15420" xr:uid="{EB65F42F-91E3-49E2-9443-2F29B15FEC92}"/>
    <cellStyle name="Normal 8 2 3 2 2 4 4" xfId="11203" xr:uid="{BFE104DE-0A25-4406-A2BE-B14D814ED2A5}"/>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17978" xr:uid="{EC91FEBB-2CEB-43DF-8EDD-78D78A3A7F8C}"/>
    <cellStyle name="Normal 8 2 3 2 2 5 2 3" xfId="13761" xr:uid="{416CAEFD-7C01-491C-BA43-A034727F3B7F}"/>
    <cellStyle name="Normal 8 2 3 2 2 5 3" xfId="6507" xr:uid="{00000000-0005-0000-0000-0000A51C0000}"/>
    <cellStyle name="Normal 8 2 3 2 2 5 3 2" xfId="15833" xr:uid="{C1F3BD23-C867-43E3-9A4C-4BEB4740ABD5}"/>
    <cellStyle name="Normal 8 2 3 2 2 5 4" xfId="11616" xr:uid="{B9209407-FF65-4E2E-829D-C3ACCBFCEF65}"/>
    <cellStyle name="Normal 8 2 3 2 2 6" xfId="2637" xr:uid="{00000000-0005-0000-0000-0000A61C0000}"/>
    <cellStyle name="Normal 8 2 3 2 2 6 2" xfId="6920" xr:uid="{00000000-0005-0000-0000-0000A71C0000}"/>
    <cellStyle name="Normal 8 2 3 2 2 6 2 2" xfId="16246" xr:uid="{5D4702AB-BF47-49BE-9D34-1D9F4DA6B23B}"/>
    <cellStyle name="Normal 8 2 3 2 2 6 3" xfId="12029" xr:uid="{5877D484-484D-4102-A920-244D5066C3E9}"/>
    <cellStyle name="Normal 8 2 3 2 2 7" xfId="4855" xr:uid="{00000000-0005-0000-0000-0000A81C0000}"/>
    <cellStyle name="Normal 8 2 3 2 2 7 2" xfId="14181" xr:uid="{D73286DF-716B-4A65-B146-C23EA7C59C64}"/>
    <cellStyle name="Normal 8 2 3 2 2 8" xfId="9145" xr:uid="{C71E6005-187D-4837-92B4-619AF06B3A3B}"/>
    <cellStyle name="Normal 8 2 3 2 2 8 2" xfId="18469" xr:uid="{6EC177C5-8219-4C66-A5CD-D0517B2EEA2E}"/>
    <cellStyle name="Normal 8 2 3 2 2 9" xfId="9964" xr:uid="{7E29050A-8B83-4457-BF22-B474A9AD6E76}"/>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16738" xr:uid="{CF17FDE3-2D80-46E3-8178-C0BFE7AA4421}"/>
    <cellStyle name="Normal 8 2 3 2 3 2 3" xfId="12521" xr:uid="{CD7BD16D-36AF-4003-8028-DA7C1EEA592D}"/>
    <cellStyle name="Normal 8 2 3 2 3 3" xfId="5267" xr:uid="{00000000-0005-0000-0000-0000AC1C0000}"/>
    <cellStyle name="Normal 8 2 3 2 3 3 2" xfId="14593" xr:uid="{2ABA8FA2-D3F3-468C-B075-F4E50D94F282}"/>
    <cellStyle name="Normal 8 2 3 2 3 4" xfId="9363" xr:uid="{C94C6C98-A8BC-4AC9-B084-0D2219E89AA8}"/>
    <cellStyle name="Normal 8 2 3 2 3 4 2" xfId="18678" xr:uid="{69C88136-8E60-43EE-814C-40D848A53D46}"/>
    <cellStyle name="Normal 8 2 3 2 3 5" xfId="10376" xr:uid="{87008039-F850-4720-8F23-2EC8CB9F04E0}"/>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17151" xr:uid="{AB786CD4-8CFF-487E-9E7F-36D5052F9C20}"/>
    <cellStyle name="Normal 8 2 3 2 4 2 3" xfId="12934" xr:uid="{83B6495E-D2D3-4497-9B36-0F0F915C4F56}"/>
    <cellStyle name="Normal 8 2 3 2 4 3" xfId="5680" xr:uid="{00000000-0005-0000-0000-0000B01C0000}"/>
    <cellStyle name="Normal 8 2 3 2 4 3 2" xfId="15006" xr:uid="{CE02C0B5-8839-41AD-AD78-8C382B384EAB}"/>
    <cellStyle name="Normal 8 2 3 2 4 4" xfId="10789" xr:uid="{0228C2C9-CA7C-47B4-A704-3A2330778892}"/>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17564" xr:uid="{75DBB49D-A57F-423B-880D-DE85114150F7}"/>
    <cellStyle name="Normal 8 2 3 2 5 2 3" xfId="13347" xr:uid="{8A8F84D0-8BF3-4338-9042-16C6EE43DBF4}"/>
    <cellStyle name="Normal 8 2 3 2 5 3" xfId="6093" xr:uid="{00000000-0005-0000-0000-0000B41C0000}"/>
    <cellStyle name="Normal 8 2 3 2 5 3 2" xfId="15419" xr:uid="{267754A2-C051-4104-9221-A45F80CBE319}"/>
    <cellStyle name="Normal 8 2 3 2 5 4" xfId="11202" xr:uid="{507B6D4C-F38B-4A18-8342-F6CC643E0359}"/>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17977" xr:uid="{5E3715A1-71BA-445B-A078-21ED4B072BBA}"/>
    <cellStyle name="Normal 8 2 3 2 6 2 3" xfId="13760" xr:uid="{2A6887E6-D338-43D8-9CCF-361C59356C36}"/>
    <cellStyle name="Normal 8 2 3 2 6 3" xfId="6506" xr:uid="{00000000-0005-0000-0000-0000B81C0000}"/>
    <cellStyle name="Normal 8 2 3 2 6 3 2" xfId="15832" xr:uid="{690EACAE-1562-42AF-83C9-1B32BD104AD4}"/>
    <cellStyle name="Normal 8 2 3 2 6 4" xfId="11615" xr:uid="{5FE9EBEA-5493-4A66-9761-398381E28409}"/>
    <cellStyle name="Normal 8 2 3 2 7" xfId="2636" xr:uid="{00000000-0005-0000-0000-0000B91C0000}"/>
    <cellStyle name="Normal 8 2 3 2 7 2" xfId="6919" xr:uid="{00000000-0005-0000-0000-0000BA1C0000}"/>
    <cellStyle name="Normal 8 2 3 2 7 2 2" xfId="16245" xr:uid="{1D91FD19-E3F0-4641-8F1A-BB219C27DDB9}"/>
    <cellStyle name="Normal 8 2 3 2 7 3" xfId="12028" xr:uid="{86D2F659-B276-4E0C-8F5F-14C42A2D2BC5}"/>
    <cellStyle name="Normal 8 2 3 2 8" xfId="4854" xr:uid="{00000000-0005-0000-0000-0000BB1C0000}"/>
    <cellStyle name="Normal 8 2 3 2 8 2" xfId="14180" xr:uid="{FCC91F17-E031-4821-97BB-071610156DF4}"/>
    <cellStyle name="Normal 8 2 3 2 9" xfId="8938" xr:uid="{1EAF77CE-4DC3-40DC-AA9D-31320D478EE9}"/>
    <cellStyle name="Normal 8 2 3 2 9 2" xfId="18262" xr:uid="{CCACE04D-4A92-4206-9DEF-C55E9836F5DC}"/>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16740" xr:uid="{2616F38C-9E37-42BF-A9E2-F2EBD803DD35}"/>
    <cellStyle name="Normal 8 2 3 3 2 2 3" xfId="12523" xr:uid="{C65FD7D5-259A-4559-BC4C-5F33532EC77F}"/>
    <cellStyle name="Normal 8 2 3 3 2 3" xfId="5269" xr:uid="{00000000-0005-0000-0000-0000C01C0000}"/>
    <cellStyle name="Normal 8 2 3 3 2 3 2" xfId="14595" xr:uid="{67BE215E-91AD-4482-A1E5-98CA7A19618E}"/>
    <cellStyle name="Normal 8 2 3 3 2 4" xfId="9467" xr:uid="{C16001D7-8508-4511-808F-E990F8EA0FE3}"/>
    <cellStyle name="Normal 8 2 3 3 2 4 2" xfId="18782" xr:uid="{9B5BD59E-5C20-42D7-BC61-53798B371CFA}"/>
    <cellStyle name="Normal 8 2 3 3 2 5" xfId="10378" xr:uid="{7868FF54-40A1-4C5A-872A-3A55365B95FB}"/>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17153" xr:uid="{77219299-3531-40B8-814F-18F1EFBA3D64}"/>
    <cellStyle name="Normal 8 2 3 3 3 2 3" xfId="12936" xr:uid="{ACCAD395-F8FD-4974-9326-4D8B7AAE641D}"/>
    <cellStyle name="Normal 8 2 3 3 3 3" xfId="5682" xr:uid="{00000000-0005-0000-0000-0000C41C0000}"/>
    <cellStyle name="Normal 8 2 3 3 3 3 2" xfId="15008" xr:uid="{1E86CDB7-0BA7-4B00-B1FF-1D7D5CC9BF75}"/>
    <cellStyle name="Normal 8 2 3 3 3 4" xfId="10791" xr:uid="{CF9DD435-6022-483C-A802-E83CF81B4168}"/>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17566" xr:uid="{85064099-A7E6-4D8A-B61C-382A8D7CF8C4}"/>
    <cellStyle name="Normal 8 2 3 3 4 2 3" xfId="13349" xr:uid="{67B3D976-693D-4C11-9B74-FCB657EB3A93}"/>
    <cellStyle name="Normal 8 2 3 3 4 3" xfId="6095" xr:uid="{00000000-0005-0000-0000-0000C81C0000}"/>
    <cellStyle name="Normal 8 2 3 3 4 3 2" xfId="15421" xr:uid="{DE9C590A-1AF0-4FCE-9879-815B9350B935}"/>
    <cellStyle name="Normal 8 2 3 3 4 4" xfId="11204" xr:uid="{423B1C53-D304-481A-80C5-5725472A1F0A}"/>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17979" xr:uid="{65A1C00C-3F84-4838-8B5D-CFA318680A19}"/>
    <cellStyle name="Normal 8 2 3 3 5 2 3" xfId="13762" xr:uid="{1F2A8437-369F-48E9-AB48-0355D7F2E6DC}"/>
    <cellStyle name="Normal 8 2 3 3 5 3" xfId="6508" xr:uid="{00000000-0005-0000-0000-0000CC1C0000}"/>
    <cellStyle name="Normal 8 2 3 3 5 3 2" xfId="15834" xr:uid="{35FB9952-C565-46C6-84B9-DEE3A6769A83}"/>
    <cellStyle name="Normal 8 2 3 3 5 4" xfId="11617" xr:uid="{0DDABFF9-EA39-459C-ABAE-6C6AEA63A0CF}"/>
    <cellStyle name="Normal 8 2 3 3 6" xfId="2638" xr:uid="{00000000-0005-0000-0000-0000CD1C0000}"/>
    <cellStyle name="Normal 8 2 3 3 6 2" xfId="6921" xr:uid="{00000000-0005-0000-0000-0000CE1C0000}"/>
    <cellStyle name="Normal 8 2 3 3 6 2 2" xfId="16247" xr:uid="{2E67400C-3BB4-4D7E-A3E9-718D432D148E}"/>
    <cellStyle name="Normal 8 2 3 3 6 3" xfId="12030" xr:uid="{A70C0EEF-DE8A-47CD-9EF2-4A04F3E7CE10}"/>
    <cellStyle name="Normal 8 2 3 3 7" xfId="4856" xr:uid="{00000000-0005-0000-0000-0000CF1C0000}"/>
    <cellStyle name="Normal 8 2 3 3 7 2" xfId="14182" xr:uid="{CA8CE5F2-9389-4B29-A239-DFABED73F03E}"/>
    <cellStyle name="Normal 8 2 3 3 8" xfId="9042" xr:uid="{D820ED39-BAB1-48C1-A68D-2017E247E432}"/>
    <cellStyle name="Normal 8 2 3 3 8 2" xfId="18366" xr:uid="{C25E6625-D5E4-4324-B1E7-28FE405F67EC}"/>
    <cellStyle name="Normal 8 2 3 3 9" xfId="9965" xr:uid="{65D42D9C-0AA9-46D2-B4DE-BBB9A32B0259}"/>
    <cellStyle name="Normal 8 2 3 4" xfId="955" xr:uid="{00000000-0005-0000-0000-0000D01C0000}"/>
    <cellStyle name="Normal 8 2 3 4 2" xfId="3189" xr:uid="{00000000-0005-0000-0000-0000D11C0000}"/>
    <cellStyle name="Normal 8 2 3 4 2 2" xfId="7411" xr:uid="{00000000-0005-0000-0000-0000D21C0000}"/>
    <cellStyle name="Normal 8 2 3 4 2 2 2" xfId="16737" xr:uid="{090C9175-6478-42DF-8BE0-56A50E3B25FC}"/>
    <cellStyle name="Normal 8 2 3 4 2 3" xfId="12520" xr:uid="{C28EB374-C9B8-46FB-9199-76F8DDDC2C08}"/>
    <cellStyle name="Normal 8 2 3 4 3" xfId="5266" xr:uid="{00000000-0005-0000-0000-0000D31C0000}"/>
    <cellStyle name="Normal 8 2 3 4 3 2" xfId="14592" xr:uid="{098D7573-E94F-4152-B7BE-90AF9EB2A786}"/>
    <cellStyle name="Normal 8 2 3 4 4" xfId="9260" xr:uid="{70FF5A16-C89A-42B7-A603-E23A7C2F443C}"/>
    <cellStyle name="Normal 8 2 3 4 4 2" xfId="18575" xr:uid="{B3A8A27C-D0F6-422A-911E-4032ECBA14E8}"/>
    <cellStyle name="Normal 8 2 3 4 5" xfId="10375" xr:uid="{B0EBE3CB-44E6-4430-B6AD-D9E4EA2D027E}"/>
    <cellStyle name="Normal 8 2 3 5" xfId="1372" xr:uid="{00000000-0005-0000-0000-0000D41C0000}"/>
    <cellStyle name="Normal 8 2 3 5 2" xfId="3602" xr:uid="{00000000-0005-0000-0000-0000D51C0000}"/>
    <cellStyle name="Normal 8 2 3 5 2 2" xfId="7824" xr:uid="{00000000-0005-0000-0000-0000D61C0000}"/>
    <cellStyle name="Normal 8 2 3 5 2 2 2" xfId="17150" xr:uid="{A77379E1-2CFA-4212-964F-DC276EF27E78}"/>
    <cellStyle name="Normal 8 2 3 5 2 3" xfId="12933" xr:uid="{4B957FE6-6BD4-4897-B724-05981BA74145}"/>
    <cellStyle name="Normal 8 2 3 5 3" xfId="5679" xr:uid="{00000000-0005-0000-0000-0000D71C0000}"/>
    <cellStyle name="Normal 8 2 3 5 3 2" xfId="15005" xr:uid="{BDC3F8D0-6154-4334-9A4B-B75E3184B11B}"/>
    <cellStyle name="Normal 8 2 3 5 4" xfId="10788" xr:uid="{A63F088F-62DF-49B4-993E-186971DC8250}"/>
    <cellStyle name="Normal 8 2 3 6" xfId="1785" xr:uid="{00000000-0005-0000-0000-0000D81C0000}"/>
    <cellStyle name="Normal 8 2 3 6 2" xfId="4015" xr:uid="{00000000-0005-0000-0000-0000D91C0000}"/>
    <cellStyle name="Normal 8 2 3 6 2 2" xfId="8237" xr:uid="{00000000-0005-0000-0000-0000DA1C0000}"/>
    <cellStyle name="Normal 8 2 3 6 2 2 2" xfId="17563" xr:uid="{46D3E6C4-C057-449E-B6C7-5BA18F252F28}"/>
    <cellStyle name="Normal 8 2 3 6 2 3" xfId="13346" xr:uid="{E21B8226-E1FA-4CAA-8338-01B280437AD2}"/>
    <cellStyle name="Normal 8 2 3 6 3" xfId="6092" xr:uid="{00000000-0005-0000-0000-0000DB1C0000}"/>
    <cellStyle name="Normal 8 2 3 6 3 2" xfId="15418" xr:uid="{94A14725-3204-4503-ADC6-916C55783346}"/>
    <cellStyle name="Normal 8 2 3 6 4" xfId="11201" xr:uid="{5B7854E0-7352-47F6-9F0E-EACD0379BC31}"/>
    <cellStyle name="Normal 8 2 3 7" xfId="2199" xr:uid="{00000000-0005-0000-0000-0000DC1C0000}"/>
    <cellStyle name="Normal 8 2 3 7 2" xfId="4428" xr:uid="{00000000-0005-0000-0000-0000DD1C0000}"/>
    <cellStyle name="Normal 8 2 3 7 2 2" xfId="8650" xr:uid="{00000000-0005-0000-0000-0000DE1C0000}"/>
    <cellStyle name="Normal 8 2 3 7 2 2 2" xfId="17976" xr:uid="{CEBCA727-3303-4576-ABEF-B6C6F4B9AF0E}"/>
    <cellStyle name="Normal 8 2 3 7 2 3" xfId="13759" xr:uid="{BD9955E3-CC85-434C-A95F-4815CA5598A6}"/>
    <cellStyle name="Normal 8 2 3 7 3" xfId="6505" xr:uid="{00000000-0005-0000-0000-0000DF1C0000}"/>
    <cellStyle name="Normal 8 2 3 7 3 2" xfId="15831" xr:uid="{1F95ADAA-3003-4A4A-806D-2CF88A00396C}"/>
    <cellStyle name="Normal 8 2 3 7 4" xfId="11614" xr:uid="{B2C39D18-74AE-4DEE-B840-F5D7A24C7769}"/>
    <cellStyle name="Normal 8 2 3 8" xfId="2635" xr:uid="{00000000-0005-0000-0000-0000E01C0000}"/>
    <cellStyle name="Normal 8 2 3 8 2" xfId="6918" xr:uid="{00000000-0005-0000-0000-0000E11C0000}"/>
    <cellStyle name="Normal 8 2 3 8 2 2" xfId="16244" xr:uid="{4A991E8F-02D3-4E8F-BCD9-9D805B55B48B}"/>
    <cellStyle name="Normal 8 2 3 8 3" xfId="12027" xr:uid="{194C830D-FB4A-457B-A0AF-5183C489F6BB}"/>
    <cellStyle name="Normal 8 2 3 9" xfId="4853" xr:uid="{00000000-0005-0000-0000-0000E21C0000}"/>
    <cellStyle name="Normal 8 2 3 9 2" xfId="14179" xr:uid="{472E086B-B487-456D-8FB8-604619C38899}"/>
    <cellStyle name="Normal 8 2 4" xfId="492" xr:uid="{00000000-0005-0000-0000-0000E31C0000}"/>
    <cellStyle name="Normal 8 2 4 10" xfId="9966" xr:uid="{29041168-B1ED-4766-A378-DA15FF490E72}"/>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16742" xr:uid="{414BA342-36BF-4B2D-A8F3-3AB624DF3B9E}"/>
    <cellStyle name="Normal 8 2 4 2 2 2 3" xfId="12525" xr:uid="{4F41F67F-F9C7-4267-AF69-6B38ABDF4723}"/>
    <cellStyle name="Normal 8 2 4 2 2 3" xfId="5271" xr:uid="{00000000-0005-0000-0000-0000E81C0000}"/>
    <cellStyle name="Normal 8 2 4 2 2 3 2" xfId="14597" xr:uid="{5EFA7C8F-F8DB-43FA-A976-C7F7647EB864}"/>
    <cellStyle name="Normal 8 2 4 2 2 4" xfId="9486" xr:uid="{9F6EBE4C-F02F-43A6-A388-D5EACB1B3099}"/>
    <cellStyle name="Normal 8 2 4 2 2 4 2" xfId="18801" xr:uid="{4309A762-412A-413C-80FC-28BF9BD46F99}"/>
    <cellStyle name="Normal 8 2 4 2 2 5" xfId="10380" xr:uid="{0BC882CA-AF56-4BB6-A55E-C4EB24FE9ED5}"/>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17155" xr:uid="{765B4C43-26C4-406E-AB08-6946F7A5EAE5}"/>
    <cellStyle name="Normal 8 2 4 2 3 2 3" xfId="12938" xr:uid="{20F0C020-8527-4CEE-869F-9D7F9907AD85}"/>
    <cellStyle name="Normal 8 2 4 2 3 3" xfId="5684" xr:uid="{00000000-0005-0000-0000-0000EC1C0000}"/>
    <cellStyle name="Normal 8 2 4 2 3 3 2" xfId="15010" xr:uid="{D74BF4B9-E4F2-4A05-B8AA-1594475A3DE9}"/>
    <cellStyle name="Normal 8 2 4 2 3 4" xfId="10793" xr:uid="{90879B62-A383-4636-8A69-F541A62D423A}"/>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17568" xr:uid="{5A4DA786-AD69-4858-92DC-4E313D7795F1}"/>
    <cellStyle name="Normal 8 2 4 2 4 2 3" xfId="13351" xr:uid="{495DE80D-16D9-4332-84A1-811E0048FB90}"/>
    <cellStyle name="Normal 8 2 4 2 4 3" xfId="6097" xr:uid="{00000000-0005-0000-0000-0000F01C0000}"/>
    <cellStyle name="Normal 8 2 4 2 4 3 2" xfId="15423" xr:uid="{9BABEA81-4465-4F67-912E-AF90C488CBBA}"/>
    <cellStyle name="Normal 8 2 4 2 4 4" xfId="11206" xr:uid="{B8BE3043-F701-4BCF-A887-7218705D11DD}"/>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17981" xr:uid="{E8F28BBB-23E1-40F7-845B-621A188E33E8}"/>
    <cellStyle name="Normal 8 2 4 2 5 2 3" xfId="13764" xr:uid="{CBE1F429-9501-4C0D-BDEB-3BFAB20739F0}"/>
    <cellStyle name="Normal 8 2 4 2 5 3" xfId="6510" xr:uid="{00000000-0005-0000-0000-0000F41C0000}"/>
    <cellStyle name="Normal 8 2 4 2 5 3 2" xfId="15836" xr:uid="{4C9D538E-0800-4848-99BA-9015D44131E7}"/>
    <cellStyle name="Normal 8 2 4 2 5 4" xfId="11619" xr:uid="{E564C275-75E9-4512-BFDF-6A69CF31DA12}"/>
    <cellStyle name="Normal 8 2 4 2 6" xfId="2640" xr:uid="{00000000-0005-0000-0000-0000F51C0000}"/>
    <cellStyle name="Normal 8 2 4 2 6 2" xfId="6923" xr:uid="{00000000-0005-0000-0000-0000F61C0000}"/>
    <cellStyle name="Normal 8 2 4 2 6 2 2" xfId="16249" xr:uid="{02CA3754-2D93-4490-AFCA-1C0CCCB763D0}"/>
    <cellStyle name="Normal 8 2 4 2 6 3" xfId="12032" xr:uid="{0CB676DB-278C-49E0-8543-1203FD2453BA}"/>
    <cellStyle name="Normal 8 2 4 2 7" xfId="4858" xr:uid="{00000000-0005-0000-0000-0000F71C0000}"/>
    <cellStyle name="Normal 8 2 4 2 7 2" xfId="14184" xr:uid="{BA4B468B-03CF-4B43-B64A-16B11BD82B9F}"/>
    <cellStyle name="Normal 8 2 4 2 8" xfId="9061" xr:uid="{7295DB82-9441-436C-AA3E-91B68F6E59B3}"/>
    <cellStyle name="Normal 8 2 4 2 8 2" xfId="18385" xr:uid="{39FA99E6-6269-4976-A8A3-091EA55B1947}"/>
    <cellStyle name="Normal 8 2 4 2 9" xfId="9967" xr:uid="{01E21173-969B-482B-AB76-A5D1081EA556}"/>
    <cellStyle name="Normal 8 2 4 3" xfId="959" xr:uid="{00000000-0005-0000-0000-0000F81C0000}"/>
    <cellStyle name="Normal 8 2 4 3 2" xfId="3193" xr:uid="{00000000-0005-0000-0000-0000F91C0000}"/>
    <cellStyle name="Normal 8 2 4 3 2 2" xfId="7415" xr:uid="{00000000-0005-0000-0000-0000FA1C0000}"/>
    <cellStyle name="Normal 8 2 4 3 2 2 2" xfId="16741" xr:uid="{4AB5D854-F4B1-4BB1-8D3C-58886B5B7174}"/>
    <cellStyle name="Normal 8 2 4 3 2 3" xfId="12524" xr:uid="{F1ED75AC-20E0-4172-8C0E-8F3CA80EBC6B}"/>
    <cellStyle name="Normal 8 2 4 3 3" xfId="5270" xr:uid="{00000000-0005-0000-0000-0000FB1C0000}"/>
    <cellStyle name="Normal 8 2 4 3 3 2" xfId="14596" xr:uid="{8D2D2323-BC32-49C3-8F5A-81FE817FE2B1}"/>
    <cellStyle name="Normal 8 2 4 3 4" xfId="9279" xr:uid="{BA09D30D-BEBA-4223-83E6-57FB46A1EFA8}"/>
    <cellStyle name="Normal 8 2 4 3 4 2" xfId="18594" xr:uid="{3B8B9FF1-D637-41EE-B12F-3972290F22E6}"/>
    <cellStyle name="Normal 8 2 4 3 5" xfId="10379" xr:uid="{2E6BC7FF-E3EE-4C9A-AE28-D0D66AC055D5}"/>
    <cellStyle name="Normal 8 2 4 4" xfId="1376" xr:uid="{00000000-0005-0000-0000-0000FC1C0000}"/>
    <cellStyle name="Normal 8 2 4 4 2" xfId="3606" xr:uid="{00000000-0005-0000-0000-0000FD1C0000}"/>
    <cellStyle name="Normal 8 2 4 4 2 2" xfId="7828" xr:uid="{00000000-0005-0000-0000-0000FE1C0000}"/>
    <cellStyle name="Normal 8 2 4 4 2 2 2" xfId="17154" xr:uid="{6E4C13E7-A4D0-4D62-A53F-586F2EBF2AAB}"/>
    <cellStyle name="Normal 8 2 4 4 2 3" xfId="12937" xr:uid="{66050796-AD21-4FC5-BA22-6B7A2687312F}"/>
    <cellStyle name="Normal 8 2 4 4 3" xfId="5683" xr:uid="{00000000-0005-0000-0000-0000FF1C0000}"/>
    <cellStyle name="Normal 8 2 4 4 3 2" xfId="15009" xr:uid="{2048721B-E03D-4289-AAB8-5ECECBBACF92}"/>
    <cellStyle name="Normal 8 2 4 4 4" xfId="10792" xr:uid="{42678BEB-ADCE-42BE-989D-538CF2C60751}"/>
    <cellStyle name="Normal 8 2 4 5" xfId="1789" xr:uid="{00000000-0005-0000-0000-0000001D0000}"/>
    <cellStyle name="Normal 8 2 4 5 2" xfId="4019" xr:uid="{00000000-0005-0000-0000-0000011D0000}"/>
    <cellStyle name="Normal 8 2 4 5 2 2" xfId="8241" xr:uid="{00000000-0005-0000-0000-0000021D0000}"/>
    <cellStyle name="Normal 8 2 4 5 2 2 2" xfId="17567" xr:uid="{FBBCEF07-A21D-4842-BEBC-3839BC691915}"/>
    <cellStyle name="Normal 8 2 4 5 2 3" xfId="13350" xr:uid="{7091B6C1-5C97-4781-9FDE-B16B5A58813F}"/>
    <cellStyle name="Normal 8 2 4 5 3" xfId="6096" xr:uid="{00000000-0005-0000-0000-0000031D0000}"/>
    <cellStyle name="Normal 8 2 4 5 3 2" xfId="15422" xr:uid="{EC96228A-671F-4601-A4EB-3CDBDC5ACCE2}"/>
    <cellStyle name="Normal 8 2 4 5 4" xfId="11205" xr:uid="{1910DF7D-F59E-4A62-8C27-200769711703}"/>
    <cellStyle name="Normal 8 2 4 6" xfId="2203" xr:uid="{00000000-0005-0000-0000-0000041D0000}"/>
    <cellStyle name="Normal 8 2 4 6 2" xfId="4432" xr:uid="{00000000-0005-0000-0000-0000051D0000}"/>
    <cellStyle name="Normal 8 2 4 6 2 2" xfId="8654" xr:uid="{00000000-0005-0000-0000-0000061D0000}"/>
    <cellStyle name="Normal 8 2 4 6 2 2 2" xfId="17980" xr:uid="{3EC88724-D509-464E-B966-C4AF14619455}"/>
    <cellStyle name="Normal 8 2 4 6 2 3" xfId="13763" xr:uid="{3DE11A01-CFC3-419C-B353-0D0290C2E607}"/>
    <cellStyle name="Normal 8 2 4 6 3" xfId="6509" xr:uid="{00000000-0005-0000-0000-0000071D0000}"/>
    <cellStyle name="Normal 8 2 4 6 3 2" xfId="15835" xr:uid="{DC5D29E9-EEF9-4A51-A03B-4127DFB828A3}"/>
    <cellStyle name="Normal 8 2 4 6 4" xfId="11618" xr:uid="{336A6EA5-C094-452B-85B4-028EC647E4B1}"/>
    <cellStyle name="Normal 8 2 4 7" xfId="2639" xr:uid="{00000000-0005-0000-0000-0000081D0000}"/>
    <cellStyle name="Normal 8 2 4 7 2" xfId="6922" xr:uid="{00000000-0005-0000-0000-0000091D0000}"/>
    <cellStyle name="Normal 8 2 4 7 2 2" xfId="16248" xr:uid="{68FAAB6B-8870-4F27-BE8F-39BFB12427CA}"/>
    <cellStyle name="Normal 8 2 4 7 3" xfId="12031" xr:uid="{13033EF7-2ED8-4A37-9BDD-185EE8B959EE}"/>
    <cellStyle name="Normal 8 2 4 8" xfId="4857" xr:uid="{00000000-0005-0000-0000-00000A1D0000}"/>
    <cellStyle name="Normal 8 2 4 8 2" xfId="14183" xr:uid="{C838434C-1654-4565-BE3D-43310D436704}"/>
    <cellStyle name="Normal 8 2 4 9" xfId="8854" xr:uid="{F1F9C500-F3E2-475A-983E-BD697F4BACD1}"/>
    <cellStyle name="Normal 8 2 4 9 2" xfId="18178" xr:uid="{CA2B2A8C-01BB-4DD7-92F2-73EDB8A10B2D}"/>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2 2 2" xfId="16743" xr:uid="{994C46F8-BF6E-4AC6-8A7B-B8AE5E8B659B}"/>
    <cellStyle name="Normal 8 2 5 2 2 3" xfId="12526" xr:uid="{67A09AD3-0B18-41FE-B049-DB9FAD71F3AD}"/>
    <cellStyle name="Normal 8 2 5 2 3" xfId="5272" xr:uid="{00000000-0005-0000-0000-00000F1D0000}"/>
    <cellStyle name="Normal 8 2 5 2 3 2" xfId="14598" xr:uid="{018A33DF-12F0-4667-A85F-7A325C017187}"/>
    <cellStyle name="Normal 8 2 5 2 4" xfId="9395" xr:uid="{D5766EF3-6042-484F-B510-7448518CF571}"/>
    <cellStyle name="Normal 8 2 5 2 4 2" xfId="18710" xr:uid="{FBC22147-30B7-489C-8E67-1D1DA212334D}"/>
    <cellStyle name="Normal 8 2 5 2 5" xfId="10381" xr:uid="{5AFA3324-3B24-450A-BEF3-36FEE43F4D1E}"/>
    <cellStyle name="Normal 8 2 5 3" xfId="1378" xr:uid="{00000000-0005-0000-0000-0000101D0000}"/>
    <cellStyle name="Normal 8 2 5 3 2" xfId="3608" xr:uid="{00000000-0005-0000-0000-0000111D0000}"/>
    <cellStyle name="Normal 8 2 5 3 2 2" xfId="7830" xr:uid="{00000000-0005-0000-0000-0000121D0000}"/>
    <cellStyle name="Normal 8 2 5 3 2 2 2" xfId="17156" xr:uid="{73765ECD-318A-447E-B16F-40AE9606E1CA}"/>
    <cellStyle name="Normal 8 2 5 3 2 3" xfId="12939" xr:uid="{62D177CF-1285-4C6B-B77E-8954EA37BDEC}"/>
    <cellStyle name="Normal 8 2 5 3 3" xfId="5685" xr:uid="{00000000-0005-0000-0000-0000131D0000}"/>
    <cellStyle name="Normal 8 2 5 3 3 2" xfId="15011" xr:uid="{F88B9EC8-1F74-4C9B-854A-894C566D0604}"/>
    <cellStyle name="Normal 8 2 5 3 4" xfId="10794" xr:uid="{AB4C0D86-D9E1-47BE-8482-9C4A2E70BADF}"/>
    <cellStyle name="Normal 8 2 5 4" xfId="1791" xr:uid="{00000000-0005-0000-0000-0000141D0000}"/>
    <cellStyle name="Normal 8 2 5 4 2" xfId="4021" xr:uid="{00000000-0005-0000-0000-0000151D0000}"/>
    <cellStyle name="Normal 8 2 5 4 2 2" xfId="8243" xr:uid="{00000000-0005-0000-0000-0000161D0000}"/>
    <cellStyle name="Normal 8 2 5 4 2 2 2" xfId="17569" xr:uid="{75707626-0611-4C84-95B9-BD46A10796A4}"/>
    <cellStyle name="Normal 8 2 5 4 2 3" xfId="13352" xr:uid="{9A6DFAD9-4FA3-426B-B8F5-AEE70825D959}"/>
    <cellStyle name="Normal 8 2 5 4 3" xfId="6098" xr:uid="{00000000-0005-0000-0000-0000171D0000}"/>
    <cellStyle name="Normal 8 2 5 4 3 2" xfId="15424" xr:uid="{0CD24342-E012-44D8-A281-B96972E84F81}"/>
    <cellStyle name="Normal 8 2 5 4 4" xfId="11207" xr:uid="{1505ACBB-D1B3-4134-81B1-07E1F9277C44}"/>
    <cellStyle name="Normal 8 2 5 5" xfId="2205" xr:uid="{00000000-0005-0000-0000-0000181D0000}"/>
    <cellStyle name="Normal 8 2 5 5 2" xfId="4434" xr:uid="{00000000-0005-0000-0000-0000191D0000}"/>
    <cellStyle name="Normal 8 2 5 5 2 2" xfId="8656" xr:uid="{00000000-0005-0000-0000-00001A1D0000}"/>
    <cellStyle name="Normal 8 2 5 5 2 2 2" xfId="17982" xr:uid="{2DDC9836-E526-41D2-88E2-990658BB6FB2}"/>
    <cellStyle name="Normal 8 2 5 5 2 3" xfId="13765" xr:uid="{4DACC0F1-1B07-4C92-B330-D3DE9D4BA62F}"/>
    <cellStyle name="Normal 8 2 5 5 3" xfId="6511" xr:uid="{00000000-0005-0000-0000-00001B1D0000}"/>
    <cellStyle name="Normal 8 2 5 5 3 2" xfId="15837" xr:uid="{A612C8D1-2E31-4A70-A3BE-FD1DD6733986}"/>
    <cellStyle name="Normal 8 2 5 5 4" xfId="11620" xr:uid="{5B8C891D-5500-4E95-969C-29DF3A4AA9F8}"/>
    <cellStyle name="Normal 8 2 5 6" xfId="2641" xr:uid="{00000000-0005-0000-0000-00001C1D0000}"/>
    <cellStyle name="Normal 8 2 5 6 2" xfId="6924" xr:uid="{00000000-0005-0000-0000-00001D1D0000}"/>
    <cellStyle name="Normal 8 2 5 6 2 2" xfId="16250" xr:uid="{671BDA50-338D-47F1-8763-C1FA56E70230}"/>
    <cellStyle name="Normal 8 2 5 6 3" xfId="12033" xr:uid="{2696357D-0E8E-4D8F-A4F1-9DD449971AD2}"/>
    <cellStyle name="Normal 8 2 5 7" xfId="4859" xr:uid="{00000000-0005-0000-0000-00001E1D0000}"/>
    <cellStyle name="Normal 8 2 5 7 2" xfId="14185" xr:uid="{233E68C7-54AB-4C08-9C9A-29E02490EA49}"/>
    <cellStyle name="Normal 8 2 5 8" xfId="8970" xr:uid="{7E9ACEFF-1680-45D8-BC32-8CA9BA1D63D4}"/>
    <cellStyle name="Normal 8 2 5 8 2" xfId="18294" xr:uid="{88169B35-8E68-4A2C-87B6-E3AAC99D791E}"/>
    <cellStyle name="Normal 8 2 5 9" xfId="9968" xr:uid="{408B051C-1120-43B2-B240-77FA5B27FA46}"/>
    <cellStyle name="Normal 8 2 6" xfId="946" xr:uid="{00000000-0005-0000-0000-00001F1D0000}"/>
    <cellStyle name="Normal 8 2 6 2" xfId="3180" xr:uid="{00000000-0005-0000-0000-0000201D0000}"/>
    <cellStyle name="Normal 8 2 6 2 2" xfId="7402" xr:uid="{00000000-0005-0000-0000-0000211D0000}"/>
    <cellStyle name="Normal 8 2 6 2 2 2" xfId="16728" xr:uid="{6E1CA3EA-2BFE-4C45-9759-CD0CBF86FF2F}"/>
    <cellStyle name="Normal 8 2 6 2 3" xfId="12511" xr:uid="{2B569710-03F5-4B33-9E45-AE883A736993}"/>
    <cellStyle name="Normal 8 2 6 3" xfId="5257" xr:uid="{00000000-0005-0000-0000-0000221D0000}"/>
    <cellStyle name="Normal 8 2 6 3 2" xfId="14583" xr:uid="{26FE0DBD-1DB9-4F55-BC55-8C8B3F0C4910}"/>
    <cellStyle name="Normal 8 2 6 4" xfId="9173" xr:uid="{C36295B3-E6F0-4A6D-AEE5-72C8177C13EE}"/>
    <cellStyle name="Normal 8 2 6 4 2" xfId="18491" xr:uid="{81FE46A0-4BFC-40D2-ACD0-584B1475CE2F}"/>
    <cellStyle name="Normal 8 2 6 5" xfId="10366" xr:uid="{00015D2D-1C46-4F16-B8DA-AE4BFC46D197}"/>
    <cellStyle name="Normal 8 2 7" xfId="1363" xr:uid="{00000000-0005-0000-0000-0000231D0000}"/>
    <cellStyle name="Normal 8 2 7 2" xfId="3593" xr:uid="{00000000-0005-0000-0000-0000241D0000}"/>
    <cellStyle name="Normal 8 2 7 2 2" xfId="7815" xr:uid="{00000000-0005-0000-0000-0000251D0000}"/>
    <cellStyle name="Normal 8 2 7 2 2 2" xfId="17141" xr:uid="{52550D6E-8B81-4A22-AF0F-7CBFAAF4E00A}"/>
    <cellStyle name="Normal 8 2 7 2 3" xfId="12924" xr:uid="{20558945-5286-48DB-87CA-CCD80F611881}"/>
    <cellStyle name="Normal 8 2 7 3" xfId="5670" xr:uid="{00000000-0005-0000-0000-0000261D0000}"/>
    <cellStyle name="Normal 8 2 7 3 2" xfId="14996" xr:uid="{32D51A1E-42E9-43F6-BFF1-55E9B582D844}"/>
    <cellStyle name="Normal 8 2 7 4" xfId="10779" xr:uid="{96F43E8D-0685-4230-A93E-FE326476649A}"/>
    <cellStyle name="Normal 8 2 8" xfId="1776" xr:uid="{00000000-0005-0000-0000-0000271D0000}"/>
    <cellStyle name="Normal 8 2 8 2" xfId="4006" xr:uid="{00000000-0005-0000-0000-0000281D0000}"/>
    <cellStyle name="Normal 8 2 8 2 2" xfId="8228" xr:uid="{00000000-0005-0000-0000-0000291D0000}"/>
    <cellStyle name="Normal 8 2 8 2 2 2" xfId="17554" xr:uid="{B444151D-3F6F-4077-862E-C586ACD8102A}"/>
    <cellStyle name="Normal 8 2 8 2 3" xfId="13337" xr:uid="{CC08922D-68F9-47AB-BCAA-4968ED49D280}"/>
    <cellStyle name="Normal 8 2 8 3" xfId="6083" xr:uid="{00000000-0005-0000-0000-00002A1D0000}"/>
    <cellStyle name="Normal 8 2 8 3 2" xfId="15409" xr:uid="{19940B26-7DDD-4B4E-BED5-9413F8109180}"/>
    <cellStyle name="Normal 8 2 8 4" xfId="11192" xr:uid="{326B9CF5-EA41-4E16-8DA7-43E75CA01753}"/>
    <cellStyle name="Normal 8 2 9" xfId="2190" xr:uid="{00000000-0005-0000-0000-00002B1D0000}"/>
    <cellStyle name="Normal 8 2 9 2" xfId="4419" xr:uid="{00000000-0005-0000-0000-00002C1D0000}"/>
    <cellStyle name="Normal 8 2 9 2 2" xfId="8641" xr:uid="{00000000-0005-0000-0000-00002D1D0000}"/>
    <cellStyle name="Normal 8 2 9 2 2 2" xfId="17967" xr:uid="{EBA2C2C1-69CE-4CD7-95DD-8238C3E8BD90}"/>
    <cellStyle name="Normal 8 2 9 2 3" xfId="13750" xr:uid="{8CAE4AF7-9FE9-40DD-9B39-499DB18769C6}"/>
    <cellStyle name="Normal 8 2 9 3" xfId="6496" xr:uid="{00000000-0005-0000-0000-00002E1D0000}"/>
    <cellStyle name="Normal 8 2 9 3 2" xfId="15822" xr:uid="{DC827CE0-A169-4D83-AB2B-6D669A96A63B}"/>
    <cellStyle name="Normal 8 2 9 4" xfId="11605" xr:uid="{3509ECAC-4A41-4DAE-89E3-D9D1D693FF05}"/>
    <cellStyle name="Normal 8 3" xfId="495" xr:uid="{00000000-0005-0000-0000-00002F1D0000}"/>
    <cellStyle name="Normal 8 3 10" xfId="4860" xr:uid="{00000000-0005-0000-0000-0000301D0000}"/>
    <cellStyle name="Normal 8 3 10 2" xfId="14186" xr:uid="{EA3CB1F5-C703-4993-A934-70FDAF7D6153}"/>
    <cellStyle name="Normal 8 3 11" xfId="8774" xr:uid="{81BDDADD-940D-4F3A-BD6C-7E4719C8A3D2}"/>
    <cellStyle name="Normal 8 3 11 2" xfId="18098" xr:uid="{2FC9A5BB-5428-4CFE-AA0B-26C4CF632F46}"/>
    <cellStyle name="Normal 8 3 12" xfId="9969" xr:uid="{5BFE7681-76F4-44C1-92CF-83DD2000C8D1}"/>
    <cellStyle name="Normal 8 3 2" xfId="496" xr:uid="{00000000-0005-0000-0000-0000311D0000}"/>
    <cellStyle name="Normal 8 3 2 10" xfId="8837" xr:uid="{392842AA-84B1-4A71-AE94-A1B631487B7E}"/>
    <cellStyle name="Normal 8 3 2 10 2" xfId="18161" xr:uid="{7A6E46B4-3EEB-400E-9859-4EF294DB404C}"/>
    <cellStyle name="Normal 8 3 2 11" xfId="9970" xr:uid="{2324BA69-21ED-4FE5-A28F-6465BA8EE6A5}"/>
    <cellStyle name="Normal 8 3 2 2" xfId="497" xr:uid="{00000000-0005-0000-0000-0000321D0000}"/>
    <cellStyle name="Normal 8 3 2 2 10" xfId="9971" xr:uid="{E0F01D28-155F-4F5B-95AD-AC04334B4351}"/>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16747" xr:uid="{FE2A2D7E-5F16-4EEB-8DE5-DF8340DA705B}"/>
    <cellStyle name="Normal 8 3 2 2 2 2 2 3" xfId="12530" xr:uid="{B3CB0EEA-C091-48ED-A326-18FF77D2FB23}"/>
    <cellStyle name="Normal 8 3 2 2 2 2 3" xfId="5276" xr:uid="{00000000-0005-0000-0000-0000371D0000}"/>
    <cellStyle name="Normal 8 3 2 2 2 2 3 2" xfId="14602" xr:uid="{38585888-4656-4AB7-A347-7C3F473400AB}"/>
    <cellStyle name="Normal 8 3 2 2 2 2 4" xfId="9572" xr:uid="{83269435-2305-4677-BD8B-8CB801DC108A}"/>
    <cellStyle name="Normal 8 3 2 2 2 2 4 2" xfId="18887" xr:uid="{AD0936DF-CE40-4013-A14D-DBFD4435CEB9}"/>
    <cellStyle name="Normal 8 3 2 2 2 2 5" xfId="10385" xr:uid="{204DDF8F-FF16-454F-9351-9191646ABA2F}"/>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17160" xr:uid="{8FFA5B2E-404D-4068-A253-1465DF8B429D}"/>
    <cellStyle name="Normal 8 3 2 2 2 3 2 3" xfId="12943" xr:uid="{3EDE0B75-E3EC-44E8-989F-198D30BD228D}"/>
    <cellStyle name="Normal 8 3 2 2 2 3 3" xfId="5689" xr:uid="{00000000-0005-0000-0000-00003B1D0000}"/>
    <cellStyle name="Normal 8 3 2 2 2 3 3 2" xfId="15015" xr:uid="{095D448A-28D6-4CCB-A67B-DFAC4196289F}"/>
    <cellStyle name="Normal 8 3 2 2 2 3 4" xfId="10798" xr:uid="{8A03E257-7101-4BE8-95CE-A1742C0BE49B}"/>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17573" xr:uid="{C39155C2-7BA7-4488-80DE-16999192B858}"/>
    <cellStyle name="Normal 8 3 2 2 2 4 2 3" xfId="13356" xr:uid="{93C77EB4-2077-4F62-AFF4-DD727C329DF8}"/>
    <cellStyle name="Normal 8 3 2 2 2 4 3" xfId="6102" xr:uid="{00000000-0005-0000-0000-00003F1D0000}"/>
    <cellStyle name="Normal 8 3 2 2 2 4 3 2" xfId="15428" xr:uid="{86033FE3-C6CB-4A6E-8DE2-7D9EBB717446}"/>
    <cellStyle name="Normal 8 3 2 2 2 4 4" xfId="11211" xr:uid="{2D19F53E-342A-464E-AF43-3B6C00AD0FF4}"/>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17986" xr:uid="{2BE8A714-B279-4BF9-A203-D9B64B8A446B}"/>
    <cellStyle name="Normal 8 3 2 2 2 5 2 3" xfId="13769" xr:uid="{1ACD3CB3-8231-44CA-AC5E-A743291499A1}"/>
    <cellStyle name="Normal 8 3 2 2 2 5 3" xfId="6515" xr:uid="{00000000-0005-0000-0000-0000431D0000}"/>
    <cellStyle name="Normal 8 3 2 2 2 5 3 2" xfId="15841" xr:uid="{A8449D58-973A-42E4-8447-19B56E3BBB8A}"/>
    <cellStyle name="Normal 8 3 2 2 2 5 4" xfId="11624" xr:uid="{4E1BCBC2-0D5B-493F-BCA8-AA40CAC646BA}"/>
    <cellStyle name="Normal 8 3 2 2 2 6" xfId="2645" xr:uid="{00000000-0005-0000-0000-0000441D0000}"/>
    <cellStyle name="Normal 8 3 2 2 2 6 2" xfId="6928" xr:uid="{00000000-0005-0000-0000-0000451D0000}"/>
    <cellStyle name="Normal 8 3 2 2 2 6 2 2" xfId="16254" xr:uid="{86426A2F-5DD8-4936-BCF6-10CE60E1D9C5}"/>
    <cellStyle name="Normal 8 3 2 2 2 6 3" xfId="12037" xr:uid="{29252424-AB38-4C75-9E68-B0D4BA288290}"/>
    <cellStyle name="Normal 8 3 2 2 2 7" xfId="4863" xr:uid="{00000000-0005-0000-0000-0000461D0000}"/>
    <cellStyle name="Normal 8 3 2 2 2 7 2" xfId="14189" xr:uid="{329C507B-71EC-4855-9DEF-1C10DFD2D3CC}"/>
    <cellStyle name="Normal 8 3 2 2 2 8" xfId="9147" xr:uid="{16780743-13F5-44BF-919B-157B86988913}"/>
    <cellStyle name="Normal 8 3 2 2 2 8 2" xfId="18471" xr:uid="{A143BBAF-6402-4AA8-9F1E-7FD3DB8AEDAD}"/>
    <cellStyle name="Normal 8 3 2 2 2 9" xfId="9972" xr:uid="{9D139B7D-C2A5-4A2D-A326-326F327681DC}"/>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16746" xr:uid="{43700DDB-1C17-4F93-A99D-9437C05F4D45}"/>
    <cellStyle name="Normal 8 3 2 2 3 2 3" xfId="12529" xr:uid="{2D1A0300-F2B0-423F-9714-3CB08E44BD4B}"/>
    <cellStyle name="Normal 8 3 2 2 3 3" xfId="5275" xr:uid="{00000000-0005-0000-0000-00004A1D0000}"/>
    <cellStyle name="Normal 8 3 2 2 3 3 2" xfId="14601" xr:uid="{4CF7CE50-3FCD-4F45-9C51-5A099D7BF375}"/>
    <cellStyle name="Normal 8 3 2 2 3 4" xfId="9365" xr:uid="{47FF7C14-7484-41B9-856F-11398F7B2C7C}"/>
    <cellStyle name="Normal 8 3 2 2 3 4 2" xfId="18680" xr:uid="{727945BF-7166-40C8-A1C2-2B6B90E27C2E}"/>
    <cellStyle name="Normal 8 3 2 2 3 5" xfId="10384" xr:uid="{F3B305C5-3BC2-43CA-9E63-41C7518CCF29}"/>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17159" xr:uid="{5856E127-54FD-4388-956E-E17C9D0786C9}"/>
    <cellStyle name="Normal 8 3 2 2 4 2 3" xfId="12942" xr:uid="{3207F012-4D0E-4C21-9AA0-73B7656EFD91}"/>
    <cellStyle name="Normal 8 3 2 2 4 3" xfId="5688" xr:uid="{00000000-0005-0000-0000-00004E1D0000}"/>
    <cellStyle name="Normal 8 3 2 2 4 3 2" xfId="15014" xr:uid="{5BFAABB4-BBB1-4890-BEF7-C42C38D9784C}"/>
    <cellStyle name="Normal 8 3 2 2 4 4" xfId="10797" xr:uid="{697F195C-5052-4639-B169-7523AC042BF2}"/>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17572" xr:uid="{B7FDADD7-49F4-4CA2-8863-80EE80831A1D}"/>
    <cellStyle name="Normal 8 3 2 2 5 2 3" xfId="13355" xr:uid="{D26D79AD-D756-4B24-B31B-0930C2DA45DE}"/>
    <cellStyle name="Normal 8 3 2 2 5 3" xfId="6101" xr:uid="{00000000-0005-0000-0000-0000521D0000}"/>
    <cellStyle name="Normal 8 3 2 2 5 3 2" xfId="15427" xr:uid="{06248242-6D96-445F-839E-E8FF3E52E240}"/>
    <cellStyle name="Normal 8 3 2 2 5 4" xfId="11210" xr:uid="{814FE916-01D9-448F-A942-963C307DD7EF}"/>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17985" xr:uid="{DA7D832F-E2A2-46C0-881C-A5D4CEA8DB99}"/>
    <cellStyle name="Normal 8 3 2 2 6 2 3" xfId="13768" xr:uid="{9F0D5D21-AA66-422D-B7EB-84EBE5357434}"/>
    <cellStyle name="Normal 8 3 2 2 6 3" xfId="6514" xr:uid="{00000000-0005-0000-0000-0000561D0000}"/>
    <cellStyle name="Normal 8 3 2 2 6 3 2" xfId="15840" xr:uid="{5D471E52-A895-4343-89C6-4A51BF7AE9EE}"/>
    <cellStyle name="Normal 8 3 2 2 6 4" xfId="11623" xr:uid="{D4286AB2-9F7C-4F79-AC20-A920A14FFB80}"/>
    <cellStyle name="Normal 8 3 2 2 7" xfId="2644" xr:uid="{00000000-0005-0000-0000-0000571D0000}"/>
    <cellStyle name="Normal 8 3 2 2 7 2" xfId="6927" xr:uid="{00000000-0005-0000-0000-0000581D0000}"/>
    <cellStyle name="Normal 8 3 2 2 7 2 2" xfId="16253" xr:uid="{398E2E49-036E-4F12-9970-34B458FED38A}"/>
    <cellStyle name="Normal 8 3 2 2 7 3" xfId="12036" xr:uid="{755C1CC1-0573-49F6-8FB4-BAD624E91638}"/>
    <cellStyle name="Normal 8 3 2 2 8" xfId="4862" xr:uid="{00000000-0005-0000-0000-0000591D0000}"/>
    <cellStyle name="Normal 8 3 2 2 8 2" xfId="14188" xr:uid="{183465C4-3948-45A8-A8CC-3B2C94595D9C}"/>
    <cellStyle name="Normal 8 3 2 2 9" xfId="8940" xr:uid="{63944EF0-E10A-4406-A758-3BD135650136}"/>
    <cellStyle name="Normal 8 3 2 2 9 2" xfId="18264" xr:uid="{10A67EAE-5D2D-423B-A4D5-0BE9E4C8B251}"/>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16748" xr:uid="{1137E7D6-B1DA-42D8-BB5A-30D81EE0B4BE}"/>
    <cellStyle name="Normal 8 3 2 3 2 2 3" xfId="12531" xr:uid="{234D3971-C378-4825-BDFD-ACC152CCDE07}"/>
    <cellStyle name="Normal 8 3 2 3 2 3" xfId="5277" xr:uid="{00000000-0005-0000-0000-00005E1D0000}"/>
    <cellStyle name="Normal 8 3 2 3 2 3 2" xfId="14603" xr:uid="{639163B7-16CB-4063-A349-C3445857A50B}"/>
    <cellStyle name="Normal 8 3 2 3 2 4" xfId="9469" xr:uid="{7CA6C380-A6E9-4AF4-A29A-E40C8E9B5B5F}"/>
    <cellStyle name="Normal 8 3 2 3 2 4 2" xfId="18784" xr:uid="{AC9E138E-4665-4B62-B39D-CD17E5408832}"/>
    <cellStyle name="Normal 8 3 2 3 2 5" xfId="10386" xr:uid="{BF993CB4-0F12-4509-9E27-6F4CDEB65983}"/>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17161" xr:uid="{4ECA8668-B864-4B66-B8F7-E0EFA17A8A8F}"/>
    <cellStyle name="Normal 8 3 2 3 3 2 3" xfId="12944" xr:uid="{9D92B36F-C5A3-4F67-BA02-7CA10DD8B58D}"/>
    <cellStyle name="Normal 8 3 2 3 3 3" xfId="5690" xr:uid="{00000000-0005-0000-0000-0000621D0000}"/>
    <cellStyle name="Normal 8 3 2 3 3 3 2" xfId="15016" xr:uid="{D16B55B3-5934-477C-ACF4-6F8B95812A54}"/>
    <cellStyle name="Normal 8 3 2 3 3 4" xfId="10799" xr:uid="{8F23D8DC-1E7A-4398-98E6-BAC6381794C8}"/>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17574" xr:uid="{47806EC8-22D6-4E6E-8EC5-19505B3824C3}"/>
    <cellStyle name="Normal 8 3 2 3 4 2 3" xfId="13357" xr:uid="{E6A1ECDD-A00D-474D-A782-442F48BF5469}"/>
    <cellStyle name="Normal 8 3 2 3 4 3" xfId="6103" xr:uid="{00000000-0005-0000-0000-0000661D0000}"/>
    <cellStyle name="Normal 8 3 2 3 4 3 2" xfId="15429" xr:uid="{43C1BA8C-9A08-4F1D-96AF-A3297BC40B4C}"/>
    <cellStyle name="Normal 8 3 2 3 4 4" xfId="11212" xr:uid="{7E80634D-2FBA-4BA0-A4DA-50934A9DFE79}"/>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17987" xr:uid="{D65F21A8-ADD4-4F7A-B391-C2263A9231FF}"/>
    <cellStyle name="Normal 8 3 2 3 5 2 3" xfId="13770" xr:uid="{E234507D-3B52-4140-95A0-00B67508F2C5}"/>
    <cellStyle name="Normal 8 3 2 3 5 3" xfId="6516" xr:uid="{00000000-0005-0000-0000-00006A1D0000}"/>
    <cellStyle name="Normal 8 3 2 3 5 3 2" xfId="15842" xr:uid="{661C9AC3-57B3-4007-BB52-956037831E69}"/>
    <cellStyle name="Normal 8 3 2 3 5 4" xfId="11625" xr:uid="{F0A05AAB-1B26-4BF9-B747-5FAB5DE5EF62}"/>
    <cellStyle name="Normal 8 3 2 3 6" xfId="2646" xr:uid="{00000000-0005-0000-0000-00006B1D0000}"/>
    <cellStyle name="Normal 8 3 2 3 6 2" xfId="6929" xr:uid="{00000000-0005-0000-0000-00006C1D0000}"/>
    <cellStyle name="Normal 8 3 2 3 6 2 2" xfId="16255" xr:uid="{24468DF9-6A82-4A77-B741-1D6FEBD8FDC1}"/>
    <cellStyle name="Normal 8 3 2 3 6 3" xfId="12038" xr:uid="{3C18C3C3-B398-40E5-9BEF-C9340A674453}"/>
    <cellStyle name="Normal 8 3 2 3 7" xfId="4864" xr:uid="{00000000-0005-0000-0000-00006D1D0000}"/>
    <cellStyle name="Normal 8 3 2 3 7 2" xfId="14190" xr:uid="{2F08E409-9DC8-4118-895E-440D5BBDE100}"/>
    <cellStyle name="Normal 8 3 2 3 8" xfId="9044" xr:uid="{5ED49706-9CA9-4EE9-B01D-112CD1DB587C}"/>
    <cellStyle name="Normal 8 3 2 3 8 2" xfId="18368" xr:uid="{3B54358A-F7A7-4E8D-865E-6617D8B98A9D}"/>
    <cellStyle name="Normal 8 3 2 3 9" xfId="9973" xr:uid="{CBE4338B-817D-43FE-8773-6A93C642F161}"/>
    <cellStyle name="Normal 8 3 2 4" xfId="963" xr:uid="{00000000-0005-0000-0000-00006E1D0000}"/>
    <cellStyle name="Normal 8 3 2 4 2" xfId="3197" xr:uid="{00000000-0005-0000-0000-00006F1D0000}"/>
    <cellStyle name="Normal 8 3 2 4 2 2" xfId="7419" xr:uid="{00000000-0005-0000-0000-0000701D0000}"/>
    <cellStyle name="Normal 8 3 2 4 2 2 2" xfId="16745" xr:uid="{5BE42210-103E-45E6-9286-37B74C710027}"/>
    <cellStyle name="Normal 8 3 2 4 2 3" xfId="12528" xr:uid="{E6F9B8A3-3129-4697-BC87-A774921E3896}"/>
    <cellStyle name="Normal 8 3 2 4 3" xfId="5274" xr:uid="{00000000-0005-0000-0000-0000711D0000}"/>
    <cellStyle name="Normal 8 3 2 4 3 2" xfId="14600" xr:uid="{5F616F80-E3D0-42D1-8711-FAE08ADC94FC}"/>
    <cellStyle name="Normal 8 3 2 4 4" xfId="9262" xr:uid="{8842595C-CD28-4B10-9BE6-37883B4C2AA9}"/>
    <cellStyle name="Normal 8 3 2 4 4 2" xfId="18577" xr:uid="{D99C84BF-3882-423F-8724-AE9D19D80685}"/>
    <cellStyle name="Normal 8 3 2 4 5" xfId="10383" xr:uid="{B91E7C74-3142-48A0-A3C3-21BD80A03A44}"/>
    <cellStyle name="Normal 8 3 2 5" xfId="1380" xr:uid="{00000000-0005-0000-0000-0000721D0000}"/>
    <cellStyle name="Normal 8 3 2 5 2" xfId="3610" xr:uid="{00000000-0005-0000-0000-0000731D0000}"/>
    <cellStyle name="Normal 8 3 2 5 2 2" xfId="7832" xr:uid="{00000000-0005-0000-0000-0000741D0000}"/>
    <cellStyle name="Normal 8 3 2 5 2 2 2" xfId="17158" xr:uid="{2F7EEC95-C948-4E9D-9D6A-ED726CF1FE00}"/>
    <cellStyle name="Normal 8 3 2 5 2 3" xfId="12941" xr:uid="{90E05806-E549-4163-9F1D-9B7E1D98C5C4}"/>
    <cellStyle name="Normal 8 3 2 5 3" xfId="5687" xr:uid="{00000000-0005-0000-0000-0000751D0000}"/>
    <cellStyle name="Normal 8 3 2 5 3 2" xfId="15013" xr:uid="{D9CE3B82-21E8-4B76-A416-A6E1A2A5026A}"/>
    <cellStyle name="Normal 8 3 2 5 4" xfId="10796" xr:uid="{DB4309C3-BE36-4DBC-92C5-0E37ACD67F98}"/>
    <cellStyle name="Normal 8 3 2 6" xfId="1793" xr:uid="{00000000-0005-0000-0000-0000761D0000}"/>
    <cellStyle name="Normal 8 3 2 6 2" xfId="4023" xr:uid="{00000000-0005-0000-0000-0000771D0000}"/>
    <cellStyle name="Normal 8 3 2 6 2 2" xfId="8245" xr:uid="{00000000-0005-0000-0000-0000781D0000}"/>
    <cellStyle name="Normal 8 3 2 6 2 2 2" xfId="17571" xr:uid="{397ABC44-DC88-49B4-ACF5-57C448318463}"/>
    <cellStyle name="Normal 8 3 2 6 2 3" xfId="13354" xr:uid="{C2FD9E5F-46B8-4BE3-B3CB-0F9CCFDB32D1}"/>
    <cellStyle name="Normal 8 3 2 6 3" xfId="6100" xr:uid="{00000000-0005-0000-0000-0000791D0000}"/>
    <cellStyle name="Normal 8 3 2 6 3 2" xfId="15426" xr:uid="{5CA5BACA-61FB-42AB-B1DD-A83E99717016}"/>
    <cellStyle name="Normal 8 3 2 6 4" xfId="11209" xr:uid="{66164319-73C9-4B99-953C-7D04C0D42939}"/>
    <cellStyle name="Normal 8 3 2 7" xfId="2207" xr:uid="{00000000-0005-0000-0000-00007A1D0000}"/>
    <cellStyle name="Normal 8 3 2 7 2" xfId="4436" xr:uid="{00000000-0005-0000-0000-00007B1D0000}"/>
    <cellStyle name="Normal 8 3 2 7 2 2" xfId="8658" xr:uid="{00000000-0005-0000-0000-00007C1D0000}"/>
    <cellStyle name="Normal 8 3 2 7 2 2 2" xfId="17984" xr:uid="{15654636-6480-476A-AE8E-4222CB34A35C}"/>
    <cellStyle name="Normal 8 3 2 7 2 3" xfId="13767" xr:uid="{853B152A-207D-4260-BC1C-3F11235427DB}"/>
    <cellStyle name="Normal 8 3 2 7 3" xfId="6513" xr:uid="{00000000-0005-0000-0000-00007D1D0000}"/>
    <cellStyle name="Normal 8 3 2 7 3 2" xfId="15839" xr:uid="{3018524B-CFEE-4BA7-96B8-E507A9DD84AA}"/>
    <cellStyle name="Normal 8 3 2 7 4" xfId="11622" xr:uid="{6012712D-8A91-4F1A-9F3B-DFA532AA6376}"/>
    <cellStyle name="Normal 8 3 2 8" xfId="2643" xr:uid="{00000000-0005-0000-0000-00007E1D0000}"/>
    <cellStyle name="Normal 8 3 2 8 2" xfId="6926" xr:uid="{00000000-0005-0000-0000-00007F1D0000}"/>
    <cellStyle name="Normal 8 3 2 8 2 2" xfId="16252" xr:uid="{DD1500B3-FD47-4730-B69F-F0D23AA0B217}"/>
    <cellStyle name="Normal 8 3 2 8 3" xfId="12035" xr:uid="{68278637-E437-48D8-A184-D4D1F8B241F6}"/>
    <cellStyle name="Normal 8 3 2 9" xfId="4861" xr:uid="{00000000-0005-0000-0000-0000801D0000}"/>
    <cellStyle name="Normal 8 3 2 9 2" xfId="14187" xr:uid="{AA06D7A3-A975-4FCD-94DD-A06664944C68}"/>
    <cellStyle name="Normal 8 3 3" xfId="500" xr:uid="{00000000-0005-0000-0000-0000811D0000}"/>
    <cellStyle name="Normal 8 3 3 10" xfId="9974" xr:uid="{9F4D81BF-897A-450F-9245-87195C03C37F}"/>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16750" xr:uid="{FC2FB1B2-24E0-495F-8EA3-152F42AAB237}"/>
    <cellStyle name="Normal 8 3 3 2 2 2 3" xfId="12533" xr:uid="{9623F0A6-4E35-4430-BD59-39ED7622C832}"/>
    <cellStyle name="Normal 8 3 3 2 2 3" xfId="5279" xr:uid="{00000000-0005-0000-0000-0000861D0000}"/>
    <cellStyle name="Normal 8 3 3 2 2 3 2" xfId="14605" xr:uid="{91FD37BF-B2B5-4043-A914-77AEA9622297}"/>
    <cellStyle name="Normal 8 3 3 2 2 4" xfId="9509" xr:uid="{3B4378D3-7C51-4B91-822B-758528BFF352}"/>
    <cellStyle name="Normal 8 3 3 2 2 4 2" xfId="18824" xr:uid="{67A7B860-BB9A-4434-9C80-95B977D05968}"/>
    <cellStyle name="Normal 8 3 3 2 2 5" xfId="10388" xr:uid="{07A612F2-1684-4433-86BA-812CADED08BD}"/>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17163" xr:uid="{66F86CF0-8F2B-4705-A543-B2DC922FC6E6}"/>
    <cellStyle name="Normal 8 3 3 2 3 2 3" xfId="12946" xr:uid="{7DB5D96F-BFD7-4444-9D99-34DFE1E02CDA}"/>
    <cellStyle name="Normal 8 3 3 2 3 3" xfId="5692" xr:uid="{00000000-0005-0000-0000-00008A1D0000}"/>
    <cellStyle name="Normal 8 3 3 2 3 3 2" xfId="15018" xr:uid="{439C8B18-FD61-4927-AC45-8304E116F6EF}"/>
    <cellStyle name="Normal 8 3 3 2 3 4" xfId="10801" xr:uid="{7539BAE3-0C73-42DD-94E0-7B506C6EBDD5}"/>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17576" xr:uid="{EDAD8BFB-70F8-4FF4-AC06-D75B2BE6C0A6}"/>
    <cellStyle name="Normal 8 3 3 2 4 2 3" xfId="13359" xr:uid="{6E684877-F68A-484B-A962-FADA37934792}"/>
    <cellStyle name="Normal 8 3 3 2 4 3" xfId="6105" xr:uid="{00000000-0005-0000-0000-00008E1D0000}"/>
    <cellStyle name="Normal 8 3 3 2 4 3 2" xfId="15431" xr:uid="{8C6A0502-122F-4B89-8A8D-706D8924E10C}"/>
    <cellStyle name="Normal 8 3 3 2 4 4" xfId="11214" xr:uid="{4590539B-3944-436E-AC74-FEFCD83FF4C9}"/>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17989" xr:uid="{49794D42-8C8A-4EED-9890-CF49B8F2AFA6}"/>
    <cellStyle name="Normal 8 3 3 2 5 2 3" xfId="13772" xr:uid="{BA2C1B04-4A04-4956-971D-BE6E91DD9889}"/>
    <cellStyle name="Normal 8 3 3 2 5 3" xfId="6518" xr:uid="{00000000-0005-0000-0000-0000921D0000}"/>
    <cellStyle name="Normal 8 3 3 2 5 3 2" xfId="15844" xr:uid="{2A32AF5A-D188-4D7D-8464-B01FE61D9454}"/>
    <cellStyle name="Normal 8 3 3 2 5 4" xfId="11627" xr:uid="{AF14CB0F-7A2B-445E-BD2E-8AC5C38A0F18}"/>
    <cellStyle name="Normal 8 3 3 2 6" xfId="2648" xr:uid="{00000000-0005-0000-0000-0000931D0000}"/>
    <cellStyle name="Normal 8 3 3 2 6 2" xfId="6931" xr:uid="{00000000-0005-0000-0000-0000941D0000}"/>
    <cellStyle name="Normal 8 3 3 2 6 2 2" xfId="16257" xr:uid="{84BC2314-6C3A-48FC-BFB2-DF48BF628299}"/>
    <cellStyle name="Normal 8 3 3 2 6 3" xfId="12040" xr:uid="{B594215C-48B5-4009-BD9A-54B8C227955F}"/>
    <cellStyle name="Normal 8 3 3 2 7" xfId="4866" xr:uid="{00000000-0005-0000-0000-0000951D0000}"/>
    <cellStyle name="Normal 8 3 3 2 7 2" xfId="14192" xr:uid="{AD801DA8-1185-45D6-9F60-EA9CF06346C2}"/>
    <cellStyle name="Normal 8 3 3 2 8" xfId="9084" xr:uid="{94243AB7-0454-4C95-8E94-054E46718167}"/>
    <cellStyle name="Normal 8 3 3 2 8 2" xfId="18408" xr:uid="{14C9748A-9543-46FA-9B66-E72773E764AA}"/>
    <cellStyle name="Normal 8 3 3 2 9" xfId="9975" xr:uid="{B51FFD73-2A90-446A-9963-AD56328529FE}"/>
    <cellStyle name="Normal 8 3 3 3" xfId="967" xr:uid="{00000000-0005-0000-0000-0000961D0000}"/>
    <cellStyle name="Normal 8 3 3 3 2" xfId="3201" xr:uid="{00000000-0005-0000-0000-0000971D0000}"/>
    <cellStyle name="Normal 8 3 3 3 2 2" xfId="7423" xr:uid="{00000000-0005-0000-0000-0000981D0000}"/>
    <cellStyle name="Normal 8 3 3 3 2 2 2" xfId="16749" xr:uid="{3AE6E934-3D82-4CA0-B59D-84BFE3609FC3}"/>
    <cellStyle name="Normal 8 3 3 3 2 3" xfId="12532" xr:uid="{DDAE1A33-B665-43FC-9691-ABA0C32AE335}"/>
    <cellStyle name="Normal 8 3 3 3 3" xfId="5278" xr:uid="{00000000-0005-0000-0000-0000991D0000}"/>
    <cellStyle name="Normal 8 3 3 3 3 2" xfId="14604" xr:uid="{8F199F2E-B59B-4375-9B7D-037747F4ECCD}"/>
    <cellStyle name="Normal 8 3 3 3 4" xfId="9302" xr:uid="{3985B908-2B56-4F9B-BEA3-8962926FD004}"/>
    <cellStyle name="Normal 8 3 3 3 4 2" xfId="18617" xr:uid="{D17C2607-3652-47EA-85F5-C583EA7D1B60}"/>
    <cellStyle name="Normal 8 3 3 3 5" xfId="10387" xr:uid="{DBC1E714-E9CD-4A07-9D92-81155A5BAC5A}"/>
    <cellStyle name="Normal 8 3 3 4" xfId="1384" xr:uid="{00000000-0005-0000-0000-00009A1D0000}"/>
    <cellStyle name="Normal 8 3 3 4 2" xfId="3614" xr:uid="{00000000-0005-0000-0000-00009B1D0000}"/>
    <cellStyle name="Normal 8 3 3 4 2 2" xfId="7836" xr:uid="{00000000-0005-0000-0000-00009C1D0000}"/>
    <cellStyle name="Normal 8 3 3 4 2 2 2" xfId="17162" xr:uid="{96FAB39B-D47C-48EF-9149-1F0B3DFF1CE5}"/>
    <cellStyle name="Normal 8 3 3 4 2 3" xfId="12945" xr:uid="{408A8941-6054-45B8-984C-615FA7379294}"/>
    <cellStyle name="Normal 8 3 3 4 3" xfId="5691" xr:uid="{00000000-0005-0000-0000-00009D1D0000}"/>
    <cellStyle name="Normal 8 3 3 4 3 2" xfId="15017" xr:uid="{07F96C0B-7B39-4D35-B09C-B46911C209EA}"/>
    <cellStyle name="Normal 8 3 3 4 4" xfId="10800" xr:uid="{A1B0305C-DADE-4730-A4E8-C4E3BCB7B7AD}"/>
    <cellStyle name="Normal 8 3 3 5" xfId="1797" xr:uid="{00000000-0005-0000-0000-00009E1D0000}"/>
    <cellStyle name="Normal 8 3 3 5 2" xfId="4027" xr:uid="{00000000-0005-0000-0000-00009F1D0000}"/>
    <cellStyle name="Normal 8 3 3 5 2 2" xfId="8249" xr:uid="{00000000-0005-0000-0000-0000A01D0000}"/>
    <cellStyle name="Normal 8 3 3 5 2 2 2" xfId="17575" xr:uid="{3B079003-AFDF-42C2-819F-FF35CCC18700}"/>
    <cellStyle name="Normal 8 3 3 5 2 3" xfId="13358" xr:uid="{5DD85F81-2AE4-4E41-8570-AC428FF624D2}"/>
    <cellStyle name="Normal 8 3 3 5 3" xfId="6104" xr:uid="{00000000-0005-0000-0000-0000A11D0000}"/>
    <cellStyle name="Normal 8 3 3 5 3 2" xfId="15430" xr:uid="{FAF16962-C48E-47A0-AD14-96D2F74AE3A3}"/>
    <cellStyle name="Normal 8 3 3 5 4" xfId="11213" xr:uid="{83C07D48-3593-43A1-AB13-9B01893A902D}"/>
    <cellStyle name="Normal 8 3 3 6" xfId="2211" xr:uid="{00000000-0005-0000-0000-0000A21D0000}"/>
    <cellStyle name="Normal 8 3 3 6 2" xfId="4440" xr:uid="{00000000-0005-0000-0000-0000A31D0000}"/>
    <cellStyle name="Normal 8 3 3 6 2 2" xfId="8662" xr:uid="{00000000-0005-0000-0000-0000A41D0000}"/>
    <cellStyle name="Normal 8 3 3 6 2 2 2" xfId="17988" xr:uid="{1F510CC3-5FAF-488E-80D8-FE41CA0C2D4F}"/>
    <cellStyle name="Normal 8 3 3 6 2 3" xfId="13771" xr:uid="{3C68D1D4-57DF-458F-B079-36D51C3E6023}"/>
    <cellStyle name="Normal 8 3 3 6 3" xfId="6517" xr:uid="{00000000-0005-0000-0000-0000A51D0000}"/>
    <cellStyle name="Normal 8 3 3 6 3 2" xfId="15843" xr:uid="{32E48C62-E1EE-4A67-AE6C-E21FF1218656}"/>
    <cellStyle name="Normal 8 3 3 6 4" xfId="11626" xr:uid="{45532AFD-BF5B-487B-BF85-68A065D685AE}"/>
    <cellStyle name="Normal 8 3 3 7" xfId="2647" xr:uid="{00000000-0005-0000-0000-0000A61D0000}"/>
    <cellStyle name="Normal 8 3 3 7 2" xfId="6930" xr:uid="{00000000-0005-0000-0000-0000A71D0000}"/>
    <cellStyle name="Normal 8 3 3 7 2 2" xfId="16256" xr:uid="{6AD6CAD3-7E4D-448F-82D8-A1403E0E5CF4}"/>
    <cellStyle name="Normal 8 3 3 7 3" xfId="12039" xr:uid="{4086A4F0-C2EB-46A7-B21C-A251C959454A}"/>
    <cellStyle name="Normal 8 3 3 8" xfId="4865" xr:uid="{00000000-0005-0000-0000-0000A81D0000}"/>
    <cellStyle name="Normal 8 3 3 8 2" xfId="14191" xr:uid="{FFE3FEAC-C74E-41ED-82B7-BD83C70A4C68}"/>
    <cellStyle name="Normal 8 3 3 9" xfId="8877" xr:uid="{4F8231E3-800E-43E7-B1B6-9633EBFFFFE1}"/>
    <cellStyle name="Normal 8 3 3 9 2" xfId="18201" xr:uid="{2ECA367E-2418-452B-AF59-FE0C2A4CFA8D}"/>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2 2 2" xfId="16751" xr:uid="{FF0C9FE7-15A9-45A0-9EF4-840D801C7F6C}"/>
    <cellStyle name="Normal 8 3 4 2 2 3" xfId="12534" xr:uid="{1BB35370-67A0-4B7B-9D6A-D23BAF864C55}"/>
    <cellStyle name="Normal 8 3 4 2 3" xfId="5280" xr:uid="{00000000-0005-0000-0000-0000AD1D0000}"/>
    <cellStyle name="Normal 8 3 4 2 3 2" xfId="14606" xr:uid="{19ADCA45-726B-475E-A960-4F1FD651547B}"/>
    <cellStyle name="Normal 8 3 4 2 4" xfId="9406" xr:uid="{8751BE45-E47B-4A0A-B0DE-04C14FAEA88D}"/>
    <cellStyle name="Normal 8 3 4 2 4 2" xfId="18721" xr:uid="{FEF2902E-EA6C-4A5F-BF36-3508243EEA64}"/>
    <cellStyle name="Normal 8 3 4 2 5" xfId="10389" xr:uid="{5F73DA89-60DF-4928-A787-3F981D19C49D}"/>
    <cellStyle name="Normal 8 3 4 3" xfId="1386" xr:uid="{00000000-0005-0000-0000-0000AE1D0000}"/>
    <cellStyle name="Normal 8 3 4 3 2" xfId="3616" xr:uid="{00000000-0005-0000-0000-0000AF1D0000}"/>
    <cellStyle name="Normal 8 3 4 3 2 2" xfId="7838" xr:uid="{00000000-0005-0000-0000-0000B01D0000}"/>
    <cellStyle name="Normal 8 3 4 3 2 2 2" xfId="17164" xr:uid="{1305D237-2D25-44DE-8762-C4B9AB52E00B}"/>
    <cellStyle name="Normal 8 3 4 3 2 3" xfId="12947" xr:uid="{3F9C732B-8E2E-4E39-997E-89FDA82E0B34}"/>
    <cellStyle name="Normal 8 3 4 3 3" xfId="5693" xr:uid="{00000000-0005-0000-0000-0000B11D0000}"/>
    <cellStyle name="Normal 8 3 4 3 3 2" xfId="15019" xr:uid="{F40B3755-1850-4EE2-A2DB-1534F88ED07C}"/>
    <cellStyle name="Normal 8 3 4 3 4" xfId="10802" xr:uid="{C8B1F74E-2A35-4B78-B657-76F7AA4A0C36}"/>
    <cellStyle name="Normal 8 3 4 4" xfId="1799" xr:uid="{00000000-0005-0000-0000-0000B21D0000}"/>
    <cellStyle name="Normal 8 3 4 4 2" xfId="4029" xr:uid="{00000000-0005-0000-0000-0000B31D0000}"/>
    <cellStyle name="Normal 8 3 4 4 2 2" xfId="8251" xr:uid="{00000000-0005-0000-0000-0000B41D0000}"/>
    <cellStyle name="Normal 8 3 4 4 2 2 2" xfId="17577" xr:uid="{0B2FF6BC-D5E1-48E2-A0AC-960452A0B6AD}"/>
    <cellStyle name="Normal 8 3 4 4 2 3" xfId="13360" xr:uid="{2085942F-E61C-4587-A049-23853C927495}"/>
    <cellStyle name="Normal 8 3 4 4 3" xfId="6106" xr:uid="{00000000-0005-0000-0000-0000B51D0000}"/>
    <cellStyle name="Normal 8 3 4 4 3 2" xfId="15432" xr:uid="{AAF1D9FB-D867-43A1-ADE7-370249CA373F}"/>
    <cellStyle name="Normal 8 3 4 4 4" xfId="11215" xr:uid="{07188E5F-8246-4866-94F8-8A8E5D38DDE1}"/>
    <cellStyle name="Normal 8 3 4 5" xfId="2213" xr:uid="{00000000-0005-0000-0000-0000B61D0000}"/>
    <cellStyle name="Normal 8 3 4 5 2" xfId="4442" xr:uid="{00000000-0005-0000-0000-0000B71D0000}"/>
    <cellStyle name="Normal 8 3 4 5 2 2" xfId="8664" xr:uid="{00000000-0005-0000-0000-0000B81D0000}"/>
    <cellStyle name="Normal 8 3 4 5 2 2 2" xfId="17990" xr:uid="{B52F04B3-5C89-4771-9F7F-DC01AC9D975A}"/>
    <cellStyle name="Normal 8 3 4 5 2 3" xfId="13773" xr:uid="{21F4A706-2299-4850-AC70-D804A5993734}"/>
    <cellStyle name="Normal 8 3 4 5 3" xfId="6519" xr:uid="{00000000-0005-0000-0000-0000B91D0000}"/>
    <cellStyle name="Normal 8 3 4 5 3 2" xfId="15845" xr:uid="{6038986D-C59C-4A3A-8851-878C0C7D111C}"/>
    <cellStyle name="Normal 8 3 4 5 4" xfId="11628" xr:uid="{836F95A2-5779-416D-B5E6-90A681CB8F1B}"/>
    <cellStyle name="Normal 8 3 4 6" xfId="2649" xr:uid="{00000000-0005-0000-0000-0000BA1D0000}"/>
    <cellStyle name="Normal 8 3 4 6 2" xfId="6932" xr:uid="{00000000-0005-0000-0000-0000BB1D0000}"/>
    <cellStyle name="Normal 8 3 4 6 2 2" xfId="16258" xr:uid="{0896CD07-C286-4AD9-9BF6-1C7C0CD46274}"/>
    <cellStyle name="Normal 8 3 4 6 3" xfId="12041" xr:uid="{F899A017-305A-4A45-A6D6-73755BAD8302}"/>
    <cellStyle name="Normal 8 3 4 7" xfId="4867" xr:uid="{00000000-0005-0000-0000-0000BC1D0000}"/>
    <cellStyle name="Normal 8 3 4 7 2" xfId="14193" xr:uid="{72725AF2-0202-4E87-8F72-39D442C302C2}"/>
    <cellStyle name="Normal 8 3 4 8" xfId="8981" xr:uid="{BEE184E9-ECE6-4107-B29A-CC8BC7F28FA3}"/>
    <cellStyle name="Normal 8 3 4 8 2" xfId="18305" xr:uid="{D8547802-4103-40AB-8A94-4252C8F2711E}"/>
    <cellStyle name="Normal 8 3 4 9" xfId="9976" xr:uid="{5DBC7728-32F0-4FCF-9E50-D39F94A552DD}"/>
    <cellStyle name="Normal 8 3 5" xfId="962" xr:uid="{00000000-0005-0000-0000-0000BD1D0000}"/>
    <cellStyle name="Normal 8 3 5 2" xfId="3196" xr:uid="{00000000-0005-0000-0000-0000BE1D0000}"/>
    <cellStyle name="Normal 8 3 5 2 2" xfId="7418" xr:uid="{00000000-0005-0000-0000-0000BF1D0000}"/>
    <cellStyle name="Normal 8 3 5 2 2 2" xfId="16744" xr:uid="{878A7245-889F-47E9-97F5-E0E745EF665E}"/>
    <cellStyle name="Normal 8 3 5 2 3" xfId="12527" xr:uid="{173AF36E-685D-4C43-8B8F-67C98F8FFC38}"/>
    <cellStyle name="Normal 8 3 5 3" xfId="5273" xr:uid="{00000000-0005-0000-0000-0000C01D0000}"/>
    <cellStyle name="Normal 8 3 5 3 2" xfId="14599" xr:uid="{6E2A2C58-AC0E-465C-B97A-02745925D05E}"/>
    <cellStyle name="Normal 8 3 5 4" xfId="9198" xr:uid="{FA5A5C79-C3AC-4E17-9344-90C4E411EE0B}"/>
    <cellStyle name="Normal 8 3 5 4 2" xfId="18514" xr:uid="{186E3E58-6CED-4B38-856E-C95884D422E0}"/>
    <cellStyle name="Normal 8 3 5 5" xfId="10382" xr:uid="{9A21A5C0-E343-4B84-9416-6A187974AA73}"/>
    <cellStyle name="Normal 8 3 6" xfId="1379" xr:uid="{00000000-0005-0000-0000-0000C11D0000}"/>
    <cellStyle name="Normal 8 3 6 2" xfId="3609" xr:uid="{00000000-0005-0000-0000-0000C21D0000}"/>
    <cellStyle name="Normal 8 3 6 2 2" xfId="7831" xr:uid="{00000000-0005-0000-0000-0000C31D0000}"/>
    <cellStyle name="Normal 8 3 6 2 2 2" xfId="17157" xr:uid="{19DEAB9E-7DB8-4F50-B224-0ED463340DDA}"/>
    <cellStyle name="Normal 8 3 6 2 3" xfId="12940" xr:uid="{330411D4-6719-47C8-89BB-58337586D52E}"/>
    <cellStyle name="Normal 8 3 6 3" xfId="5686" xr:uid="{00000000-0005-0000-0000-0000C41D0000}"/>
    <cellStyle name="Normal 8 3 6 3 2" xfId="15012" xr:uid="{271741B6-52CF-4AB2-A2D8-937573BB3EBF}"/>
    <cellStyle name="Normal 8 3 6 4" xfId="10795" xr:uid="{048307C1-C208-4304-82A0-95D5AF79F216}"/>
    <cellStyle name="Normal 8 3 7" xfId="1792" xr:uid="{00000000-0005-0000-0000-0000C51D0000}"/>
    <cellStyle name="Normal 8 3 7 2" xfId="4022" xr:uid="{00000000-0005-0000-0000-0000C61D0000}"/>
    <cellStyle name="Normal 8 3 7 2 2" xfId="8244" xr:uid="{00000000-0005-0000-0000-0000C71D0000}"/>
    <cellStyle name="Normal 8 3 7 2 2 2" xfId="17570" xr:uid="{F000077A-B702-4ADE-BD8A-0C4CBC987EC5}"/>
    <cellStyle name="Normal 8 3 7 2 3" xfId="13353" xr:uid="{14A73491-C129-4D17-9F6F-89091A83BDB4}"/>
    <cellStyle name="Normal 8 3 7 3" xfId="6099" xr:uid="{00000000-0005-0000-0000-0000C81D0000}"/>
    <cellStyle name="Normal 8 3 7 3 2" xfId="15425" xr:uid="{736E5529-944C-4829-8F68-7F736E57ADC0}"/>
    <cellStyle name="Normal 8 3 7 4" xfId="11208" xr:uid="{0C43757A-2669-42D3-9561-DFE61C126907}"/>
    <cellStyle name="Normal 8 3 8" xfId="2206" xr:uid="{00000000-0005-0000-0000-0000C91D0000}"/>
    <cellStyle name="Normal 8 3 8 2" xfId="4435" xr:uid="{00000000-0005-0000-0000-0000CA1D0000}"/>
    <cellStyle name="Normal 8 3 8 2 2" xfId="8657" xr:uid="{00000000-0005-0000-0000-0000CB1D0000}"/>
    <cellStyle name="Normal 8 3 8 2 2 2" xfId="17983" xr:uid="{ABF66A10-73D9-4584-BB8C-D56B1C713821}"/>
    <cellStyle name="Normal 8 3 8 2 3" xfId="13766" xr:uid="{AB27E54F-6F04-4DDE-970B-E9B179FC1FD6}"/>
    <cellStyle name="Normal 8 3 8 3" xfId="6512" xr:uid="{00000000-0005-0000-0000-0000CC1D0000}"/>
    <cellStyle name="Normal 8 3 8 3 2" xfId="15838" xr:uid="{1399BD7B-F65E-49B0-99D0-0D2DE217FAF3}"/>
    <cellStyle name="Normal 8 3 8 4" xfId="11621" xr:uid="{7CE8B591-9CB9-415E-A3A2-8252B9D6CF4B}"/>
    <cellStyle name="Normal 8 3 9" xfId="2642" xr:uid="{00000000-0005-0000-0000-0000CD1D0000}"/>
    <cellStyle name="Normal 8 3 9 2" xfId="6925" xr:uid="{00000000-0005-0000-0000-0000CE1D0000}"/>
    <cellStyle name="Normal 8 3 9 2 2" xfId="16251" xr:uid="{1B27B262-2C6B-4985-9B5C-41C8A880877E}"/>
    <cellStyle name="Normal 8 3 9 3" xfId="12034" xr:uid="{C5D99858-0639-4313-B8E7-3655BA597925}"/>
    <cellStyle name="Normal 8 4" xfId="503" xr:uid="{00000000-0005-0000-0000-0000CF1D0000}"/>
    <cellStyle name="Normal 8 4 10" xfId="8834" xr:uid="{78848A4E-06FA-4050-B553-A3A7DEA1B047}"/>
    <cellStyle name="Normal 8 4 10 2" xfId="18158" xr:uid="{7BBC8455-2B11-49AE-97D4-8A213C5D4A1F}"/>
    <cellStyle name="Normal 8 4 11" xfId="9977" xr:uid="{3E995323-1C97-496D-91A3-7A7115218F37}"/>
    <cellStyle name="Normal 8 4 2" xfId="504" xr:uid="{00000000-0005-0000-0000-0000D01D0000}"/>
    <cellStyle name="Normal 8 4 2 10" xfId="9978" xr:uid="{1897B357-BF1C-4DB2-8FEF-A8D6F1D6D519}"/>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16754" xr:uid="{4B72C86E-C59D-4190-BF8B-804BAD12FD69}"/>
    <cellStyle name="Normal 8 4 2 2 2 2 3" xfId="12537" xr:uid="{1347B3A6-E191-4264-9854-8953E1551432}"/>
    <cellStyle name="Normal 8 4 2 2 2 3" xfId="5283" xr:uid="{00000000-0005-0000-0000-0000D51D0000}"/>
    <cellStyle name="Normal 8 4 2 2 2 3 2" xfId="14609" xr:uid="{0480F31A-F444-43E3-AAC2-FF51EE9DE868}"/>
    <cellStyle name="Normal 8 4 2 2 2 4" xfId="9569" xr:uid="{F21122F8-27BB-4D46-891E-281F736F5353}"/>
    <cellStyle name="Normal 8 4 2 2 2 4 2" xfId="18884" xr:uid="{7755AED5-E4A8-4A96-B038-5ECA86C8AA54}"/>
    <cellStyle name="Normal 8 4 2 2 2 5" xfId="10392" xr:uid="{D5105F05-20A1-4A1A-AACC-9CC19F0CD55F}"/>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17167" xr:uid="{761ADA29-ADE2-43E2-BF96-241433E52978}"/>
    <cellStyle name="Normal 8 4 2 2 3 2 3" xfId="12950" xr:uid="{F562500B-43A3-43CE-9354-3D73E9661D57}"/>
    <cellStyle name="Normal 8 4 2 2 3 3" xfId="5696" xr:uid="{00000000-0005-0000-0000-0000D91D0000}"/>
    <cellStyle name="Normal 8 4 2 2 3 3 2" xfId="15022" xr:uid="{1AFC602B-603A-41FF-9842-F388FF519B6C}"/>
    <cellStyle name="Normal 8 4 2 2 3 4" xfId="10805" xr:uid="{00D15227-F52A-4891-87DE-D4A1E153C22D}"/>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17580" xr:uid="{E6EBCCEB-24D4-4A3E-8A3A-B7999A804369}"/>
    <cellStyle name="Normal 8 4 2 2 4 2 3" xfId="13363" xr:uid="{AC8CD241-F166-48A6-A49F-B7EA278CD409}"/>
    <cellStyle name="Normal 8 4 2 2 4 3" xfId="6109" xr:uid="{00000000-0005-0000-0000-0000DD1D0000}"/>
    <cellStyle name="Normal 8 4 2 2 4 3 2" xfId="15435" xr:uid="{C3A0A0A1-356F-443B-B9FC-1A8B562D3A59}"/>
    <cellStyle name="Normal 8 4 2 2 4 4" xfId="11218" xr:uid="{4B7DFF59-574E-48CB-94C3-D822E96B60DA}"/>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17993" xr:uid="{89F25481-6485-4EA9-9789-AECEF08A838B}"/>
    <cellStyle name="Normal 8 4 2 2 5 2 3" xfId="13776" xr:uid="{E78C6304-87CB-41CF-9D75-A8E767F18E8A}"/>
    <cellStyle name="Normal 8 4 2 2 5 3" xfId="6522" xr:uid="{00000000-0005-0000-0000-0000E11D0000}"/>
    <cellStyle name="Normal 8 4 2 2 5 3 2" xfId="15848" xr:uid="{8396527B-878A-4B6B-89AF-056F417BEBDA}"/>
    <cellStyle name="Normal 8 4 2 2 5 4" xfId="11631" xr:uid="{E2A29943-B8CC-497C-9DAA-2A41614E1305}"/>
    <cellStyle name="Normal 8 4 2 2 6" xfId="2652" xr:uid="{00000000-0005-0000-0000-0000E21D0000}"/>
    <cellStyle name="Normal 8 4 2 2 6 2" xfId="6935" xr:uid="{00000000-0005-0000-0000-0000E31D0000}"/>
    <cellStyle name="Normal 8 4 2 2 6 2 2" xfId="16261" xr:uid="{BFB10D91-2533-4154-925E-23D3A8048374}"/>
    <cellStyle name="Normal 8 4 2 2 6 3" xfId="12044" xr:uid="{E9619AD3-E540-4932-8D8B-0AA47B387C7D}"/>
    <cellStyle name="Normal 8 4 2 2 7" xfId="4870" xr:uid="{00000000-0005-0000-0000-0000E41D0000}"/>
    <cellStyle name="Normal 8 4 2 2 7 2" xfId="14196" xr:uid="{3A0F2BCA-254F-42BD-B91D-95C50B96D618}"/>
    <cellStyle name="Normal 8 4 2 2 8" xfId="9144" xr:uid="{EF6B0978-3DE8-47DC-990C-0B47AAC8F1DC}"/>
    <cellStyle name="Normal 8 4 2 2 8 2" xfId="18468" xr:uid="{45E6193D-DA9D-47C5-A3DC-E0134F61F568}"/>
    <cellStyle name="Normal 8 4 2 2 9" xfId="9979" xr:uid="{13B48232-B21A-418A-AFEE-065428748CD0}"/>
    <cellStyle name="Normal 8 4 2 3" xfId="971" xr:uid="{00000000-0005-0000-0000-0000E51D0000}"/>
    <cellStyle name="Normal 8 4 2 3 2" xfId="3205" xr:uid="{00000000-0005-0000-0000-0000E61D0000}"/>
    <cellStyle name="Normal 8 4 2 3 2 2" xfId="7427" xr:uid="{00000000-0005-0000-0000-0000E71D0000}"/>
    <cellStyle name="Normal 8 4 2 3 2 2 2" xfId="16753" xr:uid="{92BE46A8-017E-467E-B293-A7798F61B040}"/>
    <cellStyle name="Normal 8 4 2 3 2 3" xfId="12536" xr:uid="{13F27AC2-7B7E-463B-BE5E-9CC9E2E6A279}"/>
    <cellStyle name="Normal 8 4 2 3 3" xfId="5282" xr:uid="{00000000-0005-0000-0000-0000E81D0000}"/>
    <cellStyle name="Normal 8 4 2 3 3 2" xfId="14608" xr:uid="{DACCC612-4EA2-4A1A-A67F-6E3EE02D4102}"/>
    <cellStyle name="Normal 8 4 2 3 4" xfId="9362" xr:uid="{206856BB-FDDB-4012-ABFE-5E991E477A14}"/>
    <cellStyle name="Normal 8 4 2 3 4 2" xfId="18677" xr:uid="{8C6B6B1B-677E-431E-B1F6-E09BA41073A3}"/>
    <cellStyle name="Normal 8 4 2 3 5" xfId="10391" xr:uid="{F17A401B-804A-424D-AA24-3E801D8F790B}"/>
    <cellStyle name="Normal 8 4 2 4" xfId="1388" xr:uid="{00000000-0005-0000-0000-0000E91D0000}"/>
    <cellStyle name="Normal 8 4 2 4 2" xfId="3618" xr:uid="{00000000-0005-0000-0000-0000EA1D0000}"/>
    <cellStyle name="Normal 8 4 2 4 2 2" xfId="7840" xr:uid="{00000000-0005-0000-0000-0000EB1D0000}"/>
    <cellStyle name="Normal 8 4 2 4 2 2 2" xfId="17166" xr:uid="{7FC2D727-959D-43A5-B05E-03353DD48D44}"/>
    <cellStyle name="Normal 8 4 2 4 2 3" xfId="12949" xr:uid="{AD9E0FAF-3076-45D9-B5E0-99D33D3C319F}"/>
    <cellStyle name="Normal 8 4 2 4 3" xfId="5695" xr:uid="{00000000-0005-0000-0000-0000EC1D0000}"/>
    <cellStyle name="Normal 8 4 2 4 3 2" xfId="15021" xr:uid="{17747676-8693-43BD-BD12-28A670090172}"/>
    <cellStyle name="Normal 8 4 2 4 4" xfId="10804" xr:uid="{0C3E9AC6-EB7C-4CFD-A189-9EEAD20B6B9B}"/>
    <cellStyle name="Normal 8 4 2 5" xfId="1801" xr:uid="{00000000-0005-0000-0000-0000ED1D0000}"/>
    <cellStyle name="Normal 8 4 2 5 2" xfId="4031" xr:uid="{00000000-0005-0000-0000-0000EE1D0000}"/>
    <cellStyle name="Normal 8 4 2 5 2 2" xfId="8253" xr:uid="{00000000-0005-0000-0000-0000EF1D0000}"/>
    <cellStyle name="Normal 8 4 2 5 2 2 2" xfId="17579" xr:uid="{2F1B4465-B2D2-4FE7-94D8-8EC83479A82D}"/>
    <cellStyle name="Normal 8 4 2 5 2 3" xfId="13362" xr:uid="{B62B3B2E-33A9-4F7A-BE08-52A884E41E87}"/>
    <cellStyle name="Normal 8 4 2 5 3" xfId="6108" xr:uid="{00000000-0005-0000-0000-0000F01D0000}"/>
    <cellStyle name="Normal 8 4 2 5 3 2" xfId="15434" xr:uid="{8AA05564-7A9B-482C-AA4D-5EB08D84A2AC}"/>
    <cellStyle name="Normal 8 4 2 5 4" xfId="11217" xr:uid="{425D2344-5DED-451A-A0D1-B0AE469724CA}"/>
    <cellStyle name="Normal 8 4 2 6" xfId="2215" xr:uid="{00000000-0005-0000-0000-0000F11D0000}"/>
    <cellStyle name="Normal 8 4 2 6 2" xfId="4444" xr:uid="{00000000-0005-0000-0000-0000F21D0000}"/>
    <cellStyle name="Normal 8 4 2 6 2 2" xfId="8666" xr:uid="{00000000-0005-0000-0000-0000F31D0000}"/>
    <cellStyle name="Normal 8 4 2 6 2 2 2" xfId="17992" xr:uid="{FB529249-C106-4347-A7CB-9B6D87CC4862}"/>
    <cellStyle name="Normal 8 4 2 6 2 3" xfId="13775" xr:uid="{70545FF3-12DC-40D3-ACC7-BBDE0A3E4C12}"/>
    <cellStyle name="Normal 8 4 2 6 3" xfId="6521" xr:uid="{00000000-0005-0000-0000-0000F41D0000}"/>
    <cellStyle name="Normal 8 4 2 6 3 2" xfId="15847" xr:uid="{59FFF04C-4338-49B4-9CDF-00E2779627D7}"/>
    <cellStyle name="Normal 8 4 2 6 4" xfId="11630" xr:uid="{4B129D3B-6B84-423F-8949-EE6319B18396}"/>
    <cellStyle name="Normal 8 4 2 7" xfId="2651" xr:uid="{00000000-0005-0000-0000-0000F51D0000}"/>
    <cellStyle name="Normal 8 4 2 7 2" xfId="6934" xr:uid="{00000000-0005-0000-0000-0000F61D0000}"/>
    <cellStyle name="Normal 8 4 2 7 2 2" xfId="16260" xr:uid="{C41CF9F6-9AAB-4597-9210-36B8AF1984F5}"/>
    <cellStyle name="Normal 8 4 2 7 3" xfId="12043" xr:uid="{31AF4BC7-748A-4946-9166-B6601C4529E6}"/>
    <cellStyle name="Normal 8 4 2 8" xfId="4869" xr:uid="{00000000-0005-0000-0000-0000F71D0000}"/>
    <cellStyle name="Normal 8 4 2 8 2" xfId="14195" xr:uid="{01AABA9C-9718-411E-951E-98CA6F95D739}"/>
    <cellStyle name="Normal 8 4 2 9" xfId="8937" xr:uid="{B425CDA4-C1C1-4A6C-AB85-CE28E324A88F}"/>
    <cellStyle name="Normal 8 4 2 9 2" xfId="18261" xr:uid="{BFFEA9D5-C573-4E17-A237-8B607B2DD704}"/>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2 2 2" xfId="16755" xr:uid="{A36932CD-E0EA-4DD1-82BE-4E7353A01BF1}"/>
    <cellStyle name="Normal 8 4 3 2 2 3" xfId="12538" xr:uid="{5EBD77D6-6958-46DC-B98B-196B7A8EF9DA}"/>
    <cellStyle name="Normal 8 4 3 2 3" xfId="5284" xr:uid="{00000000-0005-0000-0000-0000FC1D0000}"/>
    <cellStyle name="Normal 8 4 3 2 3 2" xfId="14610" xr:uid="{00BF0672-C788-45A5-A82A-A5EDFA020DC2}"/>
    <cellStyle name="Normal 8 4 3 2 4" xfId="9466" xr:uid="{4C42748F-6D34-4D0D-8AE2-FFD5C0CBE26F}"/>
    <cellStyle name="Normal 8 4 3 2 4 2" xfId="18781" xr:uid="{92890746-B4DA-4E6F-B239-323BA4887DEB}"/>
    <cellStyle name="Normal 8 4 3 2 5" xfId="10393" xr:uid="{456BBA33-E586-48C5-A48B-F3C2DBFB06FC}"/>
    <cellStyle name="Normal 8 4 3 3" xfId="1390" xr:uid="{00000000-0005-0000-0000-0000FD1D0000}"/>
    <cellStyle name="Normal 8 4 3 3 2" xfId="3620" xr:uid="{00000000-0005-0000-0000-0000FE1D0000}"/>
    <cellStyle name="Normal 8 4 3 3 2 2" xfId="7842" xr:uid="{00000000-0005-0000-0000-0000FF1D0000}"/>
    <cellStyle name="Normal 8 4 3 3 2 2 2" xfId="17168" xr:uid="{867E1CCC-3BD6-47A8-937A-F17FEFF1737F}"/>
    <cellStyle name="Normal 8 4 3 3 2 3" xfId="12951" xr:uid="{6C5FFC05-37F2-4CEE-8310-34519D96B3B0}"/>
    <cellStyle name="Normal 8 4 3 3 3" xfId="5697" xr:uid="{00000000-0005-0000-0000-0000001E0000}"/>
    <cellStyle name="Normal 8 4 3 3 3 2" xfId="15023" xr:uid="{B44E76F0-4112-4DAF-B269-4C2051BDF3F8}"/>
    <cellStyle name="Normal 8 4 3 3 4" xfId="10806" xr:uid="{4AED7721-6A27-4DDA-BB7F-6803226F375E}"/>
    <cellStyle name="Normal 8 4 3 4" xfId="1803" xr:uid="{00000000-0005-0000-0000-0000011E0000}"/>
    <cellStyle name="Normal 8 4 3 4 2" xfId="4033" xr:uid="{00000000-0005-0000-0000-0000021E0000}"/>
    <cellStyle name="Normal 8 4 3 4 2 2" xfId="8255" xr:uid="{00000000-0005-0000-0000-0000031E0000}"/>
    <cellStyle name="Normal 8 4 3 4 2 2 2" xfId="17581" xr:uid="{5647353C-4ABF-4F75-BBBA-29263F599479}"/>
    <cellStyle name="Normal 8 4 3 4 2 3" xfId="13364" xr:uid="{0AE49372-AF7B-4726-82AD-B712241E5754}"/>
    <cellStyle name="Normal 8 4 3 4 3" xfId="6110" xr:uid="{00000000-0005-0000-0000-0000041E0000}"/>
    <cellStyle name="Normal 8 4 3 4 3 2" xfId="15436" xr:uid="{9BCEC9B6-7257-4DF7-93BD-B9CC7AB70353}"/>
    <cellStyle name="Normal 8 4 3 4 4" xfId="11219" xr:uid="{35EC33D4-B3FE-49D3-B307-8C46B29D52AC}"/>
    <cellStyle name="Normal 8 4 3 5" xfId="2217" xr:uid="{00000000-0005-0000-0000-0000051E0000}"/>
    <cellStyle name="Normal 8 4 3 5 2" xfId="4446" xr:uid="{00000000-0005-0000-0000-0000061E0000}"/>
    <cellStyle name="Normal 8 4 3 5 2 2" xfId="8668" xr:uid="{00000000-0005-0000-0000-0000071E0000}"/>
    <cellStyle name="Normal 8 4 3 5 2 2 2" xfId="17994" xr:uid="{B177004C-620C-4577-A1E8-878439FD7944}"/>
    <cellStyle name="Normal 8 4 3 5 2 3" xfId="13777" xr:uid="{05F51142-E9AE-4E39-9185-771736D46675}"/>
    <cellStyle name="Normal 8 4 3 5 3" xfId="6523" xr:uid="{00000000-0005-0000-0000-0000081E0000}"/>
    <cellStyle name="Normal 8 4 3 5 3 2" xfId="15849" xr:uid="{A5B67D8A-E212-4BC1-BA80-2A3F815C2B6B}"/>
    <cellStyle name="Normal 8 4 3 5 4" xfId="11632" xr:uid="{1658CFAA-8D11-45C1-A838-7FB62AB9C661}"/>
    <cellStyle name="Normal 8 4 3 6" xfId="2653" xr:uid="{00000000-0005-0000-0000-0000091E0000}"/>
    <cellStyle name="Normal 8 4 3 6 2" xfId="6936" xr:uid="{00000000-0005-0000-0000-00000A1E0000}"/>
    <cellStyle name="Normal 8 4 3 6 2 2" xfId="16262" xr:uid="{CB88800F-C04C-414A-8695-D48199D59B9A}"/>
    <cellStyle name="Normal 8 4 3 6 3" xfId="12045" xr:uid="{C9DFB4E1-086B-4700-9C9F-0EF6E53C2FE6}"/>
    <cellStyle name="Normal 8 4 3 7" xfId="4871" xr:uid="{00000000-0005-0000-0000-00000B1E0000}"/>
    <cellStyle name="Normal 8 4 3 7 2" xfId="14197" xr:uid="{720380E2-1611-4738-873F-4C9DAC5F0C84}"/>
    <cellStyle name="Normal 8 4 3 8" xfId="9041" xr:uid="{3EA15F1E-D38A-4BB8-BEC6-98D9A94BB79B}"/>
    <cellStyle name="Normal 8 4 3 8 2" xfId="18365" xr:uid="{6EB1B084-FAEA-4624-99AF-66363E36A356}"/>
    <cellStyle name="Normal 8 4 3 9" xfId="9980" xr:uid="{B2135AF9-C9C5-4F76-BECD-B5EDF2B2FD5F}"/>
    <cellStyle name="Normal 8 4 4" xfId="970" xr:uid="{00000000-0005-0000-0000-00000C1E0000}"/>
    <cellStyle name="Normal 8 4 4 2" xfId="3204" xr:uid="{00000000-0005-0000-0000-00000D1E0000}"/>
    <cellStyle name="Normal 8 4 4 2 2" xfId="7426" xr:uid="{00000000-0005-0000-0000-00000E1E0000}"/>
    <cellStyle name="Normal 8 4 4 2 2 2" xfId="16752" xr:uid="{95B321AB-94A1-45B2-A9D1-009D78068F20}"/>
    <cellStyle name="Normal 8 4 4 2 3" xfId="12535" xr:uid="{6BF7C779-BDE9-4DBC-BE26-E9161239BFE2}"/>
    <cellStyle name="Normal 8 4 4 3" xfId="5281" xr:uid="{00000000-0005-0000-0000-00000F1E0000}"/>
    <cellStyle name="Normal 8 4 4 3 2" xfId="14607" xr:uid="{3F860ED1-66CE-4C3C-A268-3369310074C8}"/>
    <cellStyle name="Normal 8 4 4 4" xfId="9259" xr:uid="{45904BAA-3C39-482B-A2B6-0FB84C0B889C}"/>
    <cellStyle name="Normal 8 4 4 4 2" xfId="18574" xr:uid="{73132F12-AFC5-43A4-9586-AE989E8C1D1D}"/>
    <cellStyle name="Normal 8 4 4 5" xfId="10390" xr:uid="{A50B790F-0E8D-461A-8525-B9924DB0FA33}"/>
    <cellStyle name="Normal 8 4 5" xfId="1387" xr:uid="{00000000-0005-0000-0000-0000101E0000}"/>
    <cellStyle name="Normal 8 4 5 2" xfId="3617" xr:uid="{00000000-0005-0000-0000-0000111E0000}"/>
    <cellStyle name="Normal 8 4 5 2 2" xfId="7839" xr:uid="{00000000-0005-0000-0000-0000121E0000}"/>
    <cellStyle name="Normal 8 4 5 2 2 2" xfId="17165" xr:uid="{A71F687A-74C8-40DC-8AF4-A0EF88A1C464}"/>
    <cellStyle name="Normal 8 4 5 2 3" xfId="12948" xr:uid="{178E193F-DCF3-4385-B3C5-72D0D6406A7B}"/>
    <cellStyle name="Normal 8 4 5 3" xfId="5694" xr:uid="{00000000-0005-0000-0000-0000131E0000}"/>
    <cellStyle name="Normal 8 4 5 3 2" xfId="15020" xr:uid="{1DFBAFED-3642-44B1-AC1F-AA9519F6B1E0}"/>
    <cellStyle name="Normal 8 4 5 4" xfId="10803" xr:uid="{55EFC2C7-CAC6-484F-B2D6-A2D0931CEA72}"/>
    <cellStyle name="Normal 8 4 6" xfId="1800" xr:uid="{00000000-0005-0000-0000-0000141E0000}"/>
    <cellStyle name="Normal 8 4 6 2" xfId="4030" xr:uid="{00000000-0005-0000-0000-0000151E0000}"/>
    <cellStyle name="Normal 8 4 6 2 2" xfId="8252" xr:uid="{00000000-0005-0000-0000-0000161E0000}"/>
    <cellStyle name="Normal 8 4 6 2 2 2" xfId="17578" xr:uid="{D80A0D65-AB3F-4860-B8B4-93F7BBE9268C}"/>
    <cellStyle name="Normal 8 4 6 2 3" xfId="13361" xr:uid="{4A87B8A2-7553-476D-87EB-29FD3CB41B4C}"/>
    <cellStyle name="Normal 8 4 6 3" xfId="6107" xr:uid="{00000000-0005-0000-0000-0000171E0000}"/>
    <cellStyle name="Normal 8 4 6 3 2" xfId="15433" xr:uid="{CECD7783-C344-44D7-9634-77A35BE3845B}"/>
    <cellStyle name="Normal 8 4 6 4" xfId="11216" xr:uid="{DE2D7D28-8F70-4747-8F8A-5F9C283D680C}"/>
    <cellStyle name="Normal 8 4 7" xfId="2214" xr:uid="{00000000-0005-0000-0000-0000181E0000}"/>
    <cellStyle name="Normal 8 4 7 2" xfId="4443" xr:uid="{00000000-0005-0000-0000-0000191E0000}"/>
    <cellStyle name="Normal 8 4 7 2 2" xfId="8665" xr:uid="{00000000-0005-0000-0000-00001A1E0000}"/>
    <cellStyle name="Normal 8 4 7 2 2 2" xfId="17991" xr:uid="{62C6D03E-DC34-42BC-B908-8032BE616027}"/>
    <cellStyle name="Normal 8 4 7 2 3" xfId="13774" xr:uid="{D0A54D07-3440-46A6-9422-D8CDE3A2D4BD}"/>
    <cellStyle name="Normal 8 4 7 3" xfId="6520" xr:uid="{00000000-0005-0000-0000-00001B1E0000}"/>
    <cellStyle name="Normal 8 4 7 3 2" xfId="15846" xr:uid="{C4BDBF32-4979-41B2-885E-BFEC7D994561}"/>
    <cellStyle name="Normal 8 4 7 4" xfId="11629" xr:uid="{DDF3AEAF-1349-4989-9601-470CF9BD4BE6}"/>
    <cellStyle name="Normal 8 4 8" xfId="2650" xr:uid="{00000000-0005-0000-0000-00001C1E0000}"/>
    <cellStyle name="Normal 8 4 8 2" xfId="6933" xr:uid="{00000000-0005-0000-0000-00001D1E0000}"/>
    <cellStyle name="Normal 8 4 8 2 2" xfId="16259" xr:uid="{B5909A43-13D3-4C6A-897C-82680C7BE3BD}"/>
    <cellStyle name="Normal 8 4 8 3" xfId="12042" xr:uid="{FC81A0D4-396C-4AC6-B8CD-1043D2C2C1F4}"/>
    <cellStyle name="Normal 8 4 9" xfId="4868" xr:uid="{00000000-0005-0000-0000-00001E1E0000}"/>
    <cellStyle name="Normal 8 4 9 2" xfId="14194" xr:uid="{5572DD2D-F612-4D45-B704-023D6E09B13A}"/>
    <cellStyle name="Normal 8 5" xfId="507" xr:uid="{00000000-0005-0000-0000-00001F1E0000}"/>
    <cellStyle name="Normal 8 5 10" xfId="9981" xr:uid="{001B2416-C55E-4D72-ABD1-C3EF5747636E}"/>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2 2 2" xfId="16757" xr:uid="{A8F5A4BB-6220-47A4-BED3-41CF964B584D}"/>
    <cellStyle name="Normal 8 5 2 2 2 3" xfId="12540" xr:uid="{81C18F73-74C8-4F04-ADCC-EE57B2275212}"/>
    <cellStyle name="Normal 8 5 2 2 3" xfId="5286" xr:uid="{00000000-0005-0000-0000-0000241E0000}"/>
    <cellStyle name="Normal 8 5 2 2 3 2" xfId="14612" xr:uid="{EC58A261-EBB9-462A-B59C-818CA158B626}"/>
    <cellStyle name="Normal 8 5 2 2 4" xfId="9477" xr:uid="{62ED1F43-6081-4B0B-94C3-5999D37D11C7}"/>
    <cellStyle name="Normal 8 5 2 2 4 2" xfId="18792" xr:uid="{76405CD4-9B76-4D8F-8C0C-7F4119DF1C56}"/>
    <cellStyle name="Normal 8 5 2 2 5" xfId="10395" xr:uid="{CC6C4632-985D-4541-8417-60F0179BD23F}"/>
    <cellStyle name="Normal 8 5 2 3" xfId="1392" xr:uid="{00000000-0005-0000-0000-0000251E0000}"/>
    <cellStyle name="Normal 8 5 2 3 2" xfId="3622" xr:uid="{00000000-0005-0000-0000-0000261E0000}"/>
    <cellStyle name="Normal 8 5 2 3 2 2" xfId="7844" xr:uid="{00000000-0005-0000-0000-0000271E0000}"/>
    <cellStyle name="Normal 8 5 2 3 2 2 2" xfId="17170" xr:uid="{8AB98323-E49C-40E5-A7BB-F47F3C18BABE}"/>
    <cellStyle name="Normal 8 5 2 3 2 3" xfId="12953" xr:uid="{0ECC4C21-BE20-49BC-AFDB-7D4C90C40A32}"/>
    <cellStyle name="Normal 8 5 2 3 3" xfId="5699" xr:uid="{00000000-0005-0000-0000-0000281E0000}"/>
    <cellStyle name="Normal 8 5 2 3 3 2" xfId="15025" xr:uid="{2536E823-53BB-4721-AEB6-FDF234C3947E}"/>
    <cellStyle name="Normal 8 5 2 3 4" xfId="10808" xr:uid="{1F20F834-064C-4C1A-B2BA-D7F874EED36E}"/>
    <cellStyle name="Normal 8 5 2 4" xfId="1805" xr:uid="{00000000-0005-0000-0000-0000291E0000}"/>
    <cellStyle name="Normal 8 5 2 4 2" xfId="4035" xr:uid="{00000000-0005-0000-0000-00002A1E0000}"/>
    <cellStyle name="Normal 8 5 2 4 2 2" xfId="8257" xr:uid="{00000000-0005-0000-0000-00002B1E0000}"/>
    <cellStyle name="Normal 8 5 2 4 2 2 2" xfId="17583" xr:uid="{8B71F0C6-5BDA-48AB-A50A-AA15FEF9F295}"/>
    <cellStyle name="Normal 8 5 2 4 2 3" xfId="13366" xr:uid="{C4427160-C98E-457C-AFD5-3432244C8A71}"/>
    <cellStyle name="Normal 8 5 2 4 3" xfId="6112" xr:uid="{00000000-0005-0000-0000-00002C1E0000}"/>
    <cellStyle name="Normal 8 5 2 4 3 2" xfId="15438" xr:uid="{32C3D76D-228E-4442-ACD7-7BED08B92C54}"/>
    <cellStyle name="Normal 8 5 2 4 4" xfId="11221" xr:uid="{5DE05C8B-7F16-4F47-B2C5-05D1ECEA5B65}"/>
    <cellStyle name="Normal 8 5 2 5" xfId="2219" xr:uid="{00000000-0005-0000-0000-00002D1E0000}"/>
    <cellStyle name="Normal 8 5 2 5 2" xfId="4448" xr:uid="{00000000-0005-0000-0000-00002E1E0000}"/>
    <cellStyle name="Normal 8 5 2 5 2 2" xfId="8670" xr:uid="{00000000-0005-0000-0000-00002F1E0000}"/>
    <cellStyle name="Normal 8 5 2 5 2 2 2" xfId="17996" xr:uid="{8D403D51-3C26-4A4C-9A5D-E4EEE7EF4E0F}"/>
    <cellStyle name="Normal 8 5 2 5 2 3" xfId="13779" xr:uid="{A7A3AA04-4FE8-41AA-AE0D-C535C4A26F2B}"/>
    <cellStyle name="Normal 8 5 2 5 3" xfId="6525" xr:uid="{00000000-0005-0000-0000-0000301E0000}"/>
    <cellStyle name="Normal 8 5 2 5 3 2" xfId="15851" xr:uid="{C58F7778-BCB4-4EF4-8224-8660FADC2FD1}"/>
    <cellStyle name="Normal 8 5 2 5 4" xfId="11634" xr:uid="{63F7F6E6-D4E3-49C4-BCEA-C78D0F738C17}"/>
    <cellStyle name="Normal 8 5 2 6" xfId="2655" xr:uid="{00000000-0005-0000-0000-0000311E0000}"/>
    <cellStyle name="Normal 8 5 2 6 2" xfId="6938" xr:uid="{00000000-0005-0000-0000-0000321E0000}"/>
    <cellStyle name="Normal 8 5 2 6 2 2" xfId="16264" xr:uid="{82BDD1FA-93C1-40A7-B546-F878A14D1BFB}"/>
    <cellStyle name="Normal 8 5 2 6 3" xfId="12047" xr:uid="{FEDF6BFA-A0C9-4EB6-8D08-AC03BCDCE3E2}"/>
    <cellStyle name="Normal 8 5 2 7" xfId="4873" xr:uid="{00000000-0005-0000-0000-0000331E0000}"/>
    <cellStyle name="Normal 8 5 2 7 2" xfId="14199" xr:uid="{8ABB62D5-9712-4556-A3F6-A47E58B4D901}"/>
    <cellStyle name="Normal 8 5 2 8" xfId="9052" xr:uid="{D754D15A-EECE-4975-9542-AF3C340304E3}"/>
    <cellStyle name="Normal 8 5 2 8 2" xfId="18376" xr:uid="{C5BB608B-C161-40ED-9667-181B739A84AC}"/>
    <cellStyle name="Normal 8 5 2 9" xfId="9982" xr:uid="{B047A92B-537A-486A-9881-00D9280E140B}"/>
    <cellStyle name="Normal 8 5 3" xfId="974" xr:uid="{00000000-0005-0000-0000-0000341E0000}"/>
    <cellStyle name="Normal 8 5 3 2" xfId="3208" xr:uid="{00000000-0005-0000-0000-0000351E0000}"/>
    <cellStyle name="Normal 8 5 3 2 2" xfId="7430" xr:uid="{00000000-0005-0000-0000-0000361E0000}"/>
    <cellStyle name="Normal 8 5 3 2 2 2" xfId="16756" xr:uid="{E6CBE3F3-61B4-4E02-AFBC-D4DBD14B8200}"/>
    <cellStyle name="Normal 8 5 3 2 3" xfId="12539" xr:uid="{B52987D0-9F4A-406D-B250-171DFE6D5AA3}"/>
    <cellStyle name="Normal 8 5 3 3" xfId="5285" xr:uid="{00000000-0005-0000-0000-0000371E0000}"/>
    <cellStyle name="Normal 8 5 3 3 2" xfId="14611" xr:uid="{E196A261-20EC-4E4F-BE74-AFC32F47E592}"/>
    <cellStyle name="Normal 8 5 3 4" xfId="9270" xr:uid="{88F9D262-71F2-4DD2-A7F6-B0DCE74ABD45}"/>
    <cellStyle name="Normal 8 5 3 4 2" xfId="18585" xr:uid="{6D89B136-A0CD-48DA-B3DA-F4FE0778E77D}"/>
    <cellStyle name="Normal 8 5 3 5" xfId="10394" xr:uid="{BDE331B3-7977-413B-A638-397670BF99EC}"/>
    <cellStyle name="Normal 8 5 4" xfId="1391" xr:uid="{00000000-0005-0000-0000-0000381E0000}"/>
    <cellStyle name="Normal 8 5 4 2" xfId="3621" xr:uid="{00000000-0005-0000-0000-0000391E0000}"/>
    <cellStyle name="Normal 8 5 4 2 2" xfId="7843" xr:uid="{00000000-0005-0000-0000-00003A1E0000}"/>
    <cellStyle name="Normal 8 5 4 2 2 2" xfId="17169" xr:uid="{96F1740F-F8C2-4723-8FC0-CEFE9DA42D5D}"/>
    <cellStyle name="Normal 8 5 4 2 3" xfId="12952" xr:uid="{AD97E2F0-0255-448B-A05B-C50A702AEC67}"/>
    <cellStyle name="Normal 8 5 4 3" xfId="5698" xr:uid="{00000000-0005-0000-0000-00003B1E0000}"/>
    <cellStyle name="Normal 8 5 4 3 2" xfId="15024" xr:uid="{B13175A3-2AB0-465C-8C79-8BEAC549E4E6}"/>
    <cellStyle name="Normal 8 5 4 4" xfId="10807" xr:uid="{C571FD6A-C877-4916-A03B-EA2C37120F0B}"/>
    <cellStyle name="Normal 8 5 5" xfId="1804" xr:uid="{00000000-0005-0000-0000-00003C1E0000}"/>
    <cellStyle name="Normal 8 5 5 2" xfId="4034" xr:uid="{00000000-0005-0000-0000-00003D1E0000}"/>
    <cellStyle name="Normal 8 5 5 2 2" xfId="8256" xr:uid="{00000000-0005-0000-0000-00003E1E0000}"/>
    <cellStyle name="Normal 8 5 5 2 2 2" xfId="17582" xr:uid="{0F05CCE6-15B0-4326-9802-258CA9A4E92E}"/>
    <cellStyle name="Normal 8 5 5 2 3" xfId="13365" xr:uid="{C497E08D-5056-4DDB-91A1-1D5BADF07FAE}"/>
    <cellStyle name="Normal 8 5 5 3" xfId="6111" xr:uid="{00000000-0005-0000-0000-00003F1E0000}"/>
    <cellStyle name="Normal 8 5 5 3 2" xfId="15437" xr:uid="{EB860EDE-AD20-47A0-8511-36C88805FC5B}"/>
    <cellStyle name="Normal 8 5 5 4" xfId="11220" xr:uid="{3251C3D6-2224-4DBC-AF89-BDFEB23E72EA}"/>
    <cellStyle name="Normal 8 5 6" xfId="2218" xr:uid="{00000000-0005-0000-0000-0000401E0000}"/>
    <cellStyle name="Normal 8 5 6 2" xfId="4447" xr:uid="{00000000-0005-0000-0000-0000411E0000}"/>
    <cellStyle name="Normal 8 5 6 2 2" xfId="8669" xr:uid="{00000000-0005-0000-0000-0000421E0000}"/>
    <cellStyle name="Normal 8 5 6 2 2 2" xfId="17995" xr:uid="{B59EAFD5-F2D2-40EF-AC84-33CF55971BC3}"/>
    <cellStyle name="Normal 8 5 6 2 3" xfId="13778" xr:uid="{3E5D72EE-D014-489A-BE33-A18AAD85BB40}"/>
    <cellStyle name="Normal 8 5 6 3" xfId="6524" xr:uid="{00000000-0005-0000-0000-0000431E0000}"/>
    <cellStyle name="Normal 8 5 6 3 2" xfId="15850" xr:uid="{501BC4DE-1D3A-4F64-AB00-1AD150ECEC9D}"/>
    <cellStyle name="Normal 8 5 6 4" xfId="11633" xr:uid="{84BF4B48-8C41-45DA-9FD8-6C6357A84A20}"/>
    <cellStyle name="Normal 8 5 7" xfId="2654" xr:uid="{00000000-0005-0000-0000-0000441E0000}"/>
    <cellStyle name="Normal 8 5 7 2" xfId="6937" xr:uid="{00000000-0005-0000-0000-0000451E0000}"/>
    <cellStyle name="Normal 8 5 7 2 2" xfId="16263" xr:uid="{75FEA587-8739-4D31-9EBE-E12785F04785}"/>
    <cellStyle name="Normal 8 5 7 3" xfId="12046" xr:uid="{73943E55-CE97-47E9-8495-FC60F1FA075B}"/>
    <cellStyle name="Normal 8 5 8" xfId="4872" xr:uid="{00000000-0005-0000-0000-0000461E0000}"/>
    <cellStyle name="Normal 8 5 8 2" xfId="14198" xr:uid="{49FBE57C-EC9F-4830-9CEC-660DB18966AD}"/>
    <cellStyle name="Normal 8 5 9" xfId="8845" xr:uid="{C8167C67-59BC-42DE-816D-718433EFB28C}"/>
    <cellStyle name="Normal 8 5 9 2" xfId="18169" xr:uid="{618541F4-CCCA-4630-91FA-66FCD3C39F14}"/>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2 2 2" xfId="16758" xr:uid="{88331BDF-909A-4522-90F6-435038E38C57}"/>
    <cellStyle name="Normal 8 6 2 2 3" xfId="12541" xr:uid="{8875EAF6-1908-488D-BB78-E41668BC044A}"/>
    <cellStyle name="Normal 8 6 2 3" xfId="5287" xr:uid="{00000000-0005-0000-0000-00004B1E0000}"/>
    <cellStyle name="Normal 8 6 2 3 2" xfId="14613" xr:uid="{F5C18690-7E20-45D0-8E11-401383981617}"/>
    <cellStyle name="Normal 8 6 2 4" xfId="9386" xr:uid="{45A5CE0D-B006-45BB-A53E-22B23F4367E3}"/>
    <cellStyle name="Normal 8 6 2 4 2" xfId="18701" xr:uid="{F08C2FB5-0184-4F2B-A6C1-FBF1A8AFE86A}"/>
    <cellStyle name="Normal 8 6 2 5" xfId="10396" xr:uid="{5097D23E-D009-41AA-9BA9-B10BFE05123F}"/>
    <cellStyle name="Normal 8 6 3" xfId="1393" xr:uid="{00000000-0005-0000-0000-00004C1E0000}"/>
    <cellStyle name="Normal 8 6 3 2" xfId="3623" xr:uid="{00000000-0005-0000-0000-00004D1E0000}"/>
    <cellStyle name="Normal 8 6 3 2 2" xfId="7845" xr:uid="{00000000-0005-0000-0000-00004E1E0000}"/>
    <cellStyle name="Normal 8 6 3 2 2 2" xfId="17171" xr:uid="{B7EE6CFB-8E10-4EDA-951F-B385111FE4DE}"/>
    <cellStyle name="Normal 8 6 3 2 3" xfId="12954" xr:uid="{3141443C-31A2-4AA9-9806-B4DAE581CA8D}"/>
    <cellStyle name="Normal 8 6 3 3" xfId="5700" xr:uid="{00000000-0005-0000-0000-00004F1E0000}"/>
    <cellStyle name="Normal 8 6 3 3 2" xfId="15026" xr:uid="{F185546E-5569-4973-A1AF-29E2BF0DF26E}"/>
    <cellStyle name="Normal 8 6 3 4" xfId="10809" xr:uid="{8D94E670-9866-40C0-BA4B-DF924CF7EA7B}"/>
    <cellStyle name="Normal 8 6 4" xfId="1806" xr:uid="{00000000-0005-0000-0000-0000501E0000}"/>
    <cellStyle name="Normal 8 6 4 2" xfId="4036" xr:uid="{00000000-0005-0000-0000-0000511E0000}"/>
    <cellStyle name="Normal 8 6 4 2 2" xfId="8258" xr:uid="{00000000-0005-0000-0000-0000521E0000}"/>
    <cellStyle name="Normal 8 6 4 2 2 2" xfId="17584" xr:uid="{822A8BA7-5377-4232-BCD8-6091583A0E8D}"/>
    <cellStyle name="Normal 8 6 4 2 3" xfId="13367" xr:uid="{E1A77516-33C9-437A-A238-E24632C6CAC9}"/>
    <cellStyle name="Normal 8 6 4 3" xfId="6113" xr:uid="{00000000-0005-0000-0000-0000531E0000}"/>
    <cellStyle name="Normal 8 6 4 3 2" xfId="15439" xr:uid="{A2EAFF48-543B-48D5-89F0-8E9BC285229D}"/>
    <cellStyle name="Normal 8 6 4 4" xfId="11222" xr:uid="{83D0BB0A-873E-40C3-A83B-3AA7595F6356}"/>
    <cellStyle name="Normal 8 6 5" xfId="2220" xr:uid="{00000000-0005-0000-0000-0000541E0000}"/>
    <cellStyle name="Normal 8 6 5 2" xfId="4449" xr:uid="{00000000-0005-0000-0000-0000551E0000}"/>
    <cellStyle name="Normal 8 6 5 2 2" xfId="8671" xr:uid="{00000000-0005-0000-0000-0000561E0000}"/>
    <cellStyle name="Normal 8 6 5 2 2 2" xfId="17997" xr:uid="{1C600460-B771-435A-890A-526FCE1D87A0}"/>
    <cellStyle name="Normal 8 6 5 2 3" xfId="13780" xr:uid="{5659C29B-E9AE-4C9C-B29B-CF43A5E0587D}"/>
    <cellStyle name="Normal 8 6 5 3" xfId="6526" xr:uid="{00000000-0005-0000-0000-0000571E0000}"/>
    <cellStyle name="Normal 8 6 5 3 2" xfId="15852" xr:uid="{C56E0700-8955-462A-8447-78F2DA7D1F31}"/>
    <cellStyle name="Normal 8 6 5 4" xfId="11635" xr:uid="{E3A2F5EC-C0DC-4570-8FB3-44564B4512BF}"/>
    <cellStyle name="Normal 8 6 6" xfId="2656" xr:uid="{00000000-0005-0000-0000-0000581E0000}"/>
    <cellStyle name="Normal 8 6 6 2" xfId="6939" xr:uid="{00000000-0005-0000-0000-0000591E0000}"/>
    <cellStyle name="Normal 8 6 6 2 2" xfId="16265" xr:uid="{D5EB95E2-15BE-4F74-85F9-9FB81F3DB69E}"/>
    <cellStyle name="Normal 8 6 6 3" xfId="12048" xr:uid="{22406660-AD06-4B72-B961-01807B940AAF}"/>
    <cellStyle name="Normal 8 6 7" xfId="4874" xr:uid="{00000000-0005-0000-0000-00005A1E0000}"/>
    <cellStyle name="Normal 8 6 7 2" xfId="14200" xr:uid="{44DD186D-449F-4110-805C-128D9BFC213B}"/>
    <cellStyle name="Normal 8 6 8" xfId="8961" xr:uid="{36060843-7B38-46C3-B2F1-7172ECB11EEE}"/>
    <cellStyle name="Normal 8 6 8 2" xfId="18285" xr:uid="{0F98914A-691F-49F0-AAA2-4362D0428E95}"/>
    <cellStyle name="Normal 8 6 9" xfId="9983" xr:uid="{9EAE3F45-F6D2-4943-BAB3-BE6CB7B7BF01}"/>
    <cellStyle name="Normal 8 7" xfId="945" xr:uid="{00000000-0005-0000-0000-00005B1E0000}"/>
    <cellStyle name="Normal 8 7 2" xfId="3179" xr:uid="{00000000-0005-0000-0000-00005C1E0000}"/>
    <cellStyle name="Normal 8 7 2 2" xfId="7401" xr:uid="{00000000-0005-0000-0000-00005D1E0000}"/>
    <cellStyle name="Normal 8 7 2 2 2" xfId="16727" xr:uid="{008D1782-135D-454C-B46D-B7812C392D9D}"/>
    <cellStyle name="Normal 8 7 2 3" xfId="12510" xr:uid="{8C31CC0B-47A8-4CA7-B667-BD7C41D060C7}"/>
    <cellStyle name="Normal 8 7 3" xfId="5256" xr:uid="{00000000-0005-0000-0000-00005E1E0000}"/>
    <cellStyle name="Normal 8 7 3 2" xfId="14582" xr:uid="{FF53DAA7-0923-4F42-9D6C-E3068C09CAEA}"/>
    <cellStyle name="Normal 8 7 4" xfId="9164" xr:uid="{EA2ADDDA-E9AC-4FF8-B08B-61B1D6489A46}"/>
    <cellStyle name="Normal 8 7 4 2" xfId="18482" xr:uid="{942B5D2A-4570-474D-B126-9121E4AFF04C}"/>
    <cellStyle name="Normal 8 7 5" xfId="10365" xr:uid="{2AB59E56-9A5C-4B3C-9BCE-4A535DB5CF60}"/>
    <cellStyle name="Normal 8 8" xfId="1362" xr:uid="{00000000-0005-0000-0000-00005F1E0000}"/>
    <cellStyle name="Normal 8 8 2" xfId="3592" xr:uid="{00000000-0005-0000-0000-0000601E0000}"/>
    <cellStyle name="Normal 8 8 2 2" xfId="7814" xr:uid="{00000000-0005-0000-0000-0000611E0000}"/>
    <cellStyle name="Normal 8 8 2 2 2" xfId="17140" xr:uid="{A75A1E11-01D2-418B-A889-6E8ADE4EF773}"/>
    <cellStyle name="Normal 8 8 2 3" xfId="12923" xr:uid="{AAFD72AD-0313-4EAF-8D3E-4A63B0F8BD5F}"/>
    <cellStyle name="Normal 8 8 3" xfId="5669" xr:uid="{00000000-0005-0000-0000-0000621E0000}"/>
    <cellStyle name="Normal 8 8 3 2" xfId="14995" xr:uid="{0C3259F2-73FE-4E12-AE70-2D0CD75B65B8}"/>
    <cellStyle name="Normal 8 8 4" xfId="10778" xr:uid="{478D2022-978B-4130-AAE6-0C098362B42E}"/>
    <cellStyle name="Normal 8 9" xfId="1775" xr:uid="{00000000-0005-0000-0000-0000631E0000}"/>
    <cellStyle name="Normal 8 9 2" xfId="4005" xr:uid="{00000000-0005-0000-0000-0000641E0000}"/>
    <cellStyle name="Normal 8 9 2 2" xfId="8227" xr:uid="{00000000-0005-0000-0000-0000651E0000}"/>
    <cellStyle name="Normal 8 9 2 2 2" xfId="17553" xr:uid="{2CF271FA-A70C-44F4-80E0-03981C9B2D9D}"/>
    <cellStyle name="Normal 8 9 2 3" xfId="13336" xr:uid="{6137B9FB-47EA-422A-AA0D-87FB90F9E87E}"/>
    <cellStyle name="Normal 8 9 3" xfId="6082" xr:uid="{00000000-0005-0000-0000-0000661E0000}"/>
    <cellStyle name="Normal 8 9 3 2" xfId="15408" xr:uid="{A4F58104-6716-47E6-8FAE-A7665A999ED2}"/>
    <cellStyle name="Normal 8 9 4" xfId="11191" xr:uid="{2E4F8DE5-F32E-4152-9AE7-3DB251BE59D5}"/>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16266" xr:uid="{EB773945-F753-4E9A-AC61-2F288E45A9C5}"/>
    <cellStyle name="Normal 9 2 10 3" xfId="12049" xr:uid="{D9FEB969-B3D5-4780-B820-5776F6C39F6B}"/>
    <cellStyle name="Normal 9 2 11" xfId="4875" xr:uid="{00000000-0005-0000-0000-00006B1E0000}"/>
    <cellStyle name="Normal 9 2 11 2" xfId="14201" xr:uid="{FC1791ED-3988-4DDE-87B1-C24EEA7119E8}"/>
    <cellStyle name="Normal 9 2 12" xfId="8754" xr:uid="{9024D06A-4C5F-4C89-BCDB-29B8C924FF52}"/>
    <cellStyle name="Normal 9 2 12 2" xfId="18078" xr:uid="{8B40C2CE-9779-4108-96E2-AA34DFD26D86}"/>
    <cellStyle name="Normal 9 2 13" xfId="9984" xr:uid="{637B5990-15BE-4D5B-9E12-7BD839E03845}"/>
    <cellStyle name="Normal 9 2 2" xfId="512" xr:uid="{00000000-0005-0000-0000-00006C1E0000}"/>
    <cellStyle name="Normal 9 2 2 10" xfId="4876" xr:uid="{00000000-0005-0000-0000-00006D1E0000}"/>
    <cellStyle name="Normal 9 2 2 10 2" xfId="14202" xr:uid="{372CCD7E-3E45-4BDA-8B6B-44FB02C41CEE}"/>
    <cellStyle name="Normal 9 2 2 11" xfId="8785" xr:uid="{3048542E-ED39-45ED-9C91-0140D2CF60D9}"/>
    <cellStyle name="Normal 9 2 2 11 2" xfId="18109" xr:uid="{474E2507-F2A6-4DE4-A37B-8AAB7A82311B}"/>
    <cellStyle name="Normal 9 2 2 12" xfId="9985" xr:uid="{E9C56F14-5680-48D5-83B8-78CD09998EE8}"/>
    <cellStyle name="Normal 9 2 2 2" xfId="513" xr:uid="{00000000-0005-0000-0000-00006E1E0000}"/>
    <cellStyle name="Normal 9 2 2 2 10" xfId="8839" xr:uid="{3B2DC7F4-4F49-4AE2-9279-EFD4857A149B}"/>
    <cellStyle name="Normal 9 2 2 2 10 2" xfId="18163" xr:uid="{F03D829F-D540-4F42-975E-4B7F87C4869B}"/>
    <cellStyle name="Normal 9 2 2 2 11" xfId="9986" xr:uid="{71B179D7-F629-4073-BB8A-9194A4558B5C}"/>
    <cellStyle name="Normal 9 2 2 2 2" xfId="514" xr:uid="{00000000-0005-0000-0000-00006F1E0000}"/>
    <cellStyle name="Normal 9 2 2 2 2 10" xfId="9987" xr:uid="{009AE9DF-C662-4AD3-B4AA-F7C1FFD39F18}"/>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16763" xr:uid="{2C81866F-C064-4A1B-876B-2056763A1722}"/>
    <cellStyle name="Normal 9 2 2 2 2 2 2 2 3" xfId="12546" xr:uid="{9F6B3F92-D9C0-4699-A874-D26CF3A0CD6A}"/>
    <cellStyle name="Normal 9 2 2 2 2 2 2 3" xfId="5292" xr:uid="{00000000-0005-0000-0000-0000741E0000}"/>
    <cellStyle name="Normal 9 2 2 2 2 2 2 3 2" xfId="14618" xr:uid="{419E725B-F36C-4372-98DD-2B65A5586C61}"/>
    <cellStyle name="Normal 9 2 2 2 2 2 2 4" xfId="9574" xr:uid="{00EB170D-8A20-4280-B781-E452C3590555}"/>
    <cellStyle name="Normal 9 2 2 2 2 2 2 4 2" xfId="18889" xr:uid="{85AEC614-BE97-49ED-9F24-1B21EBF6852F}"/>
    <cellStyle name="Normal 9 2 2 2 2 2 2 5" xfId="10401" xr:uid="{FCA67F3C-94D9-4B69-8976-1787392F8026}"/>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17176" xr:uid="{323ECB1A-E97C-46EE-A6BB-D1F38AEA57AB}"/>
    <cellStyle name="Normal 9 2 2 2 2 2 3 2 3" xfId="12959" xr:uid="{BAE10547-CCE6-47C8-AD9A-EB0B502D6AD7}"/>
    <cellStyle name="Normal 9 2 2 2 2 2 3 3" xfId="5705" xr:uid="{00000000-0005-0000-0000-0000781E0000}"/>
    <cellStyle name="Normal 9 2 2 2 2 2 3 3 2" xfId="15031" xr:uid="{8F748017-2EB1-4FD0-8352-0E1804E566FC}"/>
    <cellStyle name="Normal 9 2 2 2 2 2 3 4" xfId="10814" xr:uid="{796FB9A7-42BE-4AFE-AC21-5B04B6DFC97F}"/>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17589" xr:uid="{8E4EE2F7-0090-44ED-802B-B7530EA55506}"/>
    <cellStyle name="Normal 9 2 2 2 2 2 4 2 3" xfId="13372" xr:uid="{9F084BFE-ECD7-4DCF-AD0F-597463A91B0B}"/>
    <cellStyle name="Normal 9 2 2 2 2 2 4 3" xfId="6118" xr:uid="{00000000-0005-0000-0000-00007C1E0000}"/>
    <cellStyle name="Normal 9 2 2 2 2 2 4 3 2" xfId="15444" xr:uid="{732B76C4-4FA1-41EB-A612-2C71172AEDE5}"/>
    <cellStyle name="Normal 9 2 2 2 2 2 4 4" xfId="11227" xr:uid="{2152ADA2-BB8C-4540-A61E-55B3F73BC41F}"/>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18002" xr:uid="{39BC4969-3B0D-441F-9922-1CDD15DAE594}"/>
    <cellStyle name="Normal 9 2 2 2 2 2 5 2 3" xfId="13785" xr:uid="{368CED3A-907F-4F80-9BBC-8CFA61E911C2}"/>
    <cellStyle name="Normal 9 2 2 2 2 2 5 3" xfId="6531" xr:uid="{00000000-0005-0000-0000-0000801E0000}"/>
    <cellStyle name="Normal 9 2 2 2 2 2 5 3 2" xfId="15857" xr:uid="{C073128D-C1C2-4602-8D3C-10D6628DFA90}"/>
    <cellStyle name="Normal 9 2 2 2 2 2 5 4" xfId="11640" xr:uid="{8607E7FE-07F4-44B3-8BDD-8BF819758D60}"/>
    <cellStyle name="Normal 9 2 2 2 2 2 6" xfId="2661" xr:uid="{00000000-0005-0000-0000-0000811E0000}"/>
    <cellStyle name="Normal 9 2 2 2 2 2 6 2" xfId="6944" xr:uid="{00000000-0005-0000-0000-0000821E0000}"/>
    <cellStyle name="Normal 9 2 2 2 2 2 6 2 2" xfId="16270" xr:uid="{5C27D8B3-D25F-430B-898A-04657A594CC0}"/>
    <cellStyle name="Normal 9 2 2 2 2 2 6 3" xfId="12053" xr:uid="{27D5E20F-30F0-490E-A42D-5125655F60B4}"/>
    <cellStyle name="Normal 9 2 2 2 2 2 7" xfId="4879" xr:uid="{00000000-0005-0000-0000-0000831E0000}"/>
    <cellStyle name="Normal 9 2 2 2 2 2 7 2" xfId="14205" xr:uid="{389C718D-784A-4CC0-B7E4-8F2341F83C35}"/>
    <cellStyle name="Normal 9 2 2 2 2 2 8" xfId="9149" xr:uid="{6C0BEC1E-EE3B-4956-830C-8775C93DB46A}"/>
    <cellStyle name="Normal 9 2 2 2 2 2 8 2" xfId="18473" xr:uid="{119B45D3-A758-44E9-8B80-5550A80E6233}"/>
    <cellStyle name="Normal 9 2 2 2 2 2 9" xfId="9988" xr:uid="{7D481FE0-82C8-4DA2-B76E-E90BC5ECC172}"/>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16762" xr:uid="{41B41294-12DE-483E-9DB1-CC1EA3C5851A}"/>
    <cellStyle name="Normal 9 2 2 2 2 3 2 3" xfId="12545" xr:uid="{F2FF98A9-9A81-4A8E-A737-E8BB441C9575}"/>
    <cellStyle name="Normal 9 2 2 2 2 3 3" xfId="5291" xr:uid="{00000000-0005-0000-0000-0000871E0000}"/>
    <cellStyle name="Normal 9 2 2 2 2 3 3 2" xfId="14617" xr:uid="{F2EA3CC2-CF80-4C76-93DD-AA3BFEE0CD4A}"/>
    <cellStyle name="Normal 9 2 2 2 2 3 4" xfId="9367" xr:uid="{4A654E22-020A-4B0F-8753-639C44EA908A}"/>
    <cellStyle name="Normal 9 2 2 2 2 3 4 2" xfId="18682" xr:uid="{D107D8C6-A692-4029-9C54-9F1AC6EA7A05}"/>
    <cellStyle name="Normal 9 2 2 2 2 3 5" xfId="10400" xr:uid="{78CA379F-F5D2-4DC2-97B2-50257EB804D2}"/>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17175" xr:uid="{1C830C9E-E176-4E8D-BA41-D817F1B20C39}"/>
    <cellStyle name="Normal 9 2 2 2 2 4 2 3" xfId="12958" xr:uid="{A632BB3A-7C1C-484B-83FD-41A43F072E0E}"/>
    <cellStyle name="Normal 9 2 2 2 2 4 3" xfId="5704" xr:uid="{00000000-0005-0000-0000-00008B1E0000}"/>
    <cellStyle name="Normal 9 2 2 2 2 4 3 2" xfId="15030" xr:uid="{A941D779-5E7F-4880-9C22-BBD254487B1B}"/>
    <cellStyle name="Normal 9 2 2 2 2 4 4" xfId="10813" xr:uid="{6EE3758D-629A-4423-AA04-D403A4F893B9}"/>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17588" xr:uid="{1739175F-66D6-4D24-BB42-E7BEAE201DC3}"/>
    <cellStyle name="Normal 9 2 2 2 2 5 2 3" xfId="13371" xr:uid="{CD1ED4EC-CAA8-4630-9431-FCE5912FDB4C}"/>
    <cellStyle name="Normal 9 2 2 2 2 5 3" xfId="6117" xr:uid="{00000000-0005-0000-0000-00008F1E0000}"/>
    <cellStyle name="Normal 9 2 2 2 2 5 3 2" xfId="15443" xr:uid="{77E6C4EE-CAB0-4C4D-BD96-CEFFE10CE0D4}"/>
    <cellStyle name="Normal 9 2 2 2 2 5 4" xfId="11226" xr:uid="{EC9C63D0-EFF3-4D8E-A7AF-67A420A023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18001" xr:uid="{9CC41844-46EB-4121-B9A2-0C4292081F72}"/>
    <cellStyle name="Normal 9 2 2 2 2 6 2 3" xfId="13784" xr:uid="{8D1FB514-B4DD-45D7-B6B9-3D18F7BD5364}"/>
    <cellStyle name="Normal 9 2 2 2 2 6 3" xfId="6530" xr:uid="{00000000-0005-0000-0000-0000931E0000}"/>
    <cellStyle name="Normal 9 2 2 2 2 6 3 2" xfId="15856" xr:uid="{998CE63B-03C4-47AD-9F13-03B44FC04162}"/>
    <cellStyle name="Normal 9 2 2 2 2 6 4" xfId="11639" xr:uid="{8EA25979-79EF-4C77-8724-DF231BEF4788}"/>
    <cellStyle name="Normal 9 2 2 2 2 7" xfId="2660" xr:uid="{00000000-0005-0000-0000-0000941E0000}"/>
    <cellStyle name="Normal 9 2 2 2 2 7 2" xfId="6943" xr:uid="{00000000-0005-0000-0000-0000951E0000}"/>
    <cellStyle name="Normal 9 2 2 2 2 7 2 2" xfId="16269" xr:uid="{23CB4F3A-7612-4589-9B8A-1ECCEB99B982}"/>
    <cellStyle name="Normal 9 2 2 2 2 7 3" xfId="12052" xr:uid="{FC2BDBB9-90EE-42ED-BE6A-D0FD35602E4D}"/>
    <cellStyle name="Normal 9 2 2 2 2 8" xfId="4878" xr:uid="{00000000-0005-0000-0000-0000961E0000}"/>
    <cellStyle name="Normal 9 2 2 2 2 8 2" xfId="14204" xr:uid="{4E5733CF-397D-47EF-8411-B7DE4A214BDC}"/>
    <cellStyle name="Normal 9 2 2 2 2 9" xfId="8942" xr:uid="{0DE8A022-819C-4D6A-B102-31C1C7F429A5}"/>
    <cellStyle name="Normal 9 2 2 2 2 9 2" xfId="18266" xr:uid="{592D5FFE-5B0B-4079-84FB-D18935DD417E}"/>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16764" xr:uid="{70EB45B3-FD58-4187-8CCA-C2707CD203C8}"/>
    <cellStyle name="Normal 9 2 2 2 3 2 2 3" xfId="12547" xr:uid="{126A987F-A034-4F09-A012-BC924CF89090}"/>
    <cellStyle name="Normal 9 2 2 2 3 2 3" xfId="5293" xr:uid="{00000000-0005-0000-0000-00009B1E0000}"/>
    <cellStyle name="Normal 9 2 2 2 3 2 3 2" xfId="14619" xr:uid="{241D4373-9C52-4C54-B8D8-227FBF061F9F}"/>
    <cellStyle name="Normal 9 2 2 2 3 2 4" xfId="9471" xr:uid="{E472D827-532E-42C0-B781-9E63FEBCFCF5}"/>
    <cellStyle name="Normal 9 2 2 2 3 2 4 2" xfId="18786" xr:uid="{3F3022FA-B47C-43DF-A7F2-F544E3FF555E}"/>
    <cellStyle name="Normal 9 2 2 2 3 2 5" xfId="10402" xr:uid="{E4C909CC-F63D-4990-A09F-12177C8EC46E}"/>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17177" xr:uid="{5C560A1C-C6D1-4938-B993-F650AA99C553}"/>
    <cellStyle name="Normal 9 2 2 2 3 3 2 3" xfId="12960" xr:uid="{3ABCEF56-2706-4F24-8BEB-48121624A2B7}"/>
    <cellStyle name="Normal 9 2 2 2 3 3 3" xfId="5706" xr:uid="{00000000-0005-0000-0000-00009F1E0000}"/>
    <cellStyle name="Normal 9 2 2 2 3 3 3 2" xfId="15032" xr:uid="{B671B9FF-DC24-48A8-A5EE-6CA2C57B6EB1}"/>
    <cellStyle name="Normal 9 2 2 2 3 3 4" xfId="10815" xr:uid="{897609B2-5461-4FEB-869E-6C5E89257BC5}"/>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17590" xr:uid="{3B90A55F-2058-4638-9008-28EB6C30F84B}"/>
    <cellStyle name="Normal 9 2 2 2 3 4 2 3" xfId="13373" xr:uid="{F695D367-53DD-41E5-973C-E95D989833FC}"/>
    <cellStyle name="Normal 9 2 2 2 3 4 3" xfId="6119" xr:uid="{00000000-0005-0000-0000-0000A31E0000}"/>
    <cellStyle name="Normal 9 2 2 2 3 4 3 2" xfId="15445" xr:uid="{28208A33-A213-4755-AE83-6C7DD5B70BFE}"/>
    <cellStyle name="Normal 9 2 2 2 3 4 4" xfId="11228" xr:uid="{F84C1340-D36E-4D42-8B4A-E16399105A57}"/>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18003" xr:uid="{FA994ECB-2882-4333-8860-11BD94D8BF26}"/>
    <cellStyle name="Normal 9 2 2 2 3 5 2 3" xfId="13786" xr:uid="{30F5536E-FCD0-46EA-83AC-94C5D547D079}"/>
    <cellStyle name="Normal 9 2 2 2 3 5 3" xfId="6532" xr:uid="{00000000-0005-0000-0000-0000A71E0000}"/>
    <cellStyle name="Normal 9 2 2 2 3 5 3 2" xfId="15858" xr:uid="{660A4E46-ED0C-4AAA-846F-145DDC9DF113}"/>
    <cellStyle name="Normal 9 2 2 2 3 5 4" xfId="11641" xr:uid="{41C7AFC7-1B40-4F61-AE47-DBD2A4BA8252}"/>
    <cellStyle name="Normal 9 2 2 2 3 6" xfId="2662" xr:uid="{00000000-0005-0000-0000-0000A81E0000}"/>
    <cellStyle name="Normal 9 2 2 2 3 6 2" xfId="6945" xr:uid="{00000000-0005-0000-0000-0000A91E0000}"/>
    <cellStyle name="Normal 9 2 2 2 3 6 2 2" xfId="16271" xr:uid="{398F79CA-A514-49F1-8742-46290F63BB70}"/>
    <cellStyle name="Normal 9 2 2 2 3 6 3" xfId="12054" xr:uid="{74016647-76A2-4484-8901-71C54D8C91C8}"/>
    <cellStyle name="Normal 9 2 2 2 3 7" xfId="4880" xr:uid="{00000000-0005-0000-0000-0000AA1E0000}"/>
    <cellStyle name="Normal 9 2 2 2 3 7 2" xfId="14206" xr:uid="{D747E76C-D788-4BF1-A872-F4732FD0F0B0}"/>
    <cellStyle name="Normal 9 2 2 2 3 8" xfId="9046" xr:uid="{6B7E07C7-E90B-4AE9-8FE8-76EF28E8FC85}"/>
    <cellStyle name="Normal 9 2 2 2 3 8 2" xfId="18370" xr:uid="{F5D10A8B-E1F1-4B7A-B6E6-3CBABAFD66C7}"/>
    <cellStyle name="Normal 9 2 2 2 3 9" xfId="9989" xr:uid="{31BCA8AF-54D8-4ABB-96FA-1DBCE35C5DE8}"/>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16761" xr:uid="{2C13B37E-A88B-4B76-8B6F-78F72003485D}"/>
    <cellStyle name="Normal 9 2 2 2 4 2 3" xfId="12544" xr:uid="{5FFC51A0-B9DE-45E1-89ED-ACDEEE0E23C0}"/>
    <cellStyle name="Normal 9 2 2 2 4 3" xfId="5290" xr:uid="{00000000-0005-0000-0000-0000AE1E0000}"/>
    <cellStyle name="Normal 9 2 2 2 4 3 2" xfId="14616" xr:uid="{21263808-11EB-4CB2-BF5B-AE2E260D4866}"/>
    <cellStyle name="Normal 9 2 2 2 4 4" xfId="9264" xr:uid="{0137E036-48D9-4B3B-9B73-0002A19DDE9E}"/>
    <cellStyle name="Normal 9 2 2 2 4 4 2" xfId="18579" xr:uid="{0BE2164D-6A61-4D0D-B4F3-0E7E6AD84401}"/>
    <cellStyle name="Normal 9 2 2 2 4 5" xfId="10399" xr:uid="{C1B3CF46-9A77-4A7C-8C81-B5F2C940A245}"/>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17174" xr:uid="{A0DBB45F-ADD4-4EB1-B5EE-C4AB5208F6A8}"/>
    <cellStyle name="Normal 9 2 2 2 5 2 3" xfId="12957" xr:uid="{A6FA79E5-4745-4620-8866-4A8FF8E975B2}"/>
    <cellStyle name="Normal 9 2 2 2 5 3" xfId="5703" xr:uid="{00000000-0005-0000-0000-0000B21E0000}"/>
    <cellStyle name="Normal 9 2 2 2 5 3 2" xfId="15029" xr:uid="{89833CCA-74A0-4EB8-9C4E-D365C872F3A8}"/>
    <cellStyle name="Normal 9 2 2 2 5 4" xfId="10812" xr:uid="{12AFB5EE-803A-4CEB-845A-F351E42688AA}"/>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17587" xr:uid="{83ECA895-8B2B-497B-B474-44ACBCA46CCD}"/>
    <cellStyle name="Normal 9 2 2 2 6 2 3" xfId="13370" xr:uid="{0A911C57-1498-444A-8963-1C27FB2DDA2B}"/>
    <cellStyle name="Normal 9 2 2 2 6 3" xfId="6116" xr:uid="{00000000-0005-0000-0000-0000B61E0000}"/>
    <cellStyle name="Normal 9 2 2 2 6 3 2" xfId="15442" xr:uid="{44ACB7A2-5B3B-4FDF-8733-2517DA86B336}"/>
    <cellStyle name="Normal 9 2 2 2 6 4" xfId="11225" xr:uid="{44A929F0-1DD7-4CE5-9E95-709A5C115595}"/>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18000" xr:uid="{1049A655-A611-4B8A-BF46-FEA60339E8D5}"/>
    <cellStyle name="Normal 9 2 2 2 7 2 3" xfId="13783" xr:uid="{6C1B05F5-599B-45DF-B756-28C0586528DA}"/>
    <cellStyle name="Normal 9 2 2 2 7 3" xfId="6529" xr:uid="{00000000-0005-0000-0000-0000BA1E0000}"/>
    <cellStyle name="Normal 9 2 2 2 7 3 2" xfId="15855" xr:uid="{3727A4C1-675C-46D0-931E-6E8DFC64C039}"/>
    <cellStyle name="Normal 9 2 2 2 7 4" xfId="11638" xr:uid="{BA753386-8C1C-4AF8-B72D-43882BFBED02}"/>
    <cellStyle name="Normal 9 2 2 2 8" xfId="2659" xr:uid="{00000000-0005-0000-0000-0000BB1E0000}"/>
    <cellStyle name="Normal 9 2 2 2 8 2" xfId="6942" xr:uid="{00000000-0005-0000-0000-0000BC1E0000}"/>
    <cellStyle name="Normal 9 2 2 2 8 2 2" xfId="16268" xr:uid="{0C6F2731-F88F-4561-9E3A-7C1A1AE61898}"/>
    <cellStyle name="Normal 9 2 2 2 8 3" xfId="12051" xr:uid="{348AD858-0545-440E-82D9-5475014957AE}"/>
    <cellStyle name="Normal 9 2 2 2 9" xfId="4877" xr:uid="{00000000-0005-0000-0000-0000BD1E0000}"/>
    <cellStyle name="Normal 9 2 2 2 9 2" xfId="14203" xr:uid="{08E228A8-57FC-4D4C-8EE0-2518F92E1AF6}"/>
    <cellStyle name="Normal 9 2 2 3" xfId="517" xr:uid="{00000000-0005-0000-0000-0000BE1E0000}"/>
    <cellStyle name="Normal 9 2 2 3 10" xfId="9990" xr:uid="{E9D3ACFC-AA5C-40FF-8159-C3DF61FEC4A3}"/>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16766" xr:uid="{9EAEA422-911C-4147-BF34-139C2028A8FE}"/>
    <cellStyle name="Normal 9 2 2 3 2 2 2 3" xfId="12549" xr:uid="{C79436E7-1AA1-4322-807A-91F20DB2B5A1}"/>
    <cellStyle name="Normal 9 2 2 3 2 2 3" xfId="5295" xr:uid="{00000000-0005-0000-0000-0000C31E0000}"/>
    <cellStyle name="Normal 9 2 2 3 2 2 3 2" xfId="14621" xr:uid="{177F7340-917F-4A7E-9C66-A691AE0C4F17}"/>
    <cellStyle name="Normal 9 2 2 3 2 2 4" xfId="9520" xr:uid="{57CFBD10-691F-4DF8-8020-B75E98FF60DD}"/>
    <cellStyle name="Normal 9 2 2 3 2 2 4 2" xfId="18835" xr:uid="{CE118DC0-A1EB-43DA-AF90-6D6539F5B8CF}"/>
    <cellStyle name="Normal 9 2 2 3 2 2 5" xfId="10404" xr:uid="{94916FA3-901F-4CC6-93A0-FC09D3D84DBF}"/>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17179" xr:uid="{134F71A1-2F1A-4484-8630-D6A7B143DF61}"/>
    <cellStyle name="Normal 9 2 2 3 2 3 2 3" xfId="12962" xr:uid="{4ECFB7C5-7D3A-41BC-9417-9011AA27444E}"/>
    <cellStyle name="Normal 9 2 2 3 2 3 3" xfId="5708" xr:uid="{00000000-0005-0000-0000-0000C71E0000}"/>
    <cellStyle name="Normal 9 2 2 3 2 3 3 2" xfId="15034" xr:uid="{A8D71288-1B31-49AC-88C5-781E66F262A1}"/>
    <cellStyle name="Normal 9 2 2 3 2 3 4" xfId="10817" xr:uid="{17C6B107-AE8D-454F-B788-19BE6E7106FA}"/>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17592" xr:uid="{933A7B35-16D4-49BB-AACC-40FD635BCEC5}"/>
    <cellStyle name="Normal 9 2 2 3 2 4 2 3" xfId="13375" xr:uid="{4EB239BA-6A39-48B9-9E9E-9C5FD648A339}"/>
    <cellStyle name="Normal 9 2 2 3 2 4 3" xfId="6121" xr:uid="{00000000-0005-0000-0000-0000CB1E0000}"/>
    <cellStyle name="Normal 9 2 2 3 2 4 3 2" xfId="15447" xr:uid="{AFCD4532-97CD-40D8-A4CB-F1FFF0A71D41}"/>
    <cellStyle name="Normal 9 2 2 3 2 4 4" xfId="11230" xr:uid="{83F005C3-CEEF-4C76-BB9D-14C4B402F70F}"/>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18005" xr:uid="{0DA988C6-3D35-4A6C-8D5E-E61A1F716E56}"/>
    <cellStyle name="Normal 9 2 2 3 2 5 2 3" xfId="13788" xr:uid="{74AF139E-D130-4451-A59A-D9927CA80BDA}"/>
    <cellStyle name="Normal 9 2 2 3 2 5 3" xfId="6534" xr:uid="{00000000-0005-0000-0000-0000CF1E0000}"/>
    <cellStyle name="Normal 9 2 2 3 2 5 3 2" xfId="15860" xr:uid="{349BB7BF-1344-47AA-95F9-BBA41434939D}"/>
    <cellStyle name="Normal 9 2 2 3 2 5 4" xfId="11643" xr:uid="{391AD9BF-2BBF-4162-846F-B03A77C084AA}"/>
    <cellStyle name="Normal 9 2 2 3 2 6" xfId="2664" xr:uid="{00000000-0005-0000-0000-0000D01E0000}"/>
    <cellStyle name="Normal 9 2 2 3 2 6 2" xfId="6947" xr:uid="{00000000-0005-0000-0000-0000D11E0000}"/>
    <cellStyle name="Normal 9 2 2 3 2 6 2 2" xfId="16273" xr:uid="{570A1367-2305-4AF2-85E8-751D60F575B4}"/>
    <cellStyle name="Normal 9 2 2 3 2 6 3" xfId="12056" xr:uid="{DF1A22B4-C02F-486F-94D3-110B70CBFC23}"/>
    <cellStyle name="Normal 9 2 2 3 2 7" xfId="4882" xr:uid="{00000000-0005-0000-0000-0000D21E0000}"/>
    <cellStyle name="Normal 9 2 2 3 2 7 2" xfId="14208" xr:uid="{831099A6-49EA-47DF-AA00-093BBEA2F7C4}"/>
    <cellStyle name="Normal 9 2 2 3 2 8" xfId="9095" xr:uid="{D95088B7-D227-4E97-A9B9-DA61436DD386}"/>
    <cellStyle name="Normal 9 2 2 3 2 8 2" xfId="18419" xr:uid="{F8C9B48A-E09F-4B7D-9D59-737CD3D2684F}"/>
    <cellStyle name="Normal 9 2 2 3 2 9" xfId="9991" xr:uid="{FE9CCD69-06E8-4569-A47C-A938190753A0}"/>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16765" xr:uid="{EB86775E-BBE3-48C4-946D-8CD44C78C478}"/>
    <cellStyle name="Normal 9 2 2 3 3 2 3" xfId="12548" xr:uid="{6431C972-1A3F-4927-8E9D-D46793BAB783}"/>
    <cellStyle name="Normal 9 2 2 3 3 3" xfId="5294" xr:uid="{00000000-0005-0000-0000-0000D61E0000}"/>
    <cellStyle name="Normal 9 2 2 3 3 3 2" xfId="14620" xr:uid="{BA44B70D-E045-47F4-A727-6F9189CA5ED8}"/>
    <cellStyle name="Normal 9 2 2 3 3 4" xfId="9313" xr:uid="{FDDC600D-FDDD-4FFC-9820-DFD7E0768F33}"/>
    <cellStyle name="Normal 9 2 2 3 3 4 2" xfId="18628" xr:uid="{FE691868-DBC1-4715-94C2-5C82AA986C7B}"/>
    <cellStyle name="Normal 9 2 2 3 3 5" xfId="10403" xr:uid="{BC498732-1E1C-45AB-8BA9-7BEF3FF75211}"/>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17178" xr:uid="{0EBB7EC4-86A1-40E2-A70C-57D46EF3CC7F}"/>
    <cellStyle name="Normal 9 2 2 3 4 2 3" xfId="12961" xr:uid="{D157C8FA-C0BB-44E8-8ED9-6C258EE34938}"/>
    <cellStyle name="Normal 9 2 2 3 4 3" xfId="5707" xr:uid="{00000000-0005-0000-0000-0000DA1E0000}"/>
    <cellStyle name="Normal 9 2 2 3 4 3 2" xfId="15033" xr:uid="{BB119337-90E2-41F2-BD2D-8717D1A1D486}"/>
    <cellStyle name="Normal 9 2 2 3 4 4" xfId="10816" xr:uid="{D3A3F1EE-EF69-4983-B20F-42152548F18F}"/>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17591" xr:uid="{1B93B29C-BE0C-44E8-81B0-A302519E8699}"/>
    <cellStyle name="Normal 9 2 2 3 5 2 3" xfId="13374" xr:uid="{27887DDE-B011-4D05-BD2A-5C3DE43E9EB4}"/>
    <cellStyle name="Normal 9 2 2 3 5 3" xfId="6120" xr:uid="{00000000-0005-0000-0000-0000DE1E0000}"/>
    <cellStyle name="Normal 9 2 2 3 5 3 2" xfId="15446" xr:uid="{E8448490-9914-4ED3-A457-0AB4079A6076}"/>
    <cellStyle name="Normal 9 2 2 3 5 4" xfId="11229" xr:uid="{8C3469E3-8A28-4466-B426-7EEA19E2C0B7}"/>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18004" xr:uid="{6ECDC39C-B62D-4098-9038-EEB680994177}"/>
    <cellStyle name="Normal 9 2 2 3 6 2 3" xfId="13787" xr:uid="{880C1562-C3C2-4CB8-AA16-7B9E76DDFBFC}"/>
    <cellStyle name="Normal 9 2 2 3 6 3" xfId="6533" xr:uid="{00000000-0005-0000-0000-0000E21E0000}"/>
    <cellStyle name="Normal 9 2 2 3 6 3 2" xfId="15859" xr:uid="{6446FE87-0767-43C6-8E50-A048D77017B1}"/>
    <cellStyle name="Normal 9 2 2 3 6 4" xfId="11642" xr:uid="{6377354D-CC28-4E6D-881D-C8C0059D3265}"/>
    <cellStyle name="Normal 9 2 2 3 7" xfId="2663" xr:uid="{00000000-0005-0000-0000-0000E31E0000}"/>
    <cellStyle name="Normal 9 2 2 3 7 2" xfId="6946" xr:uid="{00000000-0005-0000-0000-0000E41E0000}"/>
    <cellStyle name="Normal 9 2 2 3 7 2 2" xfId="16272" xr:uid="{70AAE139-2A32-4128-A2FD-948F32EEC150}"/>
    <cellStyle name="Normal 9 2 2 3 7 3" xfId="12055" xr:uid="{06562D99-0E5B-4DB1-A029-3E44585ADB7A}"/>
    <cellStyle name="Normal 9 2 2 3 8" xfId="4881" xr:uid="{00000000-0005-0000-0000-0000E51E0000}"/>
    <cellStyle name="Normal 9 2 2 3 8 2" xfId="14207" xr:uid="{8C053C76-6862-4385-96BB-8FB4A03F4D41}"/>
    <cellStyle name="Normal 9 2 2 3 9" xfId="8888" xr:uid="{47457178-62A7-4ACA-95A1-433BF4FD3D65}"/>
    <cellStyle name="Normal 9 2 2 3 9 2" xfId="18212" xr:uid="{5F0AEF16-55F0-4E85-9133-3050F4FC3226}"/>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16767" xr:uid="{91211576-EE87-41D1-8023-8E75A24FDDC1}"/>
    <cellStyle name="Normal 9 2 2 4 2 2 3" xfId="12550" xr:uid="{CE8B668C-D19E-46AA-923D-AC94BE8BAB8D}"/>
    <cellStyle name="Normal 9 2 2 4 2 3" xfId="5296" xr:uid="{00000000-0005-0000-0000-0000EA1E0000}"/>
    <cellStyle name="Normal 9 2 2 4 2 3 2" xfId="14622" xr:uid="{5CC73F45-510E-40D2-950B-291624872A7F}"/>
    <cellStyle name="Normal 9 2 2 4 2 4" xfId="9417" xr:uid="{FDB8A679-B5B8-4E9B-808D-E68F6CA01958}"/>
    <cellStyle name="Normal 9 2 2 4 2 4 2" xfId="18732" xr:uid="{F6DF4BE8-EF8C-4981-98D0-EB77DFD9E276}"/>
    <cellStyle name="Normal 9 2 2 4 2 5" xfId="10405" xr:uid="{60DA4BB4-A4DE-4AB1-9BD5-02B64927BFAF}"/>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17180" xr:uid="{3633DC73-815B-4E78-B061-53C2AE887ACF}"/>
    <cellStyle name="Normal 9 2 2 4 3 2 3" xfId="12963" xr:uid="{1914E966-7085-41BE-B058-0F2C23C8AB0B}"/>
    <cellStyle name="Normal 9 2 2 4 3 3" xfId="5709" xr:uid="{00000000-0005-0000-0000-0000EE1E0000}"/>
    <cellStyle name="Normal 9 2 2 4 3 3 2" xfId="15035" xr:uid="{68653503-377D-4C8A-B024-FBBA62D04143}"/>
    <cellStyle name="Normal 9 2 2 4 3 4" xfId="10818" xr:uid="{335751A8-ACE4-4B1D-BA84-B11EB65F2E1B}"/>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17593" xr:uid="{B2F6BD23-ED1E-4CC8-8EE2-E5FCBDD07A08}"/>
    <cellStyle name="Normal 9 2 2 4 4 2 3" xfId="13376" xr:uid="{BE29C6BE-344C-4141-BEE0-691CE53869E9}"/>
    <cellStyle name="Normal 9 2 2 4 4 3" xfId="6122" xr:uid="{00000000-0005-0000-0000-0000F21E0000}"/>
    <cellStyle name="Normal 9 2 2 4 4 3 2" xfId="15448" xr:uid="{CE0AC1D8-C72F-4C2F-BD27-CF9F2CDA3D02}"/>
    <cellStyle name="Normal 9 2 2 4 4 4" xfId="11231" xr:uid="{179379FB-C666-4A64-9B13-19223A436EDB}"/>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18006" xr:uid="{E5125AEA-AB5C-48FE-B310-B0514BDE4DDE}"/>
    <cellStyle name="Normal 9 2 2 4 5 2 3" xfId="13789" xr:uid="{E1AE8BDC-7BCE-4A26-A3A9-ACBF38071CCA}"/>
    <cellStyle name="Normal 9 2 2 4 5 3" xfId="6535" xr:uid="{00000000-0005-0000-0000-0000F61E0000}"/>
    <cellStyle name="Normal 9 2 2 4 5 3 2" xfId="15861" xr:uid="{82441E0F-C993-48D1-A8C6-A1BEA34E09CE}"/>
    <cellStyle name="Normal 9 2 2 4 5 4" xfId="11644" xr:uid="{1F29BAC3-C7C3-4BE4-BF7F-E73F4B589D1E}"/>
    <cellStyle name="Normal 9 2 2 4 6" xfId="2665" xr:uid="{00000000-0005-0000-0000-0000F71E0000}"/>
    <cellStyle name="Normal 9 2 2 4 6 2" xfId="6948" xr:uid="{00000000-0005-0000-0000-0000F81E0000}"/>
    <cellStyle name="Normal 9 2 2 4 6 2 2" xfId="16274" xr:uid="{453B64DB-C493-401B-BB89-5CF992716F3C}"/>
    <cellStyle name="Normal 9 2 2 4 6 3" xfId="12057" xr:uid="{0C4E4186-C93D-431A-8944-255A6C77FB78}"/>
    <cellStyle name="Normal 9 2 2 4 7" xfId="4883" xr:uid="{00000000-0005-0000-0000-0000F91E0000}"/>
    <cellStyle name="Normal 9 2 2 4 7 2" xfId="14209" xr:uid="{B99109C7-F399-4847-B792-1CDAE7D17F72}"/>
    <cellStyle name="Normal 9 2 2 4 8" xfId="8992" xr:uid="{8AFFF8AD-8552-4B33-AAFF-7DACAE25085E}"/>
    <cellStyle name="Normal 9 2 2 4 8 2" xfId="18316" xr:uid="{1802A2CB-DC66-4E11-B913-1B8DA300A8FB}"/>
    <cellStyle name="Normal 9 2 2 4 9" xfId="9992" xr:uid="{2A0EBCC4-660C-4DE9-A8E6-7C2335623C19}"/>
    <cellStyle name="Normal 9 2 2 5" xfId="979" xr:uid="{00000000-0005-0000-0000-0000FA1E0000}"/>
    <cellStyle name="Normal 9 2 2 5 2" xfId="3212" xr:uid="{00000000-0005-0000-0000-0000FB1E0000}"/>
    <cellStyle name="Normal 9 2 2 5 2 2" xfId="7434" xr:uid="{00000000-0005-0000-0000-0000FC1E0000}"/>
    <cellStyle name="Normal 9 2 2 5 2 2 2" xfId="16760" xr:uid="{CEC30784-7E06-45FF-9102-38EF2ACD99E5}"/>
    <cellStyle name="Normal 9 2 2 5 2 3" xfId="12543" xr:uid="{62D6028C-FEBF-40F4-8C4C-46271F452041}"/>
    <cellStyle name="Normal 9 2 2 5 3" xfId="5289" xr:uid="{00000000-0005-0000-0000-0000FD1E0000}"/>
    <cellStyle name="Normal 9 2 2 5 3 2" xfId="14615" xr:uid="{E85CC079-D52F-4AA1-90F5-712ABBBA9D87}"/>
    <cellStyle name="Normal 9 2 2 5 4" xfId="9209" xr:uid="{66E66B93-842C-41D8-A807-A065C03CFEBD}"/>
    <cellStyle name="Normal 9 2 2 5 4 2" xfId="18525" xr:uid="{AA613E03-0BBF-4C89-A369-7AEFE834316B}"/>
    <cellStyle name="Normal 9 2 2 5 5" xfId="10398" xr:uid="{41173205-E93A-4DF1-B0C1-DF3C549DF46E}"/>
    <cellStyle name="Normal 9 2 2 6" xfId="1395" xr:uid="{00000000-0005-0000-0000-0000FE1E0000}"/>
    <cellStyle name="Normal 9 2 2 6 2" xfId="3625" xr:uid="{00000000-0005-0000-0000-0000FF1E0000}"/>
    <cellStyle name="Normal 9 2 2 6 2 2" xfId="7847" xr:uid="{00000000-0005-0000-0000-0000001F0000}"/>
    <cellStyle name="Normal 9 2 2 6 2 2 2" xfId="17173" xr:uid="{C358A9B7-E979-4A08-9911-BF1B471EB1A4}"/>
    <cellStyle name="Normal 9 2 2 6 2 3" xfId="12956" xr:uid="{A0DFBB28-8CC0-43DB-95A6-776F89FAE637}"/>
    <cellStyle name="Normal 9 2 2 6 3" xfId="5702" xr:uid="{00000000-0005-0000-0000-0000011F0000}"/>
    <cellStyle name="Normal 9 2 2 6 3 2" xfId="15028" xr:uid="{6773FBDE-3228-41B6-8CC4-3A871082DB9B}"/>
    <cellStyle name="Normal 9 2 2 6 4" xfId="10811" xr:uid="{2ADB748D-63BD-478E-A7C8-4A9121E23E2A}"/>
    <cellStyle name="Normal 9 2 2 7" xfId="1808" xr:uid="{00000000-0005-0000-0000-0000021F0000}"/>
    <cellStyle name="Normal 9 2 2 7 2" xfId="4038" xr:uid="{00000000-0005-0000-0000-0000031F0000}"/>
    <cellStyle name="Normal 9 2 2 7 2 2" xfId="8260" xr:uid="{00000000-0005-0000-0000-0000041F0000}"/>
    <cellStyle name="Normal 9 2 2 7 2 2 2" xfId="17586" xr:uid="{DCD6D4AA-A879-4B4A-ABDA-05146FDE179F}"/>
    <cellStyle name="Normal 9 2 2 7 2 3" xfId="13369" xr:uid="{764532FF-4CAD-4248-849A-3F70ABAF9EF0}"/>
    <cellStyle name="Normal 9 2 2 7 3" xfId="6115" xr:uid="{00000000-0005-0000-0000-0000051F0000}"/>
    <cellStyle name="Normal 9 2 2 7 3 2" xfId="15441" xr:uid="{B56C341B-7DFA-481A-A443-2AD6F936675C}"/>
    <cellStyle name="Normal 9 2 2 7 4" xfId="11224" xr:uid="{F5DAB07B-7108-4FE0-83C0-A91F5F39F568}"/>
    <cellStyle name="Normal 9 2 2 8" xfId="2222" xr:uid="{00000000-0005-0000-0000-0000061F0000}"/>
    <cellStyle name="Normal 9 2 2 8 2" xfId="4451" xr:uid="{00000000-0005-0000-0000-0000071F0000}"/>
    <cellStyle name="Normal 9 2 2 8 2 2" xfId="8673" xr:uid="{00000000-0005-0000-0000-0000081F0000}"/>
    <cellStyle name="Normal 9 2 2 8 2 2 2" xfId="17999" xr:uid="{C82CADB1-CF61-4E37-BBF5-24E02E7FBEAE}"/>
    <cellStyle name="Normal 9 2 2 8 2 3" xfId="13782" xr:uid="{B925E553-24D3-4417-A61F-DA34DB2CE085}"/>
    <cellStyle name="Normal 9 2 2 8 3" xfId="6528" xr:uid="{00000000-0005-0000-0000-0000091F0000}"/>
    <cellStyle name="Normal 9 2 2 8 3 2" xfId="15854" xr:uid="{149CC887-F8A2-4589-A00B-EDF1944F40BA}"/>
    <cellStyle name="Normal 9 2 2 8 4" xfId="11637" xr:uid="{83C36B49-76D8-4C7E-8E19-4B577FB78573}"/>
    <cellStyle name="Normal 9 2 2 9" xfId="2658" xr:uid="{00000000-0005-0000-0000-00000A1F0000}"/>
    <cellStyle name="Normal 9 2 2 9 2" xfId="6941" xr:uid="{00000000-0005-0000-0000-00000B1F0000}"/>
    <cellStyle name="Normal 9 2 2 9 2 2" xfId="16267" xr:uid="{EF060478-D045-4A96-9BFC-C85D850FBF36}"/>
    <cellStyle name="Normal 9 2 2 9 3" xfId="12050" xr:uid="{61249158-70A2-45CD-B6E6-44ABBD9316FC}"/>
    <cellStyle name="Normal 9 2 3" xfId="520" xr:uid="{00000000-0005-0000-0000-00000C1F0000}"/>
    <cellStyle name="Normal 9 2 3 10" xfId="8838" xr:uid="{3F59BADF-95CF-4831-9CE1-8ACBDD585DF1}"/>
    <cellStyle name="Normal 9 2 3 10 2" xfId="18162" xr:uid="{27FAA244-992F-4504-A413-16F2471D962E}"/>
    <cellStyle name="Normal 9 2 3 11" xfId="9993" xr:uid="{DFAB09AC-041C-4A6F-A727-A8445290DB7E}"/>
    <cellStyle name="Normal 9 2 3 2" xfId="521" xr:uid="{00000000-0005-0000-0000-00000D1F0000}"/>
    <cellStyle name="Normal 9 2 3 2 10" xfId="9994" xr:uid="{044723EC-FECA-43AA-8AEC-7B903FE04A37}"/>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16770" xr:uid="{E6173B8E-49AE-4BF9-8D19-A434355E378C}"/>
    <cellStyle name="Normal 9 2 3 2 2 2 2 3" xfId="12553" xr:uid="{0DEB1E32-5B25-4D7F-B00B-258C93590C46}"/>
    <cellStyle name="Normal 9 2 3 2 2 2 3" xfId="5299" xr:uid="{00000000-0005-0000-0000-0000121F0000}"/>
    <cellStyle name="Normal 9 2 3 2 2 2 3 2" xfId="14625" xr:uid="{F0DD17EB-901A-437E-9496-8EA2CA5F2F9A}"/>
    <cellStyle name="Normal 9 2 3 2 2 2 4" xfId="9573" xr:uid="{376F8566-2407-40B8-9531-D3E757BE7A23}"/>
    <cellStyle name="Normal 9 2 3 2 2 2 4 2" xfId="18888" xr:uid="{58976DB6-5523-4E1A-B229-EB08484ABE9D}"/>
    <cellStyle name="Normal 9 2 3 2 2 2 5" xfId="10408" xr:uid="{5324499A-5C51-420F-B79C-D41FA4AA22E2}"/>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17183" xr:uid="{C08AB53B-9BA4-42AC-AAA3-1C9C6B55696B}"/>
    <cellStyle name="Normal 9 2 3 2 2 3 2 3" xfId="12966" xr:uid="{44C246A5-FA80-4B44-B543-E79F3CBFF85A}"/>
    <cellStyle name="Normal 9 2 3 2 2 3 3" xfId="5712" xr:uid="{00000000-0005-0000-0000-0000161F0000}"/>
    <cellStyle name="Normal 9 2 3 2 2 3 3 2" xfId="15038" xr:uid="{7E158264-6B31-478D-8C3A-79F7760F98A5}"/>
    <cellStyle name="Normal 9 2 3 2 2 3 4" xfId="10821" xr:uid="{AF9594ED-4B4D-4230-AB8F-85EB280F7339}"/>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17596" xr:uid="{9B3EADB8-D825-4158-8C73-BC68FD914DD8}"/>
    <cellStyle name="Normal 9 2 3 2 2 4 2 3" xfId="13379" xr:uid="{D7C9AFF8-BABA-45CD-8214-6D881375B19E}"/>
    <cellStyle name="Normal 9 2 3 2 2 4 3" xfId="6125" xr:uid="{00000000-0005-0000-0000-00001A1F0000}"/>
    <cellStyle name="Normal 9 2 3 2 2 4 3 2" xfId="15451" xr:uid="{429FB1C7-73D2-42AA-82FB-890904D9130F}"/>
    <cellStyle name="Normal 9 2 3 2 2 4 4" xfId="11234" xr:uid="{CA1179DC-5E81-462A-8192-E1F46CBB1C25}"/>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18009" xr:uid="{4353B0E4-3D2C-4CB5-880B-F42F0E4461EF}"/>
    <cellStyle name="Normal 9 2 3 2 2 5 2 3" xfId="13792" xr:uid="{823EA591-8C0D-4369-A99B-CBFD6621DE7B}"/>
    <cellStyle name="Normal 9 2 3 2 2 5 3" xfId="6538" xr:uid="{00000000-0005-0000-0000-00001E1F0000}"/>
    <cellStyle name="Normal 9 2 3 2 2 5 3 2" xfId="15864" xr:uid="{3225C7A9-ADE9-4D58-95DE-E46C4410403E}"/>
    <cellStyle name="Normal 9 2 3 2 2 5 4" xfId="11647" xr:uid="{46506641-0AFB-4A0C-8B08-DB67F6822AAF}"/>
    <cellStyle name="Normal 9 2 3 2 2 6" xfId="2668" xr:uid="{00000000-0005-0000-0000-00001F1F0000}"/>
    <cellStyle name="Normal 9 2 3 2 2 6 2" xfId="6951" xr:uid="{00000000-0005-0000-0000-0000201F0000}"/>
    <cellStyle name="Normal 9 2 3 2 2 6 2 2" xfId="16277" xr:uid="{0C728060-F9F9-449E-B32F-189878C3F3C1}"/>
    <cellStyle name="Normal 9 2 3 2 2 6 3" xfId="12060" xr:uid="{1D315EA5-4715-4F74-984B-4E67AC7DDCA3}"/>
    <cellStyle name="Normal 9 2 3 2 2 7" xfId="4886" xr:uid="{00000000-0005-0000-0000-0000211F0000}"/>
    <cellStyle name="Normal 9 2 3 2 2 7 2" xfId="14212" xr:uid="{0E59BD70-FBEB-41FD-85FD-FED810261C95}"/>
    <cellStyle name="Normal 9 2 3 2 2 8" xfId="9148" xr:uid="{E1A2F3F0-C8EA-47FA-BB37-18F117041A87}"/>
    <cellStyle name="Normal 9 2 3 2 2 8 2" xfId="18472" xr:uid="{42E9A962-EEC9-4D5B-B702-D9A1F45AE3AC}"/>
    <cellStyle name="Normal 9 2 3 2 2 9" xfId="9995" xr:uid="{843F1422-089D-4F2E-B779-C9132A09FC6B}"/>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16769" xr:uid="{EAE58D3F-47AF-4C58-A07F-C6BE6067AE81}"/>
    <cellStyle name="Normal 9 2 3 2 3 2 3" xfId="12552" xr:uid="{EA47E9F8-146B-4181-B964-3B14A1B409B8}"/>
    <cellStyle name="Normal 9 2 3 2 3 3" xfId="5298" xr:uid="{00000000-0005-0000-0000-0000251F0000}"/>
    <cellStyle name="Normal 9 2 3 2 3 3 2" xfId="14624" xr:uid="{3E3C8508-A3DD-410F-B2A0-AEEEEC20519B}"/>
    <cellStyle name="Normal 9 2 3 2 3 4" xfId="9366" xr:uid="{136A6B94-9CAA-4F6C-B09D-7385900FCA38}"/>
    <cellStyle name="Normal 9 2 3 2 3 4 2" xfId="18681" xr:uid="{35BD5584-7C04-4BFA-877D-9462AB2E2F72}"/>
    <cellStyle name="Normal 9 2 3 2 3 5" xfId="10407" xr:uid="{CE1A5A3B-FAF2-4830-B64C-78A69E0EDC2F}"/>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17182" xr:uid="{8A43C8C0-D6A3-4826-AF35-D1FF1CF75873}"/>
    <cellStyle name="Normal 9 2 3 2 4 2 3" xfId="12965" xr:uid="{748FFE9A-30EF-4A97-A9BA-64A7AA87215C}"/>
    <cellStyle name="Normal 9 2 3 2 4 3" xfId="5711" xr:uid="{00000000-0005-0000-0000-0000291F0000}"/>
    <cellStyle name="Normal 9 2 3 2 4 3 2" xfId="15037" xr:uid="{8A9BABC7-9C48-4DAC-9C0C-4D334586D946}"/>
    <cellStyle name="Normal 9 2 3 2 4 4" xfId="10820" xr:uid="{9160285F-2C01-4144-95F1-53854E5F5A9F}"/>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17595" xr:uid="{A61CE205-95E2-45BC-928A-14FEDFD0E04D}"/>
    <cellStyle name="Normal 9 2 3 2 5 2 3" xfId="13378" xr:uid="{7E2BA232-191D-470C-ADD1-16ACA92DE5BA}"/>
    <cellStyle name="Normal 9 2 3 2 5 3" xfId="6124" xr:uid="{00000000-0005-0000-0000-00002D1F0000}"/>
    <cellStyle name="Normal 9 2 3 2 5 3 2" xfId="15450" xr:uid="{3DA302B9-FAE8-4948-98F0-04A734D9383A}"/>
    <cellStyle name="Normal 9 2 3 2 5 4" xfId="11233" xr:uid="{E0485BB9-5BA1-4370-A203-F1D02FC2A639}"/>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18008" xr:uid="{F14FAF0B-51FF-445A-9B96-510CCA2357FC}"/>
    <cellStyle name="Normal 9 2 3 2 6 2 3" xfId="13791" xr:uid="{41BD76F6-E121-44D6-8E08-90514A4D276B}"/>
    <cellStyle name="Normal 9 2 3 2 6 3" xfId="6537" xr:uid="{00000000-0005-0000-0000-0000311F0000}"/>
    <cellStyle name="Normal 9 2 3 2 6 3 2" xfId="15863" xr:uid="{7E9C36F8-45C0-487E-B74C-F15C36F514A0}"/>
    <cellStyle name="Normal 9 2 3 2 6 4" xfId="11646" xr:uid="{261A5184-6C16-4BA7-9DDF-96420D33C2E0}"/>
    <cellStyle name="Normal 9 2 3 2 7" xfId="2667" xr:uid="{00000000-0005-0000-0000-0000321F0000}"/>
    <cellStyle name="Normal 9 2 3 2 7 2" xfId="6950" xr:uid="{00000000-0005-0000-0000-0000331F0000}"/>
    <cellStyle name="Normal 9 2 3 2 7 2 2" xfId="16276" xr:uid="{D3D65091-BF26-454C-B4F6-D1475AC96383}"/>
    <cellStyle name="Normal 9 2 3 2 7 3" xfId="12059" xr:uid="{CF454D2F-69AE-4FAA-BCEC-118E47C4F151}"/>
    <cellStyle name="Normal 9 2 3 2 8" xfId="4885" xr:uid="{00000000-0005-0000-0000-0000341F0000}"/>
    <cellStyle name="Normal 9 2 3 2 8 2" xfId="14211" xr:uid="{F7161AB3-84BF-457D-A747-8E4D87AAB346}"/>
    <cellStyle name="Normal 9 2 3 2 9" xfId="8941" xr:uid="{DDA1E375-E708-45D0-9119-207D493A75BA}"/>
    <cellStyle name="Normal 9 2 3 2 9 2" xfId="18265" xr:uid="{92528D05-C9DA-41BC-87EB-9EA3E3DD44AF}"/>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16771" xr:uid="{A6383E5F-317C-4527-899C-39D520747850}"/>
    <cellStyle name="Normal 9 2 3 3 2 2 3" xfId="12554" xr:uid="{888F6870-EE76-43AB-A2B5-5358B36A2B0E}"/>
    <cellStyle name="Normal 9 2 3 3 2 3" xfId="5300" xr:uid="{00000000-0005-0000-0000-0000391F0000}"/>
    <cellStyle name="Normal 9 2 3 3 2 3 2" xfId="14626" xr:uid="{45187AD5-57C5-4104-8CAD-924882C400EE}"/>
    <cellStyle name="Normal 9 2 3 3 2 4" xfId="9470" xr:uid="{B46EA5E7-4A9D-405A-94B0-2C155F0DE1F1}"/>
    <cellStyle name="Normal 9 2 3 3 2 4 2" xfId="18785" xr:uid="{BE44CA5A-0CC8-4609-B502-D33F9ACF5F8E}"/>
    <cellStyle name="Normal 9 2 3 3 2 5" xfId="10409" xr:uid="{BAD99475-57AB-40E0-AA5D-3721444BBCAD}"/>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17184" xr:uid="{8D05312F-D2CB-4DB6-BDCE-3CF4374042D8}"/>
    <cellStyle name="Normal 9 2 3 3 3 2 3" xfId="12967" xr:uid="{FDA22478-ED5A-43D4-86F2-575CEFE354A4}"/>
    <cellStyle name="Normal 9 2 3 3 3 3" xfId="5713" xr:uid="{00000000-0005-0000-0000-00003D1F0000}"/>
    <cellStyle name="Normal 9 2 3 3 3 3 2" xfId="15039" xr:uid="{65A97A8C-670A-4554-A504-C5F18997CED3}"/>
    <cellStyle name="Normal 9 2 3 3 3 4" xfId="10822" xr:uid="{9CCD7D08-7B26-4BF7-A06C-51887F18B2D2}"/>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17597" xr:uid="{91A29FD0-4CA4-4262-92CA-C1C2785705A2}"/>
    <cellStyle name="Normal 9 2 3 3 4 2 3" xfId="13380" xr:uid="{CF5C7CA4-C429-4DBD-9FF5-E923EF08D8E0}"/>
    <cellStyle name="Normal 9 2 3 3 4 3" xfId="6126" xr:uid="{00000000-0005-0000-0000-0000411F0000}"/>
    <cellStyle name="Normal 9 2 3 3 4 3 2" xfId="15452" xr:uid="{C3CDD85A-B155-4165-97FB-9E8940BC991D}"/>
    <cellStyle name="Normal 9 2 3 3 4 4" xfId="11235" xr:uid="{C036FAA4-FBD5-4042-9E28-8A29AA470C39}"/>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18010" xr:uid="{3567809D-F0E1-48E1-9CFC-C72DC6DAD493}"/>
    <cellStyle name="Normal 9 2 3 3 5 2 3" xfId="13793" xr:uid="{27BEFFBE-7AD5-4B45-A96E-5FB0489C3655}"/>
    <cellStyle name="Normal 9 2 3 3 5 3" xfId="6539" xr:uid="{00000000-0005-0000-0000-0000451F0000}"/>
    <cellStyle name="Normal 9 2 3 3 5 3 2" xfId="15865" xr:uid="{2CA12A5D-6B4B-4A1E-B9D2-C43FEA748885}"/>
    <cellStyle name="Normal 9 2 3 3 5 4" xfId="11648" xr:uid="{4194CCBD-3217-41D7-9597-CA4234222D99}"/>
    <cellStyle name="Normal 9 2 3 3 6" xfId="2669" xr:uid="{00000000-0005-0000-0000-0000461F0000}"/>
    <cellStyle name="Normal 9 2 3 3 6 2" xfId="6952" xr:uid="{00000000-0005-0000-0000-0000471F0000}"/>
    <cellStyle name="Normal 9 2 3 3 6 2 2" xfId="16278" xr:uid="{04264D23-BAE3-49EA-93DD-7DF3FD5DE6BD}"/>
    <cellStyle name="Normal 9 2 3 3 6 3" xfId="12061" xr:uid="{61E95399-D69B-4530-8422-04815A779089}"/>
    <cellStyle name="Normal 9 2 3 3 7" xfId="4887" xr:uid="{00000000-0005-0000-0000-0000481F0000}"/>
    <cellStyle name="Normal 9 2 3 3 7 2" xfId="14213" xr:uid="{13EF828D-634A-45E1-9829-889DC8669772}"/>
    <cellStyle name="Normal 9 2 3 3 8" xfId="9045" xr:uid="{CD23D75F-FCE1-471A-A55A-DAC6FB15D069}"/>
    <cellStyle name="Normal 9 2 3 3 8 2" xfId="18369" xr:uid="{70E53850-7D7A-4A8B-9744-95225EF00D52}"/>
    <cellStyle name="Normal 9 2 3 3 9" xfId="9996" xr:uid="{02C8BEAB-C16B-481B-81BF-820C1A778381}"/>
    <cellStyle name="Normal 9 2 3 4" xfId="987" xr:uid="{00000000-0005-0000-0000-0000491F0000}"/>
    <cellStyle name="Normal 9 2 3 4 2" xfId="3220" xr:uid="{00000000-0005-0000-0000-00004A1F0000}"/>
    <cellStyle name="Normal 9 2 3 4 2 2" xfId="7442" xr:uid="{00000000-0005-0000-0000-00004B1F0000}"/>
    <cellStyle name="Normal 9 2 3 4 2 2 2" xfId="16768" xr:uid="{58EB14A6-ACE7-41AA-AA42-59EEFAF8D829}"/>
    <cellStyle name="Normal 9 2 3 4 2 3" xfId="12551" xr:uid="{E3DCC884-7D25-46E2-B017-998DB5E74A91}"/>
    <cellStyle name="Normal 9 2 3 4 3" xfId="5297" xr:uid="{00000000-0005-0000-0000-00004C1F0000}"/>
    <cellStyle name="Normal 9 2 3 4 3 2" xfId="14623" xr:uid="{578AEFDA-8951-4C36-A8D2-419DB8CA2DE3}"/>
    <cellStyle name="Normal 9 2 3 4 4" xfId="9263" xr:uid="{8E7B719A-F76B-4A2B-A5A7-1A883FD6976F}"/>
    <cellStyle name="Normal 9 2 3 4 4 2" xfId="18578" xr:uid="{2201C7FB-BDBC-4567-8565-F16EC1EFB6BB}"/>
    <cellStyle name="Normal 9 2 3 4 5" xfId="10406" xr:uid="{C340292D-77CC-4055-928C-171A0ED14C9E}"/>
    <cellStyle name="Normal 9 2 3 5" xfId="1403" xr:uid="{00000000-0005-0000-0000-00004D1F0000}"/>
    <cellStyle name="Normal 9 2 3 5 2" xfId="3633" xr:uid="{00000000-0005-0000-0000-00004E1F0000}"/>
    <cellStyle name="Normal 9 2 3 5 2 2" xfId="7855" xr:uid="{00000000-0005-0000-0000-00004F1F0000}"/>
    <cellStyle name="Normal 9 2 3 5 2 2 2" xfId="17181" xr:uid="{EB1979FF-CE67-4280-93BB-CDD9F92AD5CD}"/>
    <cellStyle name="Normal 9 2 3 5 2 3" xfId="12964" xr:uid="{852F5453-B763-462B-B165-DE3E83F59AC2}"/>
    <cellStyle name="Normal 9 2 3 5 3" xfId="5710" xr:uid="{00000000-0005-0000-0000-0000501F0000}"/>
    <cellStyle name="Normal 9 2 3 5 3 2" xfId="15036" xr:uid="{894607A7-86EA-4707-B2B3-3F17DE5B391B}"/>
    <cellStyle name="Normal 9 2 3 5 4" xfId="10819" xr:uid="{90ED81D8-4F45-48B1-A1E7-905C1F9E3D87}"/>
    <cellStyle name="Normal 9 2 3 6" xfId="1816" xr:uid="{00000000-0005-0000-0000-0000511F0000}"/>
    <cellStyle name="Normal 9 2 3 6 2" xfId="4046" xr:uid="{00000000-0005-0000-0000-0000521F0000}"/>
    <cellStyle name="Normal 9 2 3 6 2 2" xfId="8268" xr:uid="{00000000-0005-0000-0000-0000531F0000}"/>
    <cellStyle name="Normal 9 2 3 6 2 2 2" xfId="17594" xr:uid="{E8E31224-4708-41DE-BFA3-707B23205DCB}"/>
    <cellStyle name="Normal 9 2 3 6 2 3" xfId="13377" xr:uid="{9A13886E-E0C5-4C0E-AD19-C260153FAA4D}"/>
    <cellStyle name="Normal 9 2 3 6 3" xfId="6123" xr:uid="{00000000-0005-0000-0000-0000541F0000}"/>
    <cellStyle name="Normal 9 2 3 6 3 2" xfId="15449" xr:uid="{A36FDDE3-1A8B-49E8-9763-50F4708AF5BB}"/>
    <cellStyle name="Normal 9 2 3 6 4" xfId="11232" xr:uid="{C1D435FC-C57C-42E6-A28B-D9B64DAAAA6A}"/>
    <cellStyle name="Normal 9 2 3 7" xfId="2230" xr:uid="{00000000-0005-0000-0000-0000551F0000}"/>
    <cellStyle name="Normal 9 2 3 7 2" xfId="4459" xr:uid="{00000000-0005-0000-0000-0000561F0000}"/>
    <cellStyle name="Normal 9 2 3 7 2 2" xfId="8681" xr:uid="{00000000-0005-0000-0000-0000571F0000}"/>
    <cellStyle name="Normal 9 2 3 7 2 2 2" xfId="18007" xr:uid="{7923C211-78B7-4A17-8A42-234487207291}"/>
    <cellStyle name="Normal 9 2 3 7 2 3" xfId="13790" xr:uid="{9BC9BB58-1AA7-424E-A8EF-4382BF1D1E28}"/>
    <cellStyle name="Normal 9 2 3 7 3" xfId="6536" xr:uid="{00000000-0005-0000-0000-0000581F0000}"/>
    <cellStyle name="Normal 9 2 3 7 3 2" xfId="15862" xr:uid="{C82DD8DC-0ABC-46A7-B932-B7314BFA0565}"/>
    <cellStyle name="Normal 9 2 3 7 4" xfId="11645" xr:uid="{FD67A91B-3102-4D12-A709-4F0285B51C09}"/>
    <cellStyle name="Normal 9 2 3 8" xfId="2666" xr:uid="{00000000-0005-0000-0000-0000591F0000}"/>
    <cellStyle name="Normal 9 2 3 8 2" xfId="6949" xr:uid="{00000000-0005-0000-0000-00005A1F0000}"/>
    <cellStyle name="Normal 9 2 3 8 2 2" xfId="16275" xr:uid="{7466F719-A2BE-488A-8F6A-E631B812BB49}"/>
    <cellStyle name="Normal 9 2 3 8 3" xfId="12058" xr:uid="{AEC8CDE5-9280-41C5-8EDA-F2FD4DC0E3AD}"/>
    <cellStyle name="Normal 9 2 3 9" xfId="4884" xr:uid="{00000000-0005-0000-0000-00005B1F0000}"/>
    <cellStyle name="Normal 9 2 3 9 2" xfId="14210" xr:uid="{F405587E-324D-4C22-B56C-57CBA7AA3A5E}"/>
    <cellStyle name="Normal 9 2 4" xfId="524" xr:uid="{00000000-0005-0000-0000-00005C1F0000}"/>
    <cellStyle name="Normal 9 2 4 10" xfId="9997" xr:uid="{03912E41-16DF-4FE2-A122-5A525D121F7A}"/>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16773" xr:uid="{5755BCA0-32E6-41AF-8C42-9F77A236EEE3}"/>
    <cellStyle name="Normal 9 2 4 2 2 2 3" xfId="12556" xr:uid="{57F4E87A-E686-40B5-9D49-E70B8ED3CB37}"/>
    <cellStyle name="Normal 9 2 4 2 2 3" xfId="5302" xr:uid="{00000000-0005-0000-0000-0000611F0000}"/>
    <cellStyle name="Normal 9 2 4 2 2 3 2" xfId="14628" xr:uid="{0BEA5EA1-5A72-4A64-B03E-8BE5950350B5}"/>
    <cellStyle name="Normal 9 2 4 2 2 4" xfId="9489" xr:uid="{4BA9DC16-58A7-4D6B-90A6-6BB0C51A0279}"/>
    <cellStyle name="Normal 9 2 4 2 2 4 2" xfId="18804" xr:uid="{94FD1C19-0AE2-4A4F-8E97-863877DCF032}"/>
    <cellStyle name="Normal 9 2 4 2 2 5" xfId="10411" xr:uid="{78E416BF-D88D-49D5-8A17-15B449E275DE}"/>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17186" xr:uid="{342E9D9D-8A82-4256-ABCF-078F189D2FC3}"/>
    <cellStyle name="Normal 9 2 4 2 3 2 3" xfId="12969" xr:uid="{C0E2AC71-693D-4CFB-AB5C-D4DE70FBB89F}"/>
    <cellStyle name="Normal 9 2 4 2 3 3" xfId="5715" xr:uid="{00000000-0005-0000-0000-0000651F0000}"/>
    <cellStyle name="Normal 9 2 4 2 3 3 2" xfId="15041" xr:uid="{2D47C5F0-6BAE-4D6E-8969-DD5DA1FE65BF}"/>
    <cellStyle name="Normal 9 2 4 2 3 4" xfId="10824" xr:uid="{193C6DC7-1A2D-40D8-9B33-3E5E9CAAA648}"/>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17599" xr:uid="{7060DD4C-6ED9-42FA-B09F-77EDB441F0AC}"/>
    <cellStyle name="Normal 9 2 4 2 4 2 3" xfId="13382" xr:uid="{8F59709D-4FE9-4824-8C0E-C5081AF74945}"/>
    <cellStyle name="Normal 9 2 4 2 4 3" xfId="6128" xr:uid="{00000000-0005-0000-0000-0000691F0000}"/>
    <cellStyle name="Normal 9 2 4 2 4 3 2" xfId="15454" xr:uid="{145CEA16-1B7F-4C46-9262-AAD9B4A473DD}"/>
    <cellStyle name="Normal 9 2 4 2 4 4" xfId="11237" xr:uid="{0894C883-5DB7-43E2-B261-2B0B3A40D066}"/>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18012" xr:uid="{AEA4AF5E-EDC2-4DC6-B235-D4772D13E2D5}"/>
    <cellStyle name="Normal 9 2 4 2 5 2 3" xfId="13795" xr:uid="{37D5ED3E-8483-4173-A631-779A03749FFF}"/>
    <cellStyle name="Normal 9 2 4 2 5 3" xfId="6541" xr:uid="{00000000-0005-0000-0000-00006D1F0000}"/>
    <cellStyle name="Normal 9 2 4 2 5 3 2" xfId="15867" xr:uid="{994A458C-FD12-4F2C-A2DB-E964E53057F8}"/>
    <cellStyle name="Normal 9 2 4 2 5 4" xfId="11650" xr:uid="{AECE403C-DB80-43D3-A956-9CD9DCA65157}"/>
    <cellStyle name="Normal 9 2 4 2 6" xfId="2671" xr:uid="{00000000-0005-0000-0000-00006E1F0000}"/>
    <cellStyle name="Normal 9 2 4 2 6 2" xfId="6954" xr:uid="{00000000-0005-0000-0000-00006F1F0000}"/>
    <cellStyle name="Normal 9 2 4 2 6 2 2" xfId="16280" xr:uid="{56AFDBE8-A4B2-4DCE-A568-980C678D6B19}"/>
    <cellStyle name="Normal 9 2 4 2 6 3" xfId="12063" xr:uid="{EB772381-0E01-47D0-9ABC-5B742F79AD00}"/>
    <cellStyle name="Normal 9 2 4 2 7" xfId="4889" xr:uid="{00000000-0005-0000-0000-0000701F0000}"/>
    <cellStyle name="Normal 9 2 4 2 7 2" xfId="14215" xr:uid="{5D679125-63A3-47E9-B41D-F1B34D5017B3}"/>
    <cellStyle name="Normal 9 2 4 2 8" xfId="9064" xr:uid="{7D4090C3-C767-4FFF-8A1F-282B2C8BAE68}"/>
    <cellStyle name="Normal 9 2 4 2 8 2" xfId="18388" xr:uid="{36D7C156-471F-421D-A60B-8BFA56FD10F7}"/>
    <cellStyle name="Normal 9 2 4 2 9" xfId="9998" xr:uid="{C33B209C-72C0-440A-98C8-AC1D85BBD001}"/>
    <cellStyle name="Normal 9 2 4 3" xfId="991" xr:uid="{00000000-0005-0000-0000-0000711F0000}"/>
    <cellStyle name="Normal 9 2 4 3 2" xfId="3224" xr:uid="{00000000-0005-0000-0000-0000721F0000}"/>
    <cellStyle name="Normal 9 2 4 3 2 2" xfId="7446" xr:uid="{00000000-0005-0000-0000-0000731F0000}"/>
    <cellStyle name="Normal 9 2 4 3 2 2 2" xfId="16772" xr:uid="{69193F52-0728-440A-861A-280955779A2E}"/>
    <cellStyle name="Normal 9 2 4 3 2 3" xfId="12555" xr:uid="{8B5CA5A5-DA9E-4FB8-948B-C972D8DB0949}"/>
    <cellStyle name="Normal 9 2 4 3 3" xfId="5301" xr:uid="{00000000-0005-0000-0000-0000741F0000}"/>
    <cellStyle name="Normal 9 2 4 3 3 2" xfId="14627" xr:uid="{C6A1DA4E-B965-4DCE-B551-0F0C9B5C87A9}"/>
    <cellStyle name="Normal 9 2 4 3 4" xfId="9282" xr:uid="{2471E5AC-3D06-4E90-9462-C54FACA9B22B}"/>
    <cellStyle name="Normal 9 2 4 3 4 2" xfId="18597" xr:uid="{70EF4FF9-7A4C-4379-A1BE-05B1A740CF53}"/>
    <cellStyle name="Normal 9 2 4 3 5" xfId="10410" xr:uid="{40CDFAF9-EAD0-4160-994E-77AD8094F1F1}"/>
    <cellStyle name="Normal 9 2 4 4" xfId="1407" xr:uid="{00000000-0005-0000-0000-0000751F0000}"/>
    <cellStyle name="Normal 9 2 4 4 2" xfId="3637" xr:uid="{00000000-0005-0000-0000-0000761F0000}"/>
    <cellStyle name="Normal 9 2 4 4 2 2" xfId="7859" xr:uid="{00000000-0005-0000-0000-0000771F0000}"/>
    <cellStyle name="Normal 9 2 4 4 2 2 2" xfId="17185" xr:uid="{DBD2BB95-F730-4508-B239-68ED34A20A45}"/>
    <cellStyle name="Normal 9 2 4 4 2 3" xfId="12968" xr:uid="{99382F5E-F007-4360-8169-B1B9A3AF85BC}"/>
    <cellStyle name="Normal 9 2 4 4 3" xfId="5714" xr:uid="{00000000-0005-0000-0000-0000781F0000}"/>
    <cellStyle name="Normal 9 2 4 4 3 2" xfId="15040" xr:uid="{EFE4EB99-6A08-4244-AE97-F2F249E44CD5}"/>
    <cellStyle name="Normal 9 2 4 4 4" xfId="10823" xr:uid="{19E1829D-B544-47E2-AC8A-B8A71B2836D2}"/>
    <cellStyle name="Normal 9 2 4 5" xfId="1820" xr:uid="{00000000-0005-0000-0000-0000791F0000}"/>
    <cellStyle name="Normal 9 2 4 5 2" xfId="4050" xr:uid="{00000000-0005-0000-0000-00007A1F0000}"/>
    <cellStyle name="Normal 9 2 4 5 2 2" xfId="8272" xr:uid="{00000000-0005-0000-0000-00007B1F0000}"/>
    <cellStyle name="Normal 9 2 4 5 2 2 2" xfId="17598" xr:uid="{DBD4F475-D576-4828-88FD-926A8B65B601}"/>
    <cellStyle name="Normal 9 2 4 5 2 3" xfId="13381" xr:uid="{E5F3E4B2-75DD-4B5E-9590-22BD20D37BFE}"/>
    <cellStyle name="Normal 9 2 4 5 3" xfId="6127" xr:uid="{00000000-0005-0000-0000-00007C1F0000}"/>
    <cellStyle name="Normal 9 2 4 5 3 2" xfId="15453" xr:uid="{A16BCD42-5941-49C6-A8D1-EBD7F9FA8CE6}"/>
    <cellStyle name="Normal 9 2 4 5 4" xfId="11236" xr:uid="{AA1B0075-DE0D-4731-84EC-AFF5EF7911DD}"/>
    <cellStyle name="Normal 9 2 4 6" xfId="2234" xr:uid="{00000000-0005-0000-0000-00007D1F0000}"/>
    <cellStyle name="Normal 9 2 4 6 2" xfId="4463" xr:uid="{00000000-0005-0000-0000-00007E1F0000}"/>
    <cellStyle name="Normal 9 2 4 6 2 2" xfId="8685" xr:uid="{00000000-0005-0000-0000-00007F1F0000}"/>
    <cellStyle name="Normal 9 2 4 6 2 2 2" xfId="18011" xr:uid="{31A0F064-A70A-4E77-A8D3-3E8FC0CA3097}"/>
    <cellStyle name="Normal 9 2 4 6 2 3" xfId="13794" xr:uid="{9FAFFC91-B234-4C39-AD97-C9C82A5B94B6}"/>
    <cellStyle name="Normal 9 2 4 6 3" xfId="6540" xr:uid="{00000000-0005-0000-0000-0000801F0000}"/>
    <cellStyle name="Normal 9 2 4 6 3 2" xfId="15866" xr:uid="{70B261EE-7DDC-4D87-8928-E1A76F9E78BB}"/>
    <cellStyle name="Normal 9 2 4 6 4" xfId="11649" xr:uid="{C7AF2115-D9CC-466B-A328-09C954291E3A}"/>
    <cellStyle name="Normal 9 2 4 7" xfId="2670" xr:uid="{00000000-0005-0000-0000-0000811F0000}"/>
    <cellStyle name="Normal 9 2 4 7 2" xfId="6953" xr:uid="{00000000-0005-0000-0000-0000821F0000}"/>
    <cellStyle name="Normal 9 2 4 7 2 2" xfId="16279" xr:uid="{8FD6CC98-5DBC-4A2B-A609-EA927A1821EC}"/>
    <cellStyle name="Normal 9 2 4 7 3" xfId="12062" xr:uid="{C5091F82-2A9E-4921-BB8A-EF5D2A97EA10}"/>
    <cellStyle name="Normal 9 2 4 8" xfId="4888" xr:uid="{00000000-0005-0000-0000-0000831F0000}"/>
    <cellStyle name="Normal 9 2 4 8 2" xfId="14214" xr:uid="{2BCAB12D-CCAF-42C4-B766-9571512F494D}"/>
    <cellStyle name="Normal 9 2 4 9" xfId="8857" xr:uid="{D785C0E6-B403-4CCC-AB0B-78E822EF1E40}"/>
    <cellStyle name="Normal 9 2 4 9 2" xfId="18181" xr:uid="{B9BDFCA2-833A-4781-84F0-BEC62991091B}"/>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2 2 2" xfId="16774" xr:uid="{04FF8CFF-3C71-4F68-BB79-CFF15543040A}"/>
    <cellStyle name="Normal 9 2 5 2 2 3" xfId="12557" xr:uid="{14CB9223-8B64-4978-A65A-66D38741E1C8}"/>
    <cellStyle name="Normal 9 2 5 2 3" xfId="5303" xr:uid="{00000000-0005-0000-0000-0000881F0000}"/>
    <cellStyle name="Normal 9 2 5 2 3 2" xfId="14629" xr:uid="{877802B7-366C-43CF-8665-F1362F2E2563}"/>
    <cellStyle name="Normal 9 2 5 2 4" xfId="9398" xr:uid="{5B2A416E-986C-4898-8893-9EAFDDDBCDD4}"/>
    <cellStyle name="Normal 9 2 5 2 4 2" xfId="18713" xr:uid="{F4094B05-FAA1-4FEF-8C41-70B6CCFA07A4}"/>
    <cellStyle name="Normal 9 2 5 2 5" xfId="10412" xr:uid="{0C8E3FA8-1AD3-41C5-A9B8-1DCEBC563E02}"/>
    <cellStyle name="Normal 9 2 5 3" xfId="1409" xr:uid="{00000000-0005-0000-0000-0000891F0000}"/>
    <cellStyle name="Normal 9 2 5 3 2" xfId="3639" xr:uid="{00000000-0005-0000-0000-00008A1F0000}"/>
    <cellStyle name="Normal 9 2 5 3 2 2" xfId="7861" xr:uid="{00000000-0005-0000-0000-00008B1F0000}"/>
    <cellStyle name="Normal 9 2 5 3 2 2 2" xfId="17187" xr:uid="{601BF7AA-F93F-4DE9-B92D-ED974B0C4B9D}"/>
    <cellStyle name="Normal 9 2 5 3 2 3" xfId="12970" xr:uid="{A0CDCA48-8304-46CF-AEE9-601063253D05}"/>
    <cellStyle name="Normal 9 2 5 3 3" xfId="5716" xr:uid="{00000000-0005-0000-0000-00008C1F0000}"/>
    <cellStyle name="Normal 9 2 5 3 3 2" xfId="15042" xr:uid="{26BFE3B5-9D15-4290-84A1-2261F89F15CF}"/>
    <cellStyle name="Normal 9 2 5 3 4" xfId="10825" xr:uid="{F23A93FC-F819-468B-94FD-668BEBB1855A}"/>
    <cellStyle name="Normal 9 2 5 4" xfId="1822" xr:uid="{00000000-0005-0000-0000-00008D1F0000}"/>
    <cellStyle name="Normal 9 2 5 4 2" xfId="4052" xr:uid="{00000000-0005-0000-0000-00008E1F0000}"/>
    <cellStyle name="Normal 9 2 5 4 2 2" xfId="8274" xr:uid="{00000000-0005-0000-0000-00008F1F0000}"/>
    <cellStyle name="Normal 9 2 5 4 2 2 2" xfId="17600" xr:uid="{E34AB3B1-B145-4D13-870C-12D737C561A1}"/>
    <cellStyle name="Normal 9 2 5 4 2 3" xfId="13383" xr:uid="{FF67AB7B-3A74-4947-9138-B370D8EC5381}"/>
    <cellStyle name="Normal 9 2 5 4 3" xfId="6129" xr:uid="{00000000-0005-0000-0000-0000901F0000}"/>
    <cellStyle name="Normal 9 2 5 4 3 2" xfId="15455" xr:uid="{3DDF8E7B-F519-4B7C-B46A-F7B868C8A859}"/>
    <cellStyle name="Normal 9 2 5 4 4" xfId="11238" xr:uid="{6C92B7B4-8A1A-4DC0-96C7-3F2E0CB6D9B8}"/>
    <cellStyle name="Normal 9 2 5 5" xfId="2236" xr:uid="{00000000-0005-0000-0000-0000911F0000}"/>
    <cellStyle name="Normal 9 2 5 5 2" xfId="4465" xr:uid="{00000000-0005-0000-0000-0000921F0000}"/>
    <cellStyle name="Normal 9 2 5 5 2 2" xfId="8687" xr:uid="{00000000-0005-0000-0000-0000931F0000}"/>
    <cellStyle name="Normal 9 2 5 5 2 2 2" xfId="18013" xr:uid="{0AE10CBB-62F9-414C-A58D-7A9EE6C4C419}"/>
    <cellStyle name="Normal 9 2 5 5 2 3" xfId="13796" xr:uid="{FF9E63BE-DAC0-4F6C-8339-9D1488C0FE70}"/>
    <cellStyle name="Normal 9 2 5 5 3" xfId="6542" xr:uid="{00000000-0005-0000-0000-0000941F0000}"/>
    <cellStyle name="Normal 9 2 5 5 3 2" xfId="15868" xr:uid="{44A94D5E-587E-41ED-92EA-8EB6383DF072}"/>
    <cellStyle name="Normal 9 2 5 5 4" xfId="11651" xr:uid="{CEEB0B87-002A-4520-9280-1723D9E28FE3}"/>
    <cellStyle name="Normal 9 2 5 6" xfId="2672" xr:uid="{00000000-0005-0000-0000-0000951F0000}"/>
    <cellStyle name="Normal 9 2 5 6 2" xfId="6955" xr:uid="{00000000-0005-0000-0000-0000961F0000}"/>
    <cellStyle name="Normal 9 2 5 6 2 2" xfId="16281" xr:uid="{34504D9D-253C-4371-87CA-017330888C98}"/>
    <cellStyle name="Normal 9 2 5 6 3" xfId="12064" xr:uid="{EB23B9A6-C353-4520-90B8-5327A6B47A26}"/>
    <cellStyle name="Normal 9 2 5 7" xfId="4890" xr:uid="{00000000-0005-0000-0000-0000971F0000}"/>
    <cellStyle name="Normal 9 2 5 7 2" xfId="14216" xr:uid="{42538786-3249-47C0-B31C-CF26B0C20CC6}"/>
    <cellStyle name="Normal 9 2 5 8" xfId="8973" xr:uid="{BA9464C2-72F7-4B38-B1BD-6986FFA433D9}"/>
    <cellStyle name="Normal 9 2 5 8 2" xfId="18297" xr:uid="{34D8F115-8541-4D4D-A867-5D0CD73EB41B}"/>
    <cellStyle name="Normal 9 2 5 9" xfId="9999" xr:uid="{D500E32C-1406-4E6E-875D-1A15A1237108}"/>
    <cellStyle name="Normal 9 2 6" xfId="978" xr:uid="{00000000-0005-0000-0000-0000981F0000}"/>
    <cellStyle name="Normal 9 2 6 2" xfId="3211" xr:uid="{00000000-0005-0000-0000-0000991F0000}"/>
    <cellStyle name="Normal 9 2 6 2 2" xfId="7433" xr:uid="{00000000-0005-0000-0000-00009A1F0000}"/>
    <cellStyle name="Normal 9 2 6 2 2 2" xfId="16759" xr:uid="{179D52A4-DC24-4119-8945-1B6B3160A1A0}"/>
    <cellStyle name="Normal 9 2 6 2 3" xfId="12542" xr:uid="{B74BC77B-F9D7-4C1F-93AC-1EFF87C233B1}"/>
    <cellStyle name="Normal 9 2 6 3" xfId="5288" xr:uid="{00000000-0005-0000-0000-00009B1F0000}"/>
    <cellStyle name="Normal 9 2 6 3 2" xfId="14614" xr:uid="{CA5B1AA2-F1BC-4FCF-81A0-A96A6F53472D}"/>
    <cellStyle name="Normal 9 2 6 4" xfId="9176" xr:uid="{F3933A08-5B20-47C9-B0FC-7B73F4B0BA7D}"/>
    <cellStyle name="Normal 9 2 6 4 2" xfId="18494" xr:uid="{A26A5C24-0A69-43E9-91A2-E9C5641CCBED}"/>
    <cellStyle name="Normal 9 2 6 5" xfId="10397" xr:uid="{8C4E65C7-4E11-450D-85B5-0BEC3DC3E97A}"/>
    <cellStyle name="Normal 9 2 7" xfId="1394" xr:uid="{00000000-0005-0000-0000-00009C1F0000}"/>
    <cellStyle name="Normal 9 2 7 2" xfId="3624" xr:uid="{00000000-0005-0000-0000-00009D1F0000}"/>
    <cellStyle name="Normal 9 2 7 2 2" xfId="7846" xr:uid="{00000000-0005-0000-0000-00009E1F0000}"/>
    <cellStyle name="Normal 9 2 7 2 2 2" xfId="17172" xr:uid="{B273329D-C383-4DBC-A247-79D3FB19F596}"/>
    <cellStyle name="Normal 9 2 7 2 3" xfId="12955" xr:uid="{59DFD486-5358-4FD6-8B2F-A2558882E6AB}"/>
    <cellStyle name="Normal 9 2 7 3" xfId="5701" xr:uid="{00000000-0005-0000-0000-00009F1F0000}"/>
    <cellStyle name="Normal 9 2 7 3 2" xfId="15027" xr:uid="{63D7DB3D-AD24-4570-AE46-18C8129042F9}"/>
    <cellStyle name="Normal 9 2 7 4" xfId="10810" xr:uid="{F657AEED-4C58-41FF-B2EC-0738EDDC686B}"/>
    <cellStyle name="Normal 9 2 8" xfId="1807" xr:uid="{00000000-0005-0000-0000-0000A01F0000}"/>
    <cellStyle name="Normal 9 2 8 2" xfId="4037" xr:uid="{00000000-0005-0000-0000-0000A11F0000}"/>
    <cellStyle name="Normal 9 2 8 2 2" xfId="8259" xr:uid="{00000000-0005-0000-0000-0000A21F0000}"/>
    <cellStyle name="Normal 9 2 8 2 2 2" xfId="17585" xr:uid="{FFB5CBD4-B9CE-40B6-B043-EE46B61265BB}"/>
    <cellStyle name="Normal 9 2 8 2 3" xfId="13368" xr:uid="{BF737804-CF28-4A1A-BF9A-1966093A8F7E}"/>
    <cellStyle name="Normal 9 2 8 3" xfId="6114" xr:uid="{00000000-0005-0000-0000-0000A31F0000}"/>
    <cellStyle name="Normal 9 2 8 3 2" xfId="15440" xr:uid="{CA6D079F-C31F-481E-B8B1-F54DC8F94511}"/>
    <cellStyle name="Normal 9 2 8 4" xfId="11223" xr:uid="{6D12FDF5-CF47-4A2B-91FE-9E69AA62DD24}"/>
    <cellStyle name="Normal 9 2 9" xfId="2221" xr:uid="{00000000-0005-0000-0000-0000A41F0000}"/>
    <cellStyle name="Normal 9 2 9 2" xfId="4450" xr:uid="{00000000-0005-0000-0000-0000A51F0000}"/>
    <cellStyle name="Normal 9 2 9 2 2" xfId="8672" xr:uid="{00000000-0005-0000-0000-0000A61F0000}"/>
    <cellStyle name="Normal 9 2 9 2 2 2" xfId="17998" xr:uid="{C6DD63FD-02F8-46C3-83E4-31CD54472F8C}"/>
    <cellStyle name="Normal 9 2 9 2 3" xfId="13781" xr:uid="{7691A0F9-B134-42E6-BBF2-46FA79F852A2}"/>
    <cellStyle name="Normal 9 2 9 3" xfId="6527" xr:uid="{00000000-0005-0000-0000-0000A71F0000}"/>
    <cellStyle name="Normal 9 2 9 3 2" xfId="15853" xr:uid="{A2763381-B3BD-45E2-9DB5-1543AAEB54BD}"/>
    <cellStyle name="Normal 9 2 9 4" xfId="11636" xr:uid="{D4119E11-9FDC-4EDA-B96B-22EB2C243C53}"/>
    <cellStyle name="Normal 9 3" xfId="527" xr:uid="{00000000-0005-0000-0000-0000A81F0000}"/>
    <cellStyle name="Normal 9 3 10" xfId="4891" xr:uid="{00000000-0005-0000-0000-0000A91F0000}"/>
    <cellStyle name="Normal 9 3 10 2" xfId="14217" xr:uid="{A2241A80-5B5E-4D38-86A4-CC1320C3197C}"/>
    <cellStyle name="Normal 9 3 11" xfId="8777" xr:uid="{1F3D7E21-FC22-4F0C-9371-3D8250746BB7}"/>
    <cellStyle name="Normal 9 3 11 2" xfId="18101" xr:uid="{F41E1D7E-28FE-4F0A-9784-8B97FCE0C14B}"/>
    <cellStyle name="Normal 9 3 12" xfId="10000" xr:uid="{6EAC2966-C136-4129-BF7E-F437C050606F}"/>
    <cellStyle name="Normal 9 3 2" xfId="528" xr:uid="{00000000-0005-0000-0000-0000AA1F0000}"/>
    <cellStyle name="Normal 9 3 2 10" xfId="8840" xr:uid="{94797BE2-1721-4871-A768-79D4D45F48BB}"/>
    <cellStyle name="Normal 9 3 2 10 2" xfId="18164" xr:uid="{24798722-8FF2-4AB4-B42E-D26D870AD653}"/>
    <cellStyle name="Normal 9 3 2 11" xfId="10001" xr:uid="{30435F36-DA8B-4736-9901-0E1F37DBF531}"/>
    <cellStyle name="Normal 9 3 2 2" xfId="529" xr:uid="{00000000-0005-0000-0000-0000AB1F0000}"/>
    <cellStyle name="Normal 9 3 2 2 10" xfId="10002" xr:uid="{F7EC2FDF-F332-4F8B-89C6-D254F42016E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16778" xr:uid="{E20DEF0F-0391-48FB-9EA1-CC596A95F27F}"/>
    <cellStyle name="Normal 9 3 2 2 2 2 2 3" xfId="12561" xr:uid="{401672BB-70A3-4120-AD4C-06CB848C5FBA}"/>
    <cellStyle name="Normal 9 3 2 2 2 2 3" xfId="5307" xr:uid="{00000000-0005-0000-0000-0000B01F0000}"/>
    <cellStyle name="Normal 9 3 2 2 2 2 3 2" xfId="14633" xr:uid="{155B3FB9-B6B7-4C9A-8449-6D7E1CBBC3EC}"/>
    <cellStyle name="Normal 9 3 2 2 2 2 4" xfId="9575" xr:uid="{DA05DE06-1987-4B8E-8439-C692853FF296}"/>
    <cellStyle name="Normal 9 3 2 2 2 2 4 2" xfId="18890" xr:uid="{A5771CD3-E59C-4C6F-BC2B-9BD442221402}"/>
    <cellStyle name="Normal 9 3 2 2 2 2 5" xfId="10416" xr:uid="{2BE9F322-84E1-4384-8445-E19CD08D3EB9}"/>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17191" xr:uid="{3B542FA0-7DE0-4FBD-81E8-C75E46CA6145}"/>
    <cellStyle name="Normal 9 3 2 2 2 3 2 3" xfId="12974" xr:uid="{EB038EE3-BFE8-45BA-B2E9-97B2FCA56AA6}"/>
    <cellStyle name="Normal 9 3 2 2 2 3 3" xfId="5720" xr:uid="{00000000-0005-0000-0000-0000B41F0000}"/>
    <cellStyle name="Normal 9 3 2 2 2 3 3 2" xfId="15046" xr:uid="{D0E260DB-D897-43E7-909A-E8C77280FC59}"/>
    <cellStyle name="Normal 9 3 2 2 2 3 4" xfId="10829" xr:uid="{82708189-917B-4874-A09C-EED3C8E3055E}"/>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17604" xr:uid="{64848A5D-E8C9-4920-8420-79ABF3C2E790}"/>
    <cellStyle name="Normal 9 3 2 2 2 4 2 3" xfId="13387" xr:uid="{F1B23B78-B523-4407-ADF7-E97D620B40D3}"/>
    <cellStyle name="Normal 9 3 2 2 2 4 3" xfId="6133" xr:uid="{00000000-0005-0000-0000-0000B81F0000}"/>
    <cellStyle name="Normal 9 3 2 2 2 4 3 2" xfId="15459" xr:uid="{08C3A8F7-44E5-4C17-827B-78A9C99C8681}"/>
    <cellStyle name="Normal 9 3 2 2 2 4 4" xfId="11242" xr:uid="{7F49FAE9-2A4E-462B-AEA0-D33F7A42952C}"/>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18017" xr:uid="{2BDF30D5-06C9-41E3-BCD9-69AF1C40A5F6}"/>
    <cellStyle name="Normal 9 3 2 2 2 5 2 3" xfId="13800" xr:uid="{B031BDBD-DCF9-44C4-B347-947EB4A3987B}"/>
    <cellStyle name="Normal 9 3 2 2 2 5 3" xfId="6546" xr:uid="{00000000-0005-0000-0000-0000BC1F0000}"/>
    <cellStyle name="Normal 9 3 2 2 2 5 3 2" xfId="15872" xr:uid="{2B77CB43-3A0A-4BDB-B25A-E7A21DAEE2A7}"/>
    <cellStyle name="Normal 9 3 2 2 2 5 4" xfId="11655" xr:uid="{257707C1-F5EA-4559-AA82-122F1CAE4AB6}"/>
    <cellStyle name="Normal 9 3 2 2 2 6" xfId="2676" xr:uid="{00000000-0005-0000-0000-0000BD1F0000}"/>
    <cellStyle name="Normal 9 3 2 2 2 6 2" xfId="6959" xr:uid="{00000000-0005-0000-0000-0000BE1F0000}"/>
    <cellStyle name="Normal 9 3 2 2 2 6 2 2" xfId="16285" xr:uid="{14E480C9-8260-4524-86BA-1FE8387EB428}"/>
    <cellStyle name="Normal 9 3 2 2 2 6 3" xfId="12068" xr:uid="{4C24D61F-FF88-49AB-8D32-4D6902702F51}"/>
    <cellStyle name="Normal 9 3 2 2 2 7" xfId="4894" xr:uid="{00000000-0005-0000-0000-0000BF1F0000}"/>
    <cellStyle name="Normal 9 3 2 2 2 7 2" xfId="14220" xr:uid="{E169BB01-717C-4884-8125-0B456C305786}"/>
    <cellStyle name="Normal 9 3 2 2 2 8" xfId="9150" xr:uid="{F54F74BE-A583-4C94-A198-8E0D27AD7F4F}"/>
    <cellStyle name="Normal 9 3 2 2 2 8 2" xfId="18474" xr:uid="{03D70134-F6D8-4E8F-A5ED-D69FA05BC573}"/>
    <cellStyle name="Normal 9 3 2 2 2 9" xfId="10003" xr:uid="{113543ED-A7CC-4CF7-8011-CBB80E5282DE}"/>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16777" xr:uid="{8D23F4C5-B211-4E93-B399-CA8DFC88396F}"/>
    <cellStyle name="Normal 9 3 2 2 3 2 3" xfId="12560" xr:uid="{F8F77843-D601-4783-992F-1DA874465137}"/>
    <cellStyle name="Normal 9 3 2 2 3 3" xfId="5306" xr:uid="{00000000-0005-0000-0000-0000C31F0000}"/>
    <cellStyle name="Normal 9 3 2 2 3 3 2" xfId="14632" xr:uid="{C2FEBF1D-4149-4758-9E7D-78834CEFC4EC}"/>
    <cellStyle name="Normal 9 3 2 2 3 4" xfId="9368" xr:uid="{B3189122-1774-442D-BD5B-8DA329618536}"/>
    <cellStyle name="Normal 9 3 2 2 3 4 2" xfId="18683" xr:uid="{78297908-3AA5-40FF-8D1B-1B4D8168ED83}"/>
    <cellStyle name="Normal 9 3 2 2 3 5" xfId="10415" xr:uid="{FA2F2F53-FB7A-42BC-88B9-79BF7583CE5C}"/>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17190" xr:uid="{F13F9F5F-5998-4BD3-B322-C0D6DC981600}"/>
    <cellStyle name="Normal 9 3 2 2 4 2 3" xfId="12973" xr:uid="{3A2A65E7-A140-4D8B-A326-94086FB3A8DE}"/>
    <cellStyle name="Normal 9 3 2 2 4 3" xfId="5719" xr:uid="{00000000-0005-0000-0000-0000C71F0000}"/>
    <cellStyle name="Normal 9 3 2 2 4 3 2" xfId="15045" xr:uid="{64F20B69-818E-43DC-966F-7996BC606BBE}"/>
    <cellStyle name="Normal 9 3 2 2 4 4" xfId="10828" xr:uid="{B20A4736-CDD2-453B-9E79-EC59298556C5}"/>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17603" xr:uid="{BDE7661A-365D-401B-8FAA-0174961E6C6E}"/>
    <cellStyle name="Normal 9 3 2 2 5 2 3" xfId="13386" xr:uid="{1D531542-9056-4C88-AD13-D471554D2CAB}"/>
    <cellStyle name="Normal 9 3 2 2 5 3" xfId="6132" xr:uid="{00000000-0005-0000-0000-0000CB1F0000}"/>
    <cellStyle name="Normal 9 3 2 2 5 3 2" xfId="15458" xr:uid="{3BD5AE47-9D53-45A3-8F2C-77A362DF4D4D}"/>
    <cellStyle name="Normal 9 3 2 2 5 4" xfId="11241" xr:uid="{890B1D0D-35FE-4109-BCEA-8010EDE421AF}"/>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18016" xr:uid="{4F3914CD-4ABF-4C46-B8BB-204A90F3473F}"/>
    <cellStyle name="Normal 9 3 2 2 6 2 3" xfId="13799" xr:uid="{0548A30A-0890-429E-B4C8-9AE788416D5D}"/>
    <cellStyle name="Normal 9 3 2 2 6 3" xfId="6545" xr:uid="{00000000-0005-0000-0000-0000CF1F0000}"/>
    <cellStyle name="Normal 9 3 2 2 6 3 2" xfId="15871" xr:uid="{24AD7FA2-7C3E-4F65-9BB8-C6BC7BF08F8A}"/>
    <cellStyle name="Normal 9 3 2 2 6 4" xfId="11654" xr:uid="{CBDFA715-8246-4259-A8EE-C83E19E5E4C3}"/>
    <cellStyle name="Normal 9 3 2 2 7" xfId="2675" xr:uid="{00000000-0005-0000-0000-0000D01F0000}"/>
    <cellStyle name="Normal 9 3 2 2 7 2" xfId="6958" xr:uid="{00000000-0005-0000-0000-0000D11F0000}"/>
    <cellStyle name="Normal 9 3 2 2 7 2 2" xfId="16284" xr:uid="{DB4D37CB-5E83-4178-AE33-000C3CD4E08D}"/>
    <cellStyle name="Normal 9 3 2 2 7 3" xfId="12067" xr:uid="{569EEFE7-406A-452C-B9CE-D4EDA3D440D4}"/>
    <cellStyle name="Normal 9 3 2 2 8" xfId="4893" xr:uid="{00000000-0005-0000-0000-0000D21F0000}"/>
    <cellStyle name="Normal 9 3 2 2 8 2" xfId="14219" xr:uid="{977B497B-3B34-43D8-A509-97FBCEA0E192}"/>
    <cellStyle name="Normal 9 3 2 2 9" xfId="8943" xr:uid="{1E59706A-169E-45B8-A6E4-1A0514B9DDBD}"/>
    <cellStyle name="Normal 9 3 2 2 9 2" xfId="18267" xr:uid="{B10791F4-A467-4F70-8AFF-8AA615A224EF}"/>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16779" xr:uid="{6FB7FFC9-3980-4DDB-8AE3-65CB5927BA21}"/>
    <cellStyle name="Normal 9 3 2 3 2 2 3" xfId="12562" xr:uid="{1D686C93-D384-4778-A5D2-F1AD4FFFB342}"/>
    <cellStyle name="Normal 9 3 2 3 2 3" xfId="5308" xr:uid="{00000000-0005-0000-0000-0000D71F0000}"/>
    <cellStyle name="Normal 9 3 2 3 2 3 2" xfId="14634" xr:uid="{8E43B278-838F-4E2E-ACC1-13FDFD787134}"/>
    <cellStyle name="Normal 9 3 2 3 2 4" xfId="9472" xr:uid="{427A8E71-9BC4-47C0-A855-6886AF96C97E}"/>
    <cellStyle name="Normal 9 3 2 3 2 4 2" xfId="18787" xr:uid="{86D5151F-9CE8-4A50-8DA2-5D6BB3DF9202}"/>
    <cellStyle name="Normal 9 3 2 3 2 5" xfId="10417" xr:uid="{F5746EEA-0E7B-46D8-88DD-C68BA652DE60}"/>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17192" xr:uid="{B5D8C689-16CD-448E-8A90-465C4F684CDF}"/>
    <cellStyle name="Normal 9 3 2 3 3 2 3" xfId="12975" xr:uid="{AF178E98-09A0-4DC7-A76E-F9B52303C0DB}"/>
    <cellStyle name="Normal 9 3 2 3 3 3" xfId="5721" xr:uid="{00000000-0005-0000-0000-0000DB1F0000}"/>
    <cellStyle name="Normal 9 3 2 3 3 3 2" xfId="15047" xr:uid="{A46025BB-42F7-43C4-AF97-9688795DAF18}"/>
    <cellStyle name="Normal 9 3 2 3 3 4" xfId="10830" xr:uid="{6BED61F0-BE78-4C03-8A59-83CA996A45BF}"/>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17605" xr:uid="{7A185982-976B-46D2-BB8B-87E10E300E04}"/>
    <cellStyle name="Normal 9 3 2 3 4 2 3" xfId="13388" xr:uid="{D5B21E49-B4B0-49E4-AA43-95F003738E08}"/>
    <cellStyle name="Normal 9 3 2 3 4 3" xfId="6134" xr:uid="{00000000-0005-0000-0000-0000DF1F0000}"/>
    <cellStyle name="Normal 9 3 2 3 4 3 2" xfId="15460" xr:uid="{3999A978-25C5-4DC3-A11F-BCEB6A6CA94B}"/>
    <cellStyle name="Normal 9 3 2 3 4 4" xfId="11243" xr:uid="{EE81F336-D3AC-4EA2-A355-28223F11A75B}"/>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18018" xr:uid="{58F32EAE-392B-42A2-A065-22FF15BED15E}"/>
    <cellStyle name="Normal 9 3 2 3 5 2 3" xfId="13801" xr:uid="{63D97052-915A-4DE7-B0DD-E3C520B719A9}"/>
    <cellStyle name="Normal 9 3 2 3 5 3" xfId="6547" xr:uid="{00000000-0005-0000-0000-0000E31F0000}"/>
    <cellStyle name="Normal 9 3 2 3 5 3 2" xfId="15873" xr:uid="{32EAFCB6-C0BC-4D6F-895E-DA8515DDEEE1}"/>
    <cellStyle name="Normal 9 3 2 3 5 4" xfId="11656" xr:uid="{7ED4C8BB-74BC-45BC-B2F6-B75B43E21A68}"/>
    <cellStyle name="Normal 9 3 2 3 6" xfId="2677" xr:uid="{00000000-0005-0000-0000-0000E41F0000}"/>
    <cellStyle name="Normal 9 3 2 3 6 2" xfId="6960" xr:uid="{00000000-0005-0000-0000-0000E51F0000}"/>
    <cellStyle name="Normal 9 3 2 3 6 2 2" xfId="16286" xr:uid="{05EB6D96-397A-4117-96D0-DFFF43489A68}"/>
    <cellStyle name="Normal 9 3 2 3 6 3" xfId="12069" xr:uid="{6502BFFC-52D5-4C70-A3B3-B27DDC4642CD}"/>
    <cellStyle name="Normal 9 3 2 3 7" xfId="4895" xr:uid="{00000000-0005-0000-0000-0000E61F0000}"/>
    <cellStyle name="Normal 9 3 2 3 7 2" xfId="14221" xr:uid="{EF64ADCF-1F31-445B-BF63-A02DDDF168CE}"/>
    <cellStyle name="Normal 9 3 2 3 8" xfId="9047" xr:uid="{4CBBBE80-D24B-484D-910E-0072EA0E95DD}"/>
    <cellStyle name="Normal 9 3 2 3 8 2" xfId="18371" xr:uid="{105B780D-EF6F-42EB-800A-D9E800A19274}"/>
    <cellStyle name="Normal 9 3 2 3 9" xfId="10004" xr:uid="{D44FA12A-B626-4038-87F5-45357606F82E}"/>
    <cellStyle name="Normal 9 3 2 4" xfId="995" xr:uid="{00000000-0005-0000-0000-0000E71F0000}"/>
    <cellStyle name="Normal 9 3 2 4 2" xfId="3228" xr:uid="{00000000-0005-0000-0000-0000E81F0000}"/>
    <cellStyle name="Normal 9 3 2 4 2 2" xfId="7450" xr:uid="{00000000-0005-0000-0000-0000E91F0000}"/>
    <cellStyle name="Normal 9 3 2 4 2 2 2" xfId="16776" xr:uid="{55F208C3-474B-471F-A988-6D889246DC2D}"/>
    <cellStyle name="Normal 9 3 2 4 2 3" xfId="12559" xr:uid="{5EE84791-DED8-4010-9D8C-84DEF644E21E}"/>
    <cellStyle name="Normal 9 3 2 4 3" xfId="5305" xr:uid="{00000000-0005-0000-0000-0000EA1F0000}"/>
    <cellStyle name="Normal 9 3 2 4 3 2" xfId="14631" xr:uid="{389D1FB8-81A9-4B48-A867-D00B8EB4C2AC}"/>
    <cellStyle name="Normal 9 3 2 4 4" xfId="9265" xr:uid="{BF00A9B8-67BA-48F6-8D48-0E4380D60577}"/>
    <cellStyle name="Normal 9 3 2 4 4 2" xfId="18580" xr:uid="{576AA485-4A1F-4C5B-AEAD-177A090108F1}"/>
    <cellStyle name="Normal 9 3 2 4 5" xfId="10414" xr:uid="{80EA9AF4-8B89-42F7-952D-C1A4D660D283}"/>
    <cellStyle name="Normal 9 3 2 5" xfId="1411" xr:uid="{00000000-0005-0000-0000-0000EB1F0000}"/>
    <cellStyle name="Normal 9 3 2 5 2" xfId="3641" xr:uid="{00000000-0005-0000-0000-0000EC1F0000}"/>
    <cellStyle name="Normal 9 3 2 5 2 2" xfId="7863" xr:uid="{00000000-0005-0000-0000-0000ED1F0000}"/>
    <cellStyle name="Normal 9 3 2 5 2 2 2" xfId="17189" xr:uid="{222D973A-79C6-4825-8105-32C7322188FB}"/>
    <cellStyle name="Normal 9 3 2 5 2 3" xfId="12972" xr:uid="{B03697D8-AFBD-4AD4-BE8A-9583B5B7CA0F}"/>
    <cellStyle name="Normal 9 3 2 5 3" xfId="5718" xr:uid="{00000000-0005-0000-0000-0000EE1F0000}"/>
    <cellStyle name="Normal 9 3 2 5 3 2" xfId="15044" xr:uid="{1350669A-9216-4233-A1FD-0626F9590250}"/>
    <cellStyle name="Normal 9 3 2 5 4" xfId="10827" xr:uid="{BA3BC95C-CD56-4CFA-9882-328A88F669AB}"/>
    <cellStyle name="Normal 9 3 2 6" xfId="1824" xr:uid="{00000000-0005-0000-0000-0000EF1F0000}"/>
    <cellStyle name="Normal 9 3 2 6 2" xfId="4054" xr:uid="{00000000-0005-0000-0000-0000F01F0000}"/>
    <cellStyle name="Normal 9 3 2 6 2 2" xfId="8276" xr:uid="{00000000-0005-0000-0000-0000F11F0000}"/>
    <cellStyle name="Normal 9 3 2 6 2 2 2" xfId="17602" xr:uid="{9F29F25B-90D3-4725-A3A6-93857BBBCEA1}"/>
    <cellStyle name="Normal 9 3 2 6 2 3" xfId="13385" xr:uid="{F9033A28-E8C7-4913-9384-D9CAB5DAF35D}"/>
    <cellStyle name="Normal 9 3 2 6 3" xfId="6131" xr:uid="{00000000-0005-0000-0000-0000F21F0000}"/>
    <cellStyle name="Normal 9 3 2 6 3 2" xfId="15457" xr:uid="{DAC2CAF3-EC9B-4561-A82D-44F680E0AECA}"/>
    <cellStyle name="Normal 9 3 2 6 4" xfId="11240" xr:uid="{81E48AE6-6A7E-4F75-8FF5-07B99A08C1E3}"/>
    <cellStyle name="Normal 9 3 2 7" xfId="2238" xr:uid="{00000000-0005-0000-0000-0000F31F0000}"/>
    <cellStyle name="Normal 9 3 2 7 2" xfId="4467" xr:uid="{00000000-0005-0000-0000-0000F41F0000}"/>
    <cellStyle name="Normal 9 3 2 7 2 2" xfId="8689" xr:uid="{00000000-0005-0000-0000-0000F51F0000}"/>
    <cellStyle name="Normal 9 3 2 7 2 2 2" xfId="18015" xr:uid="{24B39981-DEA5-42CF-9D7E-3882F5B80230}"/>
    <cellStyle name="Normal 9 3 2 7 2 3" xfId="13798" xr:uid="{0A6B9682-3FD5-4159-B032-B7B819E07411}"/>
    <cellStyle name="Normal 9 3 2 7 3" xfId="6544" xr:uid="{00000000-0005-0000-0000-0000F61F0000}"/>
    <cellStyle name="Normal 9 3 2 7 3 2" xfId="15870" xr:uid="{EF3128FB-BA00-4F34-B30B-81EC3BA6C000}"/>
    <cellStyle name="Normal 9 3 2 7 4" xfId="11653" xr:uid="{F07AE274-0D48-41D0-A421-C81DD2568F08}"/>
    <cellStyle name="Normal 9 3 2 8" xfId="2674" xr:uid="{00000000-0005-0000-0000-0000F71F0000}"/>
    <cellStyle name="Normal 9 3 2 8 2" xfId="6957" xr:uid="{00000000-0005-0000-0000-0000F81F0000}"/>
    <cellStyle name="Normal 9 3 2 8 2 2" xfId="16283" xr:uid="{90C8EBA5-0D13-4228-8742-1305F3206B11}"/>
    <cellStyle name="Normal 9 3 2 8 3" xfId="12066" xr:uid="{E5E8987F-6C2A-4FBF-B204-5E3C6278930D}"/>
    <cellStyle name="Normal 9 3 2 9" xfId="4892" xr:uid="{00000000-0005-0000-0000-0000F91F0000}"/>
    <cellStyle name="Normal 9 3 2 9 2" xfId="14218" xr:uid="{6250D39C-A9E5-4CE2-82EA-0B98AC6FABA7}"/>
    <cellStyle name="Normal 9 3 3" xfId="532" xr:uid="{00000000-0005-0000-0000-0000FA1F0000}"/>
    <cellStyle name="Normal 9 3 3 10" xfId="10005" xr:uid="{BA5A8C1C-750F-4EA3-9FE4-AC2EC26CC03B}"/>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16781" xr:uid="{305D1971-12D4-4EAD-A094-EA87ADF0CEAF}"/>
    <cellStyle name="Normal 9 3 3 2 2 2 3" xfId="12564" xr:uid="{EE0BE41A-AF1A-46DC-B5EF-36DF4C9BC1AD}"/>
    <cellStyle name="Normal 9 3 3 2 2 3" xfId="5310" xr:uid="{00000000-0005-0000-0000-0000FF1F0000}"/>
    <cellStyle name="Normal 9 3 3 2 2 3 2" xfId="14636" xr:uid="{575B35D8-E1AF-4C75-B111-064F0A771D02}"/>
    <cellStyle name="Normal 9 3 3 2 2 4" xfId="9512" xr:uid="{2D87B26D-94B2-43FF-B3AD-59DF0A117D21}"/>
    <cellStyle name="Normal 9 3 3 2 2 4 2" xfId="18827" xr:uid="{7377DD3F-EB2B-400F-B33E-B193852C4FF6}"/>
    <cellStyle name="Normal 9 3 3 2 2 5" xfId="10419" xr:uid="{8BEBFB79-A8E5-47AB-B865-0EF54FF5D184}"/>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17194" xr:uid="{0D5ECF5E-B1A2-4C0F-9344-9D12EC2DEF9E}"/>
    <cellStyle name="Normal 9 3 3 2 3 2 3" xfId="12977" xr:uid="{54C4F041-0350-4CBA-A64B-9F8F8B565793}"/>
    <cellStyle name="Normal 9 3 3 2 3 3" xfId="5723" xr:uid="{00000000-0005-0000-0000-000003200000}"/>
    <cellStyle name="Normal 9 3 3 2 3 3 2" xfId="15049" xr:uid="{FCDD3B05-4A18-47A0-9BC1-06466036B8C4}"/>
    <cellStyle name="Normal 9 3 3 2 3 4" xfId="10832" xr:uid="{FE70F271-495A-4683-8FEA-FA750640AEEF}"/>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17607" xr:uid="{FC1E9D37-8E43-46CA-A987-0448355B012A}"/>
    <cellStyle name="Normal 9 3 3 2 4 2 3" xfId="13390" xr:uid="{3DF5DC3F-BE8B-43ED-ACE5-056C3DD7A8C9}"/>
    <cellStyle name="Normal 9 3 3 2 4 3" xfId="6136" xr:uid="{00000000-0005-0000-0000-000007200000}"/>
    <cellStyle name="Normal 9 3 3 2 4 3 2" xfId="15462" xr:uid="{01A48C01-085C-4630-9E18-952EDB86A52E}"/>
    <cellStyle name="Normal 9 3 3 2 4 4" xfId="11245" xr:uid="{BD593CA0-E54E-4A7E-8767-4273A5CCD537}"/>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18020" xr:uid="{74E94165-45B1-4588-B10B-8C7892E81450}"/>
    <cellStyle name="Normal 9 3 3 2 5 2 3" xfId="13803" xr:uid="{533C71F9-34E2-4995-BA6C-CA96A7ECBEBC}"/>
    <cellStyle name="Normal 9 3 3 2 5 3" xfId="6549" xr:uid="{00000000-0005-0000-0000-00000B200000}"/>
    <cellStyle name="Normal 9 3 3 2 5 3 2" xfId="15875" xr:uid="{BE547F5B-70B3-46D8-89E5-0D7E23AEEF16}"/>
    <cellStyle name="Normal 9 3 3 2 5 4" xfId="11658" xr:uid="{402F85E4-C837-46AC-B62A-736050A5A60E}"/>
    <cellStyle name="Normal 9 3 3 2 6" xfId="2679" xr:uid="{00000000-0005-0000-0000-00000C200000}"/>
    <cellStyle name="Normal 9 3 3 2 6 2" xfId="6962" xr:uid="{00000000-0005-0000-0000-00000D200000}"/>
    <cellStyle name="Normal 9 3 3 2 6 2 2" xfId="16288" xr:uid="{808B0ACF-8DA5-4895-A4AF-0EABE27005B9}"/>
    <cellStyle name="Normal 9 3 3 2 6 3" xfId="12071" xr:uid="{FE7E923B-61E1-493F-AC42-A2013B9706FC}"/>
    <cellStyle name="Normal 9 3 3 2 7" xfId="4897" xr:uid="{00000000-0005-0000-0000-00000E200000}"/>
    <cellStyle name="Normal 9 3 3 2 7 2" xfId="14223" xr:uid="{AAC61EA5-A7D9-4893-80C8-C70E06B6960C}"/>
    <cellStyle name="Normal 9 3 3 2 8" xfId="9087" xr:uid="{B1C8DB1F-59B6-4D6A-B3E7-0CFC4D29D9A9}"/>
    <cellStyle name="Normal 9 3 3 2 8 2" xfId="18411" xr:uid="{7AF4AC74-6781-4EBF-893E-24610BB12420}"/>
    <cellStyle name="Normal 9 3 3 2 9" xfId="10006" xr:uid="{CFB5D7FF-F6EB-43E8-9E1D-236A0EDBBD79}"/>
    <cellStyle name="Normal 9 3 3 3" xfId="999" xr:uid="{00000000-0005-0000-0000-00000F200000}"/>
    <cellStyle name="Normal 9 3 3 3 2" xfId="3232" xr:uid="{00000000-0005-0000-0000-000010200000}"/>
    <cellStyle name="Normal 9 3 3 3 2 2" xfId="7454" xr:uid="{00000000-0005-0000-0000-000011200000}"/>
    <cellStyle name="Normal 9 3 3 3 2 2 2" xfId="16780" xr:uid="{F09EF993-4C90-4027-803A-1259C8EBF639}"/>
    <cellStyle name="Normal 9 3 3 3 2 3" xfId="12563" xr:uid="{3F7A46D8-F4A2-4251-A4C7-85C6424866E8}"/>
    <cellStyle name="Normal 9 3 3 3 3" xfId="5309" xr:uid="{00000000-0005-0000-0000-000012200000}"/>
    <cellStyle name="Normal 9 3 3 3 3 2" xfId="14635" xr:uid="{A3301963-DB72-4691-B009-C70DE0D86A0A}"/>
    <cellStyle name="Normal 9 3 3 3 4" xfId="9305" xr:uid="{F54F3A88-B268-4905-B4D1-34B996B920C6}"/>
    <cellStyle name="Normal 9 3 3 3 4 2" xfId="18620" xr:uid="{4493E405-5E30-4FE0-9BF2-282F3A26F556}"/>
    <cellStyle name="Normal 9 3 3 3 5" xfId="10418" xr:uid="{1B3F1182-1DA1-4295-AE6D-68A33917F7EA}"/>
    <cellStyle name="Normal 9 3 3 4" xfId="1415" xr:uid="{00000000-0005-0000-0000-000013200000}"/>
    <cellStyle name="Normal 9 3 3 4 2" xfId="3645" xr:uid="{00000000-0005-0000-0000-000014200000}"/>
    <cellStyle name="Normal 9 3 3 4 2 2" xfId="7867" xr:uid="{00000000-0005-0000-0000-000015200000}"/>
    <cellStyle name="Normal 9 3 3 4 2 2 2" xfId="17193" xr:uid="{8B6633C3-3072-4AC5-B0B2-07D5DC1CFE43}"/>
    <cellStyle name="Normal 9 3 3 4 2 3" xfId="12976" xr:uid="{A1F9A1D2-7F78-40DC-B59D-A9F1A474ED15}"/>
    <cellStyle name="Normal 9 3 3 4 3" xfId="5722" xr:uid="{00000000-0005-0000-0000-000016200000}"/>
    <cellStyle name="Normal 9 3 3 4 3 2" xfId="15048" xr:uid="{AEE5F9BA-1284-425E-BA35-D22F8EF61322}"/>
    <cellStyle name="Normal 9 3 3 4 4" xfId="10831" xr:uid="{DD926339-2201-4498-99D2-56010CCA430F}"/>
    <cellStyle name="Normal 9 3 3 5" xfId="1828" xr:uid="{00000000-0005-0000-0000-000017200000}"/>
    <cellStyle name="Normal 9 3 3 5 2" xfId="4058" xr:uid="{00000000-0005-0000-0000-000018200000}"/>
    <cellStyle name="Normal 9 3 3 5 2 2" xfId="8280" xr:uid="{00000000-0005-0000-0000-000019200000}"/>
    <cellStyle name="Normal 9 3 3 5 2 2 2" xfId="17606" xr:uid="{6ACE0E86-F4F1-429F-B294-726CACCC046A}"/>
    <cellStyle name="Normal 9 3 3 5 2 3" xfId="13389" xr:uid="{AC7AFF50-4567-47B1-AD64-E60337A00017}"/>
    <cellStyle name="Normal 9 3 3 5 3" xfId="6135" xr:uid="{00000000-0005-0000-0000-00001A200000}"/>
    <cellStyle name="Normal 9 3 3 5 3 2" xfId="15461" xr:uid="{0E97EEFB-FAD5-492C-803F-380B73E454AC}"/>
    <cellStyle name="Normal 9 3 3 5 4" xfId="11244" xr:uid="{B983A387-46D8-4512-A631-B97ED33AFD13}"/>
    <cellStyle name="Normal 9 3 3 6" xfId="2242" xr:uid="{00000000-0005-0000-0000-00001B200000}"/>
    <cellStyle name="Normal 9 3 3 6 2" xfId="4471" xr:uid="{00000000-0005-0000-0000-00001C200000}"/>
    <cellStyle name="Normal 9 3 3 6 2 2" xfId="8693" xr:uid="{00000000-0005-0000-0000-00001D200000}"/>
    <cellStyle name="Normal 9 3 3 6 2 2 2" xfId="18019" xr:uid="{7AA38CBE-6765-47FE-8AD5-9D563D5A8362}"/>
    <cellStyle name="Normal 9 3 3 6 2 3" xfId="13802" xr:uid="{95642D00-1ACD-4A13-BB84-7A144E1E91F9}"/>
    <cellStyle name="Normal 9 3 3 6 3" xfId="6548" xr:uid="{00000000-0005-0000-0000-00001E200000}"/>
    <cellStyle name="Normal 9 3 3 6 3 2" xfId="15874" xr:uid="{DD78A0A9-291C-484E-9391-C9EFD9BEA1ED}"/>
    <cellStyle name="Normal 9 3 3 6 4" xfId="11657" xr:uid="{2B1E82B6-E930-438E-8764-A1C68F544DEE}"/>
    <cellStyle name="Normal 9 3 3 7" xfId="2678" xr:uid="{00000000-0005-0000-0000-00001F200000}"/>
    <cellStyle name="Normal 9 3 3 7 2" xfId="6961" xr:uid="{00000000-0005-0000-0000-000020200000}"/>
    <cellStyle name="Normal 9 3 3 7 2 2" xfId="16287" xr:uid="{38E6271A-B960-480A-9982-D292E104D1F7}"/>
    <cellStyle name="Normal 9 3 3 7 3" xfId="12070" xr:uid="{F21C5E33-2DA6-4772-8C51-A09C9405EC58}"/>
    <cellStyle name="Normal 9 3 3 8" xfId="4896" xr:uid="{00000000-0005-0000-0000-000021200000}"/>
    <cellStyle name="Normal 9 3 3 8 2" xfId="14222" xr:uid="{EF89C316-DBD8-4A83-AB30-CA6D626EAF8A}"/>
    <cellStyle name="Normal 9 3 3 9" xfId="8880" xr:uid="{36521590-FD5B-45F7-80A9-41BA557EA820}"/>
    <cellStyle name="Normal 9 3 3 9 2" xfId="18204" xr:uid="{512FEAAD-9D5C-4833-B11A-A11F0D30DB33}"/>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2 2 2" xfId="16782" xr:uid="{1F6EDB86-4768-4333-852B-3EF805B66C07}"/>
    <cellStyle name="Normal 9 3 4 2 2 3" xfId="12565" xr:uid="{E195A326-2862-48F7-BCFF-3838BF72DCFC}"/>
    <cellStyle name="Normal 9 3 4 2 3" xfId="5311" xr:uid="{00000000-0005-0000-0000-000026200000}"/>
    <cellStyle name="Normal 9 3 4 2 3 2" xfId="14637" xr:uid="{87ACCEAC-4692-49D8-BEAD-0665691BAD87}"/>
    <cellStyle name="Normal 9 3 4 2 4" xfId="9409" xr:uid="{F8EFC02C-357C-44AD-9BF7-6459F3C595DA}"/>
    <cellStyle name="Normal 9 3 4 2 4 2" xfId="18724" xr:uid="{BF76C1E9-B8AD-4172-BEAA-CBE1E85CA867}"/>
    <cellStyle name="Normal 9 3 4 2 5" xfId="10420" xr:uid="{F530FC7F-7753-4101-9932-19B3D376C575}"/>
    <cellStyle name="Normal 9 3 4 3" xfId="1417" xr:uid="{00000000-0005-0000-0000-000027200000}"/>
    <cellStyle name="Normal 9 3 4 3 2" xfId="3647" xr:uid="{00000000-0005-0000-0000-000028200000}"/>
    <cellStyle name="Normal 9 3 4 3 2 2" xfId="7869" xr:uid="{00000000-0005-0000-0000-000029200000}"/>
    <cellStyle name="Normal 9 3 4 3 2 2 2" xfId="17195" xr:uid="{ABF41C0C-4526-4D5C-AAC0-E5048334F776}"/>
    <cellStyle name="Normal 9 3 4 3 2 3" xfId="12978" xr:uid="{55E5E37E-C760-4B0A-A529-DB724DE484CE}"/>
    <cellStyle name="Normal 9 3 4 3 3" xfId="5724" xr:uid="{00000000-0005-0000-0000-00002A200000}"/>
    <cellStyle name="Normal 9 3 4 3 3 2" xfId="15050" xr:uid="{5D98A70F-521F-4A26-9445-8C695234BF6E}"/>
    <cellStyle name="Normal 9 3 4 3 4" xfId="10833" xr:uid="{1451F009-0210-4EE4-99A3-4159BEE69F38}"/>
    <cellStyle name="Normal 9 3 4 4" xfId="1830" xr:uid="{00000000-0005-0000-0000-00002B200000}"/>
    <cellStyle name="Normal 9 3 4 4 2" xfId="4060" xr:uid="{00000000-0005-0000-0000-00002C200000}"/>
    <cellStyle name="Normal 9 3 4 4 2 2" xfId="8282" xr:uid="{00000000-0005-0000-0000-00002D200000}"/>
    <cellStyle name="Normal 9 3 4 4 2 2 2" xfId="17608" xr:uid="{D679A6F1-1B07-49B0-B372-30ECB52B17F3}"/>
    <cellStyle name="Normal 9 3 4 4 2 3" xfId="13391" xr:uid="{54D780E7-419E-4EBC-A5B3-16E089842B28}"/>
    <cellStyle name="Normal 9 3 4 4 3" xfId="6137" xr:uid="{00000000-0005-0000-0000-00002E200000}"/>
    <cellStyle name="Normal 9 3 4 4 3 2" xfId="15463" xr:uid="{B1C0AEC4-A72F-47DC-91B1-21A893DF6BB0}"/>
    <cellStyle name="Normal 9 3 4 4 4" xfId="11246" xr:uid="{962F3E98-3BB6-48B9-BACE-2327BDE42F30}"/>
    <cellStyle name="Normal 9 3 4 5" xfId="2244" xr:uid="{00000000-0005-0000-0000-00002F200000}"/>
    <cellStyle name="Normal 9 3 4 5 2" xfId="4473" xr:uid="{00000000-0005-0000-0000-000030200000}"/>
    <cellStyle name="Normal 9 3 4 5 2 2" xfId="8695" xr:uid="{00000000-0005-0000-0000-000031200000}"/>
    <cellStyle name="Normal 9 3 4 5 2 2 2" xfId="18021" xr:uid="{591E62B2-56E4-4BC5-B2DB-9D0E3EF6FE62}"/>
    <cellStyle name="Normal 9 3 4 5 2 3" xfId="13804" xr:uid="{48E2329F-23CF-448B-9E19-58F5DD738E17}"/>
    <cellStyle name="Normal 9 3 4 5 3" xfId="6550" xr:uid="{00000000-0005-0000-0000-000032200000}"/>
    <cellStyle name="Normal 9 3 4 5 3 2" xfId="15876" xr:uid="{EFD764EC-C40C-4782-BF1A-A5BF7C379DDE}"/>
    <cellStyle name="Normal 9 3 4 5 4" xfId="11659" xr:uid="{3B6BB480-B6EC-4966-9EB0-FC668D068708}"/>
    <cellStyle name="Normal 9 3 4 6" xfId="2680" xr:uid="{00000000-0005-0000-0000-000033200000}"/>
    <cellStyle name="Normal 9 3 4 6 2" xfId="6963" xr:uid="{00000000-0005-0000-0000-000034200000}"/>
    <cellStyle name="Normal 9 3 4 6 2 2" xfId="16289" xr:uid="{4A4EC178-7A5D-45EF-BEE9-C40A785A8584}"/>
    <cellStyle name="Normal 9 3 4 6 3" xfId="12072" xr:uid="{D3734A8D-10F3-459D-A7A5-88B8CFD2AB11}"/>
    <cellStyle name="Normal 9 3 4 7" xfId="4898" xr:uid="{00000000-0005-0000-0000-000035200000}"/>
    <cellStyle name="Normal 9 3 4 7 2" xfId="14224" xr:uid="{EAB01AF1-A102-43F1-96E7-126FB0382808}"/>
    <cellStyle name="Normal 9 3 4 8" xfId="8984" xr:uid="{A39B104A-EAEF-4D5B-B504-6104111E924B}"/>
    <cellStyle name="Normal 9 3 4 8 2" xfId="18308" xr:uid="{4AEDA694-31FE-4E53-8E45-04EF6575DEDD}"/>
    <cellStyle name="Normal 9 3 4 9" xfId="10007" xr:uid="{25FD2A9B-EA8B-411D-BA00-66BC7C0C2CC8}"/>
    <cellStyle name="Normal 9 3 5" xfId="994" xr:uid="{00000000-0005-0000-0000-000036200000}"/>
    <cellStyle name="Normal 9 3 5 2" xfId="3227" xr:uid="{00000000-0005-0000-0000-000037200000}"/>
    <cellStyle name="Normal 9 3 5 2 2" xfId="7449" xr:uid="{00000000-0005-0000-0000-000038200000}"/>
    <cellStyle name="Normal 9 3 5 2 2 2" xfId="16775" xr:uid="{96435A31-8678-422A-97D5-9160FBC2B2F0}"/>
    <cellStyle name="Normal 9 3 5 2 3" xfId="12558" xr:uid="{F0C3BDB7-C722-4E5E-B3D0-65C6635D598C}"/>
    <cellStyle name="Normal 9 3 5 3" xfId="5304" xr:uid="{00000000-0005-0000-0000-000039200000}"/>
    <cellStyle name="Normal 9 3 5 3 2" xfId="14630" xr:uid="{A4630F5B-6890-4A07-813B-2C9E1A1F2CCE}"/>
    <cellStyle name="Normal 9 3 5 4" xfId="9201" xr:uid="{46D523D7-8DEB-46FB-8F1C-8CE8C2FC3AD3}"/>
    <cellStyle name="Normal 9 3 5 4 2" xfId="18517" xr:uid="{BCB090D5-018A-429A-A448-1CE325F60CCB}"/>
    <cellStyle name="Normal 9 3 5 5" xfId="10413" xr:uid="{DE3C7C69-DC42-4D9C-8C28-DF431633132A}"/>
    <cellStyle name="Normal 9 3 6" xfId="1410" xr:uid="{00000000-0005-0000-0000-00003A200000}"/>
    <cellStyle name="Normal 9 3 6 2" xfId="3640" xr:uid="{00000000-0005-0000-0000-00003B200000}"/>
    <cellStyle name="Normal 9 3 6 2 2" xfId="7862" xr:uid="{00000000-0005-0000-0000-00003C200000}"/>
    <cellStyle name="Normal 9 3 6 2 2 2" xfId="17188" xr:uid="{B73E247E-1B07-4B63-84D9-7934C7581E0B}"/>
    <cellStyle name="Normal 9 3 6 2 3" xfId="12971" xr:uid="{9D8B9899-EA8E-443E-82A7-A108E88B1921}"/>
    <cellStyle name="Normal 9 3 6 3" xfId="5717" xr:uid="{00000000-0005-0000-0000-00003D200000}"/>
    <cellStyle name="Normal 9 3 6 3 2" xfId="15043" xr:uid="{BF8C94D7-E21E-4F19-8A19-457DCB620302}"/>
    <cellStyle name="Normal 9 3 6 4" xfId="10826" xr:uid="{F40A5D08-774D-403A-B639-3C4D982F98C2}"/>
    <cellStyle name="Normal 9 3 7" xfId="1823" xr:uid="{00000000-0005-0000-0000-00003E200000}"/>
    <cellStyle name="Normal 9 3 7 2" xfId="4053" xr:uid="{00000000-0005-0000-0000-00003F200000}"/>
    <cellStyle name="Normal 9 3 7 2 2" xfId="8275" xr:uid="{00000000-0005-0000-0000-000040200000}"/>
    <cellStyle name="Normal 9 3 7 2 2 2" xfId="17601" xr:uid="{953220CC-6296-4FB7-83E7-5843287A6C6D}"/>
    <cellStyle name="Normal 9 3 7 2 3" xfId="13384" xr:uid="{35705BAF-0D87-4583-8DCE-B42D53D72ABF}"/>
    <cellStyle name="Normal 9 3 7 3" xfId="6130" xr:uid="{00000000-0005-0000-0000-000041200000}"/>
    <cellStyle name="Normal 9 3 7 3 2" xfId="15456" xr:uid="{60BB7635-5C9D-408F-8818-B7BDED6C2E8F}"/>
    <cellStyle name="Normal 9 3 7 4" xfId="11239" xr:uid="{7BCCC07E-7918-49DB-B82C-325E7415D56C}"/>
    <cellStyle name="Normal 9 3 8" xfId="2237" xr:uid="{00000000-0005-0000-0000-000042200000}"/>
    <cellStyle name="Normal 9 3 8 2" xfId="4466" xr:uid="{00000000-0005-0000-0000-000043200000}"/>
    <cellStyle name="Normal 9 3 8 2 2" xfId="8688" xr:uid="{00000000-0005-0000-0000-000044200000}"/>
    <cellStyle name="Normal 9 3 8 2 2 2" xfId="18014" xr:uid="{F9808E2B-3458-400A-B66A-3372BDFB4291}"/>
    <cellStyle name="Normal 9 3 8 2 3" xfId="13797" xr:uid="{2F3B5487-2D67-4733-8730-5FBB2722D353}"/>
    <cellStyle name="Normal 9 3 8 3" xfId="6543" xr:uid="{00000000-0005-0000-0000-000045200000}"/>
    <cellStyle name="Normal 9 3 8 3 2" xfId="15869" xr:uid="{A2064FC1-A77E-4DA8-8556-FABDC333C803}"/>
    <cellStyle name="Normal 9 3 8 4" xfId="11652" xr:uid="{4B7F64F3-EDB9-4E60-93B0-2F9AF2BD6C5C}"/>
    <cellStyle name="Normal 9 3 9" xfId="2673" xr:uid="{00000000-0005-0000-0000-000046200000}"/>
    <cellStyle name="Normal 9 3 9 2" xfId="6956" xr:uid="{00000000-0005-0000-0000-000047200000}"/>
    <cellStyle name="Normal 9 3 9 2 2" xfId="16282" xr:uid="{8017C0BF-0980-4788-AD0D-04E9FD0BE3D4}"/>
    <cellStyle name="Normal 9 3 9 3" xfId="12065" xr:uid="{B897623E-300A-4BDD-923E-95653CA248AE}"/>
    <cellStyle name="Normal 9 4" xfId="535" xr:uid="{00000000-0005-0000-0000-000048200000}"/>
    <cellStyle name="Normal 9 4 2" xfId="1002" xr:uid="{00000000-0005-0000-0000-000049200000}"/>
    <cellStyle name="Normal 9 5" xfId="536" xr:uid="{00000000-0005-0000-0000-00004A200000}"/>
    <cellStyle name="Normal 9 5 10" xfId="10008" xr:uid="{1E9BDCA9-D382-44E7-975F-5E94617C6877}"/>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2 2 2" xfId="16784" xr:uid="{50B1016E-07BC-4A03-8E12-1CEDFE09B2A2}"/>
    <cellStyle name="Normal 9 5 2 2 2 3" xfId="12567" xr:uid="{985E7975-1BEF-4461-A5B6-96D78F76602D}"/>
    <cellStyle name="Normal 9 5 2 2 3" xfId="5313" xr:uid="{00000000-0005-0000-0000-00004F200000}"/>
    <cellStyle name="Normal 9 5 2 2 3 2" xfId="14639" xr:uid="{6901A302-4116-4B27-9B22-E658A6901232}"/>
    <cellStyle name="Normal 9 5 2 2 4" xfId="9480" xr:uid="{BC9702BE-C2B3-450A-99DF-6FFE7C7A82FD}"/>
    <cellStyle name="Normal 9 5 2 2 4 2" xfId="18795" xr:uid="{B4BDE683-1847-417A-A95B-D685CF2F2C3D}"/>
    <cellStyle name="Normal 9 5 2 2 5" xfId="10422" xr:uid="{6A2CBDCA-BE6B-4B4D-A8BE-331864826767}"/>
    <cellStyle name="Normal 9 5 2 3" xfId="1419" xr:uid="{00000000-0005-0000-0000-000050200000}"/>
    <cellStyle name="Normal 9 5 2 3 2" xfId="3649" xr:uid="{00000000-0005-0000-0000-000051200000}"/>
    <cellStyle name="Normal 9 5 2 3 2 2" xfId="7871" xr:uid="{00000000-0005-0000-0000-000052200000}"/>
    <cellStyle name="Normal 9 5 2 3 2 2 2" xfId="17197" xr:uid="{AB1301FF-892D-47A0-929D-AC504D2FC535}"/>
    <cellStyle name="Normal 9 5 2 3 2 3" xfId="12980" xr:uid="{CC4CEE08-C3FC-4D87-9090-D7DE7FE5A4B3}"/>
    <cellStyle name="Normal 9 5 2 3 3" xfId="5726" xr:uid="{00000000-0005-0000-0000-000053200000}"/>
    <cellStyle name="Normal 9 5 2 3 3 2" xfId="15052" xr:uid="{C27C9865-6695-4978-BF97-0142D9E2BFB8}"/>
    <cellStyle name="Normal 9 5 2 3 4" xfId="10835" xr:uid="{475CB33D-4F97-4B1B-8D2E-07F74315DDC3}"/>
    <cellStyle name="Normal 9 5 2 4" xfId="1832" xr:uid="{00000000-0005-0000-0000-000054200000}"/>
    <cellStyle name="Normal 9 5 2 4 2" xfId="4062" xr:uid="{00000000-0005-0000-0000-000055200000}"/>
    <cellStyle name="Normal 9 5 2 4 2 2" xfId="8284" xr:uid="{00000000-0005-0000-0000-000056200000}"/>
    <cellStyle name="Normal 9 5 2 4 2 2 2" xfId="17610" xr:uid="{90681176-D8DE-486D-9E9F-0C8CD0DB123F}"/>
    <cellStyle name="Normal 9 5 2 4 2 3" xfId="13393" xr:uid="{FEFE66D3-DD38-4EF5-AD29-FCF4EBC40F24}"/>
    <cellStyle name="Normal 9 5 2 4 3" xfId="6139" xr:uid="{00000000-0005-0000-0000-000057200000}"/>
    <cellStyle name="Normal 9 5 2 4 3 2" xfId="15465" xr:uid="{D5823098-032B-4052-B59D-0F921B56E716}"/>
    <cellStyle name="Normal 9 5 2 4 4" xfId="11248" xr:uid="{89C7DEDE-318F-4BBB-8969-7A3F802721F7}"/>
    <cellStyle name="Normal 9 5 2 5" xfId="2246" xr:uid="{00000000-0005-0000-0000-000058200000}"/>
    <cellStyle name="Normal 9 5 2 5 2" xfId="4475" xr:uid="{00000000-0005-0000-0000-000059200000}"/>
    <cellStyle name="Normal 9 5 2 5 2 2" xfId="8697" xr:uid="{00000000-0005-0000-0000-00005A200000}"/>
    <cellStyle name="Normal 9 5 2 5 2 2 2" xfId="18023" xr:uid="{CDAFFB9F-1A11-43B2-B01C-4462DA804EC7}"/>
    <cellStyle name="Normal 9 5 2 5 2 3" xfId="13806" xr:uid="{D33725D2-3A3D-445A-A71C-F941947DFE28}"/>
    <cellStyle name="Normal 9 5 2 5 3" xfId="6552" xr:uid="{00000000-0005-0000-0000-00005B200000}"/>
    <cellStyle name="Normal 9 5 2 5 3 2" xfId="15878" xr:uid="{29FC270C-4A78-4BFA-9FAE-D8C734B81D86}"/>
    <cellStyle name="Normal 9 5 2 5 4" xfId="11661" xr:uid="{754E8EF5-60C0-4116-872D-04F7C2EF0FEC}"/>
    <cellStyle name="Normal 9 5 2 6" xfId="2682" xr:uid="{00000000-0005-0000-0000-00005C200000}"/>
    <cellStyle name="Normal 9 5 2 6 2" xfId="6965" xr:uid="{00000000-0005-0000-0000-00005D200000}"/>
    <cellStyle name="Normal 9 5 2 6 2 2" xfId="16291" xr:uid="{DEECF037-2B4A-4684-A3CB-E12D488D8F46}"/>
    <cellStyle name="Normal 9 5 2 6 3" xfId="12074" xr:uid="{6EBBC8D2-6E45-4ED0-994B-9BA4EAE9AF93}"/>
    <cellStyle name="Normal 9 5 2 7" xfId="4900" xr:uid="{00000000-0005-0000-0000-00005E200000}"/>
    <cellStyle name="Normal 9 5 2 7 2" xfId="14226" xr:uid="{5464B52D-40CD-4B5E-95D0-884F7A12F936}"/>
    <cellStyle name="Normal 9 5 2 8" xfId="9055" xr:uid="{3DD071E2-A4B3-45E3-9F20-3C2D5AEE5CB2}"/>
    <cellStyle name="Normal 9 5 2 8 2" xfId="18379" xr:uid="{7779CC76-5E90-4D48-8FE5-7B8EE334424D}"/>
    <cellStyle name="Normal 9 5 2 9" xfId="10009" xr:uid="{AEDA4E28-4DA2-417D-8BFF-768ED768543A}"/>
    <cellStyle name="Normal 9 5 3" xfId="1003" xr:uid="{00000000-0005-0000-0000-00005F200000}"/>
    <cellStyle name="Normal 9 5 3 2" xfId="3235" xr:uid="{00000000-0005-0000-0000-000060200000}"/>
    <cellStyle name="Normal 9 5 3 2 2" xfId="7457" xr:uid="{00000000-0005-0000-0000-000061200000}"/>
    <cellStyle name="Normal 9 5 3 2 2 2" xfId="16783" xr:uid="{41E59D45-C4ED-4EB3-BBCE-1107C8EC99AC}"/>
    <cellStyle name="Normal 9 5 3 2 3" xfId="12566" xr:uid="{EB027044-ECC8-4337-9C93-B41F3BA0659A}"/>
    <cellStyle name="Normal 9 5 3 3" xfId="5312" xr:uid="{00000000-0005-0000-0000-000062200000}"/>
    <cellStyle name="Normal 9 5 3 3 2" xfId="14638" xr:uid="{203D5B6A-38D1-45B1-98EC-6DD6F8C067CA}"/>
    <cellStyle name="Normal 9 5 3 4" xfId="9273" xr:uid="{AE6CB61B-02C5-436E-A328-3B2AC8AC9E53}"/>
    <cellStyle name="Normal 9 5 3 4 2" xfId="18588" xr:uid="{874268B0-D45A-44CA-8F63-0B85ECAB9011}"/>
    <cellStyle name="Normal 9 5 3 5" xfId="10421" xr:uid="{24E81AED-4ECD-4DF4-A545-B1EC1BC92EC1}"/>
    <cellStyle name="Normal 9 5 4" xfId="1418" xr:uid="{00000000-0005-0000-0000-000063200000}"/>
    <cellStyle name="Normal 9 5 4 2" xfId="3648" xr:uid="{00000000-0005-0000-0000-000064200000}"/>
    <cellStyle name="Normal 9 5 4 2 2" xfId="7870" xr:uid="{00000000-0005-0000-0000-000065200000}"/>
    <cellStyle name="Normal 9 5 4 2 2 2" xfId="17196" xr:uid="{6B8B5947-8AA3-4F9E-A37E-6C0737084DDC}"/>
    <cellStyle name="Normal 9 5 4 2 3" xfId="12979" xr:uid="{730B321A-D2E8-4C69-A293-DEEA82057FDD}"/>
    <cellStyle name="Normal 9 5 4 3" xfId="5725" xr:uid="{00000000-0005-0000-0000-000066200000}"/>
    <cellStyle name="Normal 9 5 4 3 2" xfId="15051" xr:uid="{CA52F846-6CDE-45A8-921B-FF742377E680}"/>
    <cellStyle name="Normal 9 5 4 4" xfId="10834" xr:uid="{3CE71907-94A2-4F9D-9397-21E71C208B68}"/>
    <cellStyle name="Normal 9 5 5" xfId="1831" xr:uid="{00000000-0005-0000-0000-000067200000}"/>
    <cellStyle name="Normal 9 5 5 2" xfId="4061" xr:uid="{00000000-0005-0000-0000-000068200000}"/>
    <cellStyle name="Normal 9 5 5 2 2" xfId="8283" xr:uid="{00000000-0005-0000-0000-000069200000}"/>
    <cellStyle name="Normal 9 5 5 2 2 2" xfId="17609" xr:uid="{769D7A10-D85F-4CA9-9455-EE63545835DE}"/>
    <cellStyle name="Normal 9 5 5 2 3" xfId="13392" xr:uid="{134C8FB7-A12D-48DE-A37A-F1C6638B4844}"/>
    <cellStyle name="Normal 9 5 5 3" xfId="6138" xr:uid="{00000000-0005-0000-0000-00006A200000}"/>
    <cellStyle name="Normal 9 5 5 3 2" xfId="15464" xr:uid="{0AF36AAE-B31C-4F7A-A47B-A5221B9F0782}"/>
    <cellStyle name="Normal 9 5 5 4" xfId="11247" xr:uid="{D318200B-FB0D-4782-B1C2-D881AF088C22}"/>
    <cellStyle name="Normal 9 5 6" xfId="2245" xr:uid="{00000000-0005-0000-0000-00006B200000}"/>
    <cellStyle name="Normal 9 5 6 2" xfId="4474" xr:uid="{00000000-0005-0000-0000-00006C200000}"/>
    <cellStyle name="Normal 9 5 6 2 2" xfId="8696" xr:uid="{00000000-0005-0000-0000-00006D200000}"/>
    <cellStyle name="Normal 9 5 6 2 2 2" xfId="18022" xr:uid="{7942B7F2-4944-4B72-9891-FADAE5E0845D}"/>
    <cellStyle name="Normal 9 5 6 2 3" xfId="13805" xr:uid="{66CCA91A-9989-4F6C-BB9B-B50861C3F235}"/>
    <cellStyle name="Normal 9 5 6 3" xfId="6551" xr:uid="{00000000-0005-0000-0000-00006E200000}"/>
    <cellStyle name="Normal 9 5 6 3 2" xfId="15877" xr:uid="{008B1A90-8D02-4C4D-90E7-2F1CA9C11103}"/>
    <cellStyle name="Normal 9 5 6 4" xfId="11660" xr:uid="{97B6E13C-DD17-411D-8BED-BC1D1338AC07}"/>
    <cellStyle name="Normal 9 5 7" xfId="2681" xr:uid="{00000000-0005-0000-0000-00006F200000}"/>
    <cellStyle name="Normal 9 5 7 2" xfId="6964" xr:uid="{00000000-0005-0000-0000-000070200000}"/>
    <cellStyle name="Normal 9 5 7 2 2" xfId="16290" xr:uid="{25680566-C839-455A-A942-76050CDAB831}"/>
    <cellStyle name="Normal 9 5 7 3" xfId="12073" xr:uid="{74F933C4-7321-4B34-9925-D73CF69F23F8}"/>
    <cellStyle name="Normal 9 5 8" xfId="4899" xr:uid="{00000000-0005-0000-0000-000071200000}"/>
    <cellStyle name="Normal 9 5 8 2" xfId="14225" xr:uid="{418DED55-0FFA-400D-93AD-856ED260EFB7}"/>
    <cellStyle name="Normal 9 5 9" xfId="8848" xr:uid="{B1BE5F70-14E5-42B6-9EBA-D267F3B60A08}"/>
    <cellStyle name="Normal 9 5 9 2" xfId="18172" xr:uid="{0CF0E45D-8353-4817-8EE3-85279B2BE97E}"/>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2 2 2" xfId="16785" xr:uid="{EA0D1005-ED01-42B4-87AA-5AAC3743AEA3}"/>
    <cellStyle name="Normal 9 6 2 2 3" xfId="12568" xr:uid="{C0967CCE-EAAA-4B0F-A271-525D057BDA6E}"/>
    <cellStyle name="Normal 9 6 2 3" xfId="5314" xr:uid="{00000000-0005-0000-0000-000076200000}"/>
    <cellStyle name="Normal 9 6 2 3 2" xfId="14640" xr:uid="{FFEB5D82-3331-4638-970F-B412E064CA2A}"/>
    <cellStyle name="Normal 9 6 2 4" xfId="9389" xr:uid="{2A0458F6-466A-4C3B-BA39-FF09FD770FDD}"/>
    <cellStyle name="Normal 9 6 2 4 2" xfId="18704" xr:uid="{725377D0-BC4A-4352-807B-19819AF456EC}"/>
    <cellStyle name="Normal 9 6 2 5" xfId="10423" xr:uid="{B8BF3C06-18F2-4DD4-966D-67E4BB9AA631}"/>
    <cellStyle name="Normal 9 6 3" xfId="1420" xr:uid="{00000000-0005-0000-0000-000077200000}"/>
    <cellStyle name="Normal 9 6 3 2" xfId="3650" xr:uid="{00000000-0005-0000-0000-000078200000}"/>
    <cellStyle name="Normal 9 6 3 2 2" xfId="7872" xr:uid="{00000000-0005-0000-0000-000079200000}"/>
    <cellStyle name="Normal 9 6 3 2 2 2" xfId="17198" xr:uid="{FFF49C58-2083-4A9C-BBF6-936B05DD0EB1}"/>
    <cellStyle name="Normal 9 6 3 2 3" xfId="12981" xr:uid="{C095EC2F-FC6E-4FB5-AC3E-7AFEF91C72D0}"/>
    <cellStyle name="Normal 9 6 3 3" xfId="5727" xr:uid="{00000000-0005-0000-0000-00007A200000}"/>
    <cellStyle name="Normal 9 6 3 3 2" xfId="15053" xr:uid="{567F1FCA-ABA0-4120-B073-632DD98446BB}"/>
    <cellStyle name="Normal 9 6 3 4" xfId="10836" xr:uid="{6781931F-F193-44BB-8A32-2CC966B80A28}"/>
    <cellStyle name="Normal 9 6 4" xfId="1833" xr:uid="{00000000-0005-0000-0000-00007B200000}"/>
    <cellStyle name="Normal 9 6 4 2" xfId="4063" xr:uid="{00000000-0005-0000-0000-00007C200000}"/>
    <cellStyle name="Normal 9 6 4 2 2" xfId="8285" xr:uid="{00000000-0005-0000-0000-00007D200000}"/>
    <cellStyle name="Normal 9 6 4 2 2 2" xfId="17611" xr:uid="{8395FCC4-6DC0-49DC-BCA9-99ED7ECC7CC4}"/>
    <cellStyle name="Normal 9 6 4 2 3" xfId="13394" xr:uid="{EB5013B4-B37F-4C76-955E-E540B91CD9E7}"/>
    <cellStyle name="Normal 9 6 4 3" xfId="6140" xr:uid="{00000000-0005-0000-0000-00007E200000}"/>
    <cellStyle name="Normal 9 6 4 3 2" xfId="15466" xr:uid="{01FF6977-E6FE-4D60-A876-BE98A3509230}"/>
    <cellStyle name="Normal 9 6 4 4" xfId="11249" xr:uid="{3E07BE49-7BD0-4B28-B0AB-416E26101FFC}"/>
    <cellStyle name="Normal 9 6 5" xfId="2247" xr:uid="{00000000-0005-0000-0000-00007F200000}"/>
    <cellStyle name="Normal 9 6 5 2" xfId="4476" xr:uid="{00000000-0005-0000-0000-000080200000}"/>
    <cellStyle name="Normal 9 6 5 2 2" xfId="8698" xr:uid="{00000000-0005-0000-0000-000081200000}"/>
    <cellStyle name="Normal 9 6 5 2 2 2" xfId="18024" xr:uid="{B561B094-B7DA-4351-A9E9-192FFEFA963E}"/>
    <cellStyle name="Normal 9 6 5 2 3" xfId="13807" xr:uid="{35C140AD-1C15-484C-85F8-D338E9A863B6}"/>
    <cellStyle name="Normal 9 6 5 3" xfId="6553" xr:uid="{00000000-0005-0000-0000-000082200000}"/>
    <cellStyle name="Normal 9 6 5 3 2" xfId="15879" xr:uid="{6FB3A880-6C0E-4B15-93BE-7B17007EDA3A}"/>
    <cellStyle name="Normal 9 6 5 4" xfId="11662" xr:uid="{81198886-D5CA-4FF5-98DF-E90744242F24}"/>
    <cellStyle name="Normal 9 6 6" xfId="2683" xr:uid="{00000000-0005-0000-0000-000083200000}"/>
    <cellStyle name="Normal 9 6 6 2" xfId="6966" xr:uid="{00000000-0005-0000-0000-000084200000}"/>
    <cellStyle name="Normal 9 6 6 2 2" xfId="16292" xr:uid="{5213C0A0-4275-4BA0-B382-03B8DA6878FE}"/>
    <cellStyle name="Normal 9 6 6 3" xfId="12075" xr:uid="{E9FD6723-5245-4F08-B30F-F3ED3F639292}"/>
    <cellStyle name="Normal 9 6 7" xfId="4901" xr:uid="{00000000-0005-0000-0000-000085200000}"/>
    <cellStyle name="Normal 9 6 7 2" xfId="14227" xr:uid="{97E5F434-DC6C-4CAA-8B15-8792C714FA71}"/>
    <cellStyle name="Normal 9 6 8" xfId="8964" xr:uid="{9BBC9C46-7A3A-4BC9-9542-DC33DFA165C2}"/>
    <cellStyle name="Normal 9 6 8 2" xfId="18288" xr:uid="{C1769E93-230A-4C22-BBAF-0BCA347889DA}"/>
    <cellStyle name="Normal 9 6 9" xfId="10010" xr:uid="{41BABFA4-EB7E-4BE5-94AE-40C27E696134}"/>
    <cellStyle name="Normal 9 7" xfId="977" xr:uid="{00000000-0005-0000-0000-000086200000}"/>
    <cellStyle name="Normal 9 7 2" xfId="9609" xr:uid="{1246D22D-2382-4FAF-A8D6-CB26E2B9F9CE}"/>
    <cellStyle name="Normal 9 7 3" xfId="9167" xr:uid="{F9EED645-1D44-43CF-99A5-77176BA4CE36}"/>
    <cellStyle name="Normal 9 7 3 2" xfId="18485" xr:uid="{3559F83D-9A34-42D2-9100-92F85D578EB1}"/>
    <cellStyle name="Normal 9 8" xfId="8745" xr:uid="{C1852A12-4F74-491B-976C-56AD8D4478B4}"/>
    <cellStyle name="Normal 9 8 2" xfId="18069" xr:uid="{82594983-2AF2-4A1E-A2BF-C333FFD3EBB8}"/>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16373" xr:uid="{BF2A2745-51BB-4A6E-A827-DEAC835F2B1D}"/>
    <cellStyle name="Note 2 2 10 3" xfId="12156" xr:uid="{42F705A6-3332-4124-A207-91434AC3986C}"/>
    <cellStyle name="Note 2 2 11" xfId="4902" xr:uid="{00000000-0005-0000-0000-000094200000}"/>
    <cellStyle name="Note 2 2 11 2" xfId="14228" xr:uid="{5A037918-70E5-4914-8B7A-6A32BDE1C375}"/>
    <cellStyle name="Note 2 2 12" xfId="8841" xr:uid="{E94E1FD8-31C4-4718-9658-C7A587CBF323}"/>
    <cellStyle name="Note 2 2 12 2" xfId="18165" xr:uid="{38C0FD82-7F7A-4EE7-8824-59143DC8956E}"/>
    <cellStyle name="Note 2 2 13" xfId="10011" xr:uid="{85C37DF2-668B-4DF8-8BA1-BB4B8B990D08}"/>
    <cellStyle name="Note 2 2 2" xfId="546" xr:uid="{00000000-0005-0000-0000-000095200000}"/>
    <cellStyle name="Note 2 2 2 10" xfId="4903" xr:uid="{00000000-0005-0000-0000-000096200000}"/>
    <cellStyle name="Note 2 2 2 10 2" xfId="14229" xr:uid="{717ADF25-348A-4E83-89C0-099FE5530E03}"/>
    <cellStyle name="Note 2 2 2 11" xfId="8944" xr:uid="{B75A3404-A4A3-41D6-B6C3-54560C6DD592}"/>
    <cellStyle name="Note 2 2 2 11 2" xfId="18268" xr:uid="{0A9B7F63-DB21-4F66-84CC-8FFEA7326C54}"/>
    <cellStyle name="Note 2 2 2 12" xfId="10012" xr:uid="{1069CFC5-E42A-4557-8C98-A66825A8BFD4}"/>
    <cellStyle name="Note 2 2 2 2" xfId="547" xr:uid="{00000000-0005-0000-0000-000097200000}"/>
    <cellStyle name="Note 2 2 2 2 10" xfId="9151" xr:uid="{DE810DD8-00EC-4339-9CFC-C84D5E182971}"/>
    <cellStyle name="Note 2 2 2 2 10 2" xfId="18475" xr:uid="{8C7A415C-32FE-4300-9EB7-329730A741CD}"/>
    <cellStyle name="Note 2 2 2 2 11" xfId="10013" xr:uid="{83F6485E-D1E9-408E-A2F6-B702F5E91A0B}"/>
    <cellStyle name="Note 2 2 2 2 2" xfId="1008" xr:uid="{00000000-0005-0000-0000-000098200000}"/>
    <cellStyle name="Note 2 2 2 2 2 2" xfId="3240" xr:uid="{00000000-0005-0000-0000-000099200000}"/>
    <cellStyle name="Note 2 2 2 2 2 2 2" xfId="7462" xr:uid="{00000000-0005-0000-0000-00009A200000}"/>
    <cellStyle name="Note 2 2 2 2 2 2 2 2" xfId="16788" xr:uid="{B598DE77-7FC6-4492-974D-59F1D4E8C6F2}"/>
    <cellStyle name="Note 2 2 2 2 2 2 3" xfId="12571" xr:uid="{DA365266-5424-49CD-89CA-1D4AC04EE2E7}"/>
    <cellStyle name="Note 2 2 2 2 2 3" xfId="5317" xr:uid="{00000000-0005-0000-0000-00009B200000}"/>
    <cellStyle name="Note 2 2 2 2 2 3 2" xfId="14643" xr:uid="{D2F62672-2507-46BF-A6C6-2EC2D5AB1785}"/>
    <cellStyle name="Note 2 2 2 2 2 4" xfId="9576" xr:uid="{375E296C-598F-454E-B7C4-9E851CE02ED2}"/>
    <cellStyle name="Note 2 2 2 2 2 4 2" xfId="18891" xr:uid="{491AAD79-39E8-44A5-9481-93BC9127C6DD}"/>
    <cellStyle name="Note 2 2 2 2 2 5" xfId="10426" xr:uid="{717B9982-4E01-4DAA-A902-3E920AF8A2D7}"/>
    <cellStyle name="Note 2 2 2 2 3" xfId="1423" xr:uid="{00000000-0005-0000-0000-00009C200000}"/>
    <cellStyle name="Note 2 2 2 2 3 2" xfId="3653" xr:uid="{00000000-0005-0000-0000-00009D200000}"/>
    <cellStyle name="Note 2 2 2 2 3 2 2" xfId="7875" xr:uid="{00000000-0005-0000-0000-00009E200000}"/>
    <cellStyle name="Note 2 2 2 2 3 2 2 2" xfId="17201" xr:uid="{33774816-3451-455E-9E44-563C75F2D329}"/>
    <cellStyle name="Note 2 2 2 2 3 2 3" xfId="12984" xr:uid="{8A87CF82-1D62-4AAC-AFFE-14B8690C060D}"/>
    <cellStyle name="Note 2 2 2 2 3 3" xfId="5730" xr:uid="{00000000-0005-0000-0000-00009F200000}"/>
    <cellStyle name="Note 2 2 2 2 3 3 2" xfId="15056" xr:uid="{24738235-C953-4DCC-8449-A6216B9D1C8C}"/>
    <cellStyle name="Note 2 2 2 2 3 4" xfId="10839" xr:uid="{43935A4F-A3A6-487D-9F90-3A9D2863A8A5}"/>
    <cellStyle name="Note 2 2 2 2 4" xfId="1837" xr:uid="{00000000-0005-0000-0000-0000A0200000}"/>
    <cellStyle name="Note 2 2 2 2 4 2" xfId="4066" xr:uid="{00000000-0005-0000-0000-0000A1200000}"/>
    <cellStyle name="Note 2 2 2 2 4 2 2" xfId="8288" xr:uid="{00000000-0005-0000-0000-0000A2200000}"/>
    <cellStyle name="Note 2 2 2 2 4 2 2 2" xfId="17614" xr:uid="{D229865E-E0E3-42D8-A2AA-B30EDDF5C3BF}"/>
    <cellStyle name="Note 2 2 2 2 4 2 3" xfId="13397" xr:uid="{FBE1EA78-E7AB-4AAF-AFA1-83C43C05C991}"/>
    <cellStyle name="Note 2 2 2 2 4 3" xfId="6143" xr:uid="{00000000-0005-0000-0000-0000A3200000}"/>
    <cellStyle name="Note 2 2 2 2 4 3 2" xfId="15469" xr:uid="{7A3F86E2-5379-42BE-9058-FB564C67B3C5}"/>
    <cellStyle name="Note 2 2 2 2 4 4" xfId="11252" xr:uid="{C15DB410-52F3-4ED4-981E-B0F37E6E7E6C}"/>
    <cellStyle name="Note 2 2 2 2 5" xfId="2250" xr:uid="{00000000-0005-0000-0000-0000A4200000}"/>
    <cellStyle name="Note 2 2 2 2 5 2" xfId="4479" xr:uid="{00000000-0005-0000-0000-0000A5200000}"/>
    <cellStyle name="Note 2 2 2 2 5 2 2" xfId="8701" xr:uid="{00000000-0005-0000-0000-0000A6200000}"/>
    <cellStyle name="Note 2 2 2 2 5 2 2 2" xfId="18027" xr:uid="{FBA5AD10-C1CA-42F7-8E3F-0FA0B21E7DA3}"/>
    <cellStyle name="Note 2 2 2 2 5 2 3" xfId="13810" xr:uid="{D1E76FF5-34B3-4092-9186-13909EBEC7B5}"/>
    <cellStyle name="Note 2 2 2 2 5 3" xfId="6556" xr:uid="{00000000-0005-0000-0000-0000A7200000}"/>
    <cellStyle name="Note 2 2 2 2 5 3 2" xfId="15882" xr:uid="{99B0B9BA-B310-433E-BF8F-0726F9022FF5}"/>
    <cellStyle name="Note 2 2 2 2 5 4" xfId="11665" xr:uid="{6547F558-3271-4391-96D7-94ACE3F90E90}"/>
    <cellStyle name="Note 2 2 2 2 6" xfId="2686" xr:uid="{00000000-0005-0000-0000-0000A8200000}"/>
    <cellStyle name="Note 2 2 2 2 6 2" xfId="6969" xr:uid="{00000000-0005-0000-0000-0000A9200000}"/>
    <cellStyle name="Note 2 2 2 2 6 2 2" xfId="16295" xr:uid="{9EEC5BC4-9C2E-4D86-A422-F6E7286CBB26}"/>
    <cellStyle name="Note 2 2 2 2 6 3" xfId="12078" xr:uid="{DFC35C9D-FB40-4DC5-98C6-58C72A8E8FD2}"/>
    <cellStyle name="Note 2 2 2 2 7" xfId="2745" xr:uid="{00000000-0005-0000-0000-0000AA200000}"/>
    <cellStyle name="Note 2 2 2 2 8" xfId="2826" xr:uid="{00000000-0005-0000-0000-0000AB200000}"/>
    <cellStyle name="Note 2 2 2 2 8 2" xfId="7049" xr:uid="{00000000-0005-0000-0000-0000AC200000}"/>
    <cellStyle name="Note 2 2 2 2 8 2 2" xfId="16375" xr:uid="{5DD3C8B5-7E3A-40C3-8686-64C005331087}"/>
    <cellStyle name="Note 2 2 2 2 8 3" xfId="12158" xr:uid="{54BFEA2F-CCC9-43BE-A784-52267C62FE6B}"/>
    <cellStyle name="Note 2 2 2 2 9" xfId="4904" xr:uid="{00000000-0005-0000-0000-0000AD200000}"/>
    <cellStyle name="Note 2 2 2 2 9 2" xfId="14230" xr:uid="{59A9A3FC-A98E-4F2C-9718-C87F51920B05}"/>
    <cellStyle name="Note 2 2 2 3" xfId="1007" xr:uid="{00000000-0005-0000-0000-0000AE200000}"/>
    <cellStyle name="Note 2 2 2 3 2" xfId="3239" xr:uid="{00000000-0005-0000-0000-0000AF200000}"/>
    <cellStyle name="Note 2 2 2 3 2 2" xfId="7461" xr:uid="{00000000-0005-0000-0000-0000B0200000}"/>
    <cellStyle name="Note 2 2 2 3 2 2 2" xfId="16787" xr:uid="{7F4E2283-B894-4FBF-AAA3-0A79583AC8D4}"/>
    <cellStyle name="Note 2 2 2 3 2 3" xfId="12570" xr:uid="{5FCAD032-D9F2-4782-92C1-EF8B5421F2CF}"/>
    <cellStyle name="Note 2 2 2 3 3" xfId="5316" xr:uid="{00000000-0005-0000-0000-0000B1200000}"/>
    <cellStyle name="Note 2 2 2 3 3 2" xfId="14642" xr:uid="{9D18E98A-9208-44AE-BD4D-F00A2A6D1609}"/>
    <cellStyle name="Note 2 2 2 3 4" xfId="9369" xr:uid="{37FCA23B-964B-404F-A343-B489211FDCDC}"/>
    <cellStyle name="Note 2 2 2 3 4 2" xfId="18684" xr:uid="{BB5589C0-E539-4327-B8AA-DA937F1D40CF}"/>
    <cellStyle name="Note 2 2 2 3 5" xfId="10425" xr:uid="{2FBFA5B5-3B70-4517-A153-7D1D58D31B65}"/>
    <cellStyle name="Note 2 2 2 4" xfId="1422" xr:uid="{00000000-0005-0000-0000-0000B2200000}"/>
    <cellStyle name="Note 2 2 2 4 2" xfId="3652" xr:uid="{00000000-0005-0000-0000-0000B3200000}"/>
    <cellStyle name="Note 2 2 2 4 2 2" xfId="7874" xr:uid="{00000000-0005-0000-0000-0000B4200000}"/>
    <cellStyle name="Note 2 2 2 4 2 2 2" xfId="17200" xr:uid="{EEEC1CF2-6153-4A2C-BC40-8D918B711CCD}"/>
    <cellStyle name="Note 2 2 2 4 2 3" xfId="12983" xr:uid="{124BEF04-78AD-44EE-999A-BA93FB1BDD74}"/>
    <cellStyle name="Note 2 2 2 4 3" xfId="5729" xr:uid="{00000000-0005-0000-0000-0000B5200000}"/>
    <cellStyle name="Note 2 2 2 4 3 2" xfId="15055" xr:uid="{F7B3C1FE-65D3-431A-908E-A0BA79EC883E}"/>
    <cellStyle name="Note 2 2 2 4 4" xfId="10838" xr:uid="{3C634EAE-0185-4DCE-9683-7BFDAA919E6F}"/>
    <cellStyle name="Note 2 2 2 5" xfId="1836" xr:uid="{00000000-0005-0000-0000-0000B6200000}"/>
    <cellStyle name="Note 2 2 2 5 2" xfId="4065" xr:uid="{00000000-0005-0000-0000-0000B7200000}"/>
    <cellStyle name="Note 2 2 2 5 2 2" xfId="8287" xr:uid="{00000000-0005-0000-0000-0000B8200000}"/>
    <cellStyle name="Note 2 2 2 5 2 2 2" xfId="17613" xr:uid="{288D3DAA-E84E-4475-A631-F82483FF5FB2}"/>
    <cellStyle name="Note 2 2 2 5 2 3" xfId="13396" xr:uid="{C7D12A18-3604-41B3-8C16-9698466C546D}"/>
    <cellStyle name="Note 2 2 2 5 3" xfId="6142" xr:uid="{00000000-0005-0000-0000-0000B9200000}"/>
    <cellStyle name="Note 2 2 2 5 3 2" xfId="15468" xr:uid="{F4FD38CA-4588-4218-9A0D-60AE38ADAD9E}"/>
    <cellStyle name="Note 2 2 2 5 4" xfId="11251" xr:uid="{AC36439E-F81B-4EDB-9D20-0A6905ED9F23}"/>
    <cellStyle name="Note 2 2 2 6" xfId="2249" xr:uid="{00000000-0005-0000-0000-0000BA200000}"/>
    <cellStyle name="Note 2 2 2 6 2" xfId="4478" xr:uid="{00000000-0005-0000-0000-0000BB200000}"/>
    <cellStyle name="Note 2 2 2 6 2 2" xfId="8700" xr:uid="{00000000-0005-0000-0000-0000BC200000}"/>
    <cellStyle name="Note 2 2 2 6 2 2 2" xfId="18026" xr:uid="{7EA5F679-665A-4C9E-962B-ED04A1CB5FA5}"/>
    <cellStyle name="Note 2 2 2 6 2 3" xfId="13809" xr:uid="{0E544E8D-0E98-4014-9516-98174CA2019B}"/>
    <cellStyle name="Note 2 2 2 6 3" xfId="6555" xr:uid="{00000000-0005-0000-0000-0000BD200000}"/>
    <cellStyle name="Note 2 2 2 6 3 2" xfId="15881" xr:uid="{9DCE7F74-5E98-4493-A7C0-78A02980151A}"/>
    <cellStyle name="Note 2 2 2 6 4" xfId="11664" xr:uid="{4F34088A-6D8B-4032-90B4-293CF41AF02D}"/>
    <cellStyle name="Note 2 2 2 7" xfId="2685" xr:uid="{00000000-0005-0000-0000-0000BE200000}"/>
    <cellStyle name="Note 2 2 2 7 2" xfId="6968" xr:uid="{00000000-0005-0000-0000-0000BF200000}"/>
    <cellStyle name="Note 2 2 2 7 2 2" xfId="16294" xr:uid="{C2BA4F0F-FEC0-4C9A-9D89-919FD3E159F8}"/>
    <cellStyle name="Note 2 2 2 7 3" xfId="12077" xr:uid="{32AF8CBF-EBC5-4695-AD22-EB03F107BBD6}"/>
    <cellStyle name="Note 2 2 2 8" xfId="2744" xr:uid="{00000000-0005-0000-0000-0000C0200000}"/>
    <cellStyle name="Note 2 2 2 9" xfId="2825" xr:uid="{00000000-0005-0000-0000-0000C1200000}"/>
    <cellStyle name="Note 2 2 2 9 2" xfId="7048" xr:uid="{00000000-0005-0000-0000-0000C2200000}"/>
    <cellStyle name="Note 2 2 2 9 2 2" xfId="16374" xr:uid="{2936524F-1445-44C6-BFE2-9579A72A6435}"/>
    <cellStyle name="Note 2 2 2 9 3" xfId="12157" xr:uid="{8A2F100C-B77C-47B6-858C-512A556E1214}"/>
    <cellStyle name="Note 2 2 3" xfId="548" xr:uid="{00000000-0005-0000-0000-0000C3200000}"/>
    <cellStyle name="Note 2 2 3 10" xfId="9048" xr:uid="{894401FF-B7D8-49E8-91E6-A1C42DD04D54}"/>
    <cellStyle name="Note 2 2 3 10 2" xfId="18372" xr:uid="{C9926D50-3EE1-400D-BB38-85FBD62B038E}"/>
    <cellStyle name="Note 2 2 3 11" xfId="10014" xr:uid="{A20E3B16-E78E-4F28-8FCA-57333B51BC15}"/>
    <cellStyle name="Note 2 2 3 2" xfId="1009" xr:uid="{00000000-0005-0000-0000-0000C4200000}"/>
    <cellStyle name="Note 2 2 3 2 2" xfId="3241" xr:uid="{00000000-0005-0000-0000-0000C5200000}"/>
    <cellStyle name="Note 2 2 3 2 2 2" xfId="7463" xr:uid="{00000000-0005-0000-0000-0000C6200000}"/>
    <cellStyle name="Note 2 2 3 2 2 2 2" xfId="16789" xr:uid="{1DCBADB1-B31B-44CE-92D1-7F46074BF1FA}"/>
    <cellStyle name="Note 2 2 3 2 2 3" xfId="12572" xr:uid="{4B84497E-5BB0-4879-8711-930E4FC2073F}"/>
    <cellStyle name="Note 2 2 3 2 3" xfId="5318" xr:uid="{00000000-0005-0000-0000-0000C7200000}"/>
    <cellStyle name="Note 2 2 3 2 3 2" xfId="14644" xr:uid="{0F069560-E3CB-4441-8853-929B6578A5B0}"/>
    <cellStyle name="Note 2 2 3 2 4" xfId="9473" xr:uid="{7711F4E0-385B-44CD-ACEA-5E9D7E4CD8DC}"/>
    <cellStyle name="Note 2 2 3 2 4 2" xfId="18788" xr:uid="{916E6EA6-C17A-49B1-B04C-64CB35CB7BC3}"/>
    <cellStyle name="Note 2 2 3 2 5" xfId="10427" xr:uid="{1CF7EA92-52B1-4EC9-AE6C-6DB53F364A05}"/>
    <cellStyle name="Note 2 2 3 3" xfId="1424" xr:uid="{00000000-0005-0000-0000-0000C8200000}"/>
    <cellStyle name="Note 2 2 3 3 2" xfId="3654" xr:uid="{00000000-0005-0000-0000-0000C9200000}"/>
    <cellStyle name="Note 2 2 3 3 2 2" xfId="7876" xr:uid="{00000000-0005-0000-0000-0000CA200000}"/>
    <cellStyle name="Note 2 2 3 3 2 2 2" xfId="17202" xr:uid="{A5BB3D25-C746-4EA6-80C7-25FF4B55167E}"/>
    <cellStyle name="Note 2 2 3 3 2 3" xfId="12985" xr:uid="{5B7C0001-1010-49AC-BB81-54F13B47712A}"/>
    <cellStyle name="Note 2 2 3 3 3" xfId="5731" xr:uid="{00000000-0005-0000-0000-0000CB200000}"/>
    <cellStyle name="Note 2 2 3 3 3 2" xfId="15057" xr:uid="{C32A24A8-3BED-4530-AA60-5AB1837F20B6}"/>
    <cellStyle name="Note 2 2 3 3 4" xfId="10840" xr:uid="{6C802B9A-1491-469E-AD8F-2CBA7389CCC2}"/>
    <cellStyle name="Note 2 2 3 4" xfId="1838" xr:uid="{00000000-0005-0000-0000-0000CC200000}"/>
    <cellStyle name="Note 2 2 3 4 2" xfId="4067" xr:uid="{00000000-0005-0000-0000-0000CD200000}"/>
    <cellStyle name="Note 2 2 3 4 2 2" xfId="8289" xr:uid="{00000000-0005-0000-0000-0000CE200000}"/>
    <cellStyle name="Note 2 2 3 4 2 2 2" xfId="17615" xr:uid="{23EE8D15-F407-4C16-BEE5-9B65191B2311}"/>
    <cellStyle name="Note 2 2 3 4 2 3" xfId="13398" xr:uid="{5D78A14A-31BA-4D4A-821F-789EDEE2DE28}"/>
    <cellStyle name="Note 2 2 3 4 3" xfId="6144" xr:uid="{00000000-0005-0000-0000-0000CF200000}"/>
    <cellStyle name="Note 2 2 3 4 3 2" xfId="15470" xr:uid="{010B5511-B720-48D2-8FFA-FDD462F20624}"/>
    <cellStyle name="Note 2 2 3 4 4" xfId="11253" xr:uid="{B26BC3C4-F03C-49A1-964F-5478468059B1}"/>
    <cellStyle name="Note 2 2 3 5" xfId="2251" xr:uid="{00000000-0005-0000-0000-0000D0200000}"/>
    <cellStyle name="Note 2 2 3 5 2" xfId="4480" xr:uid="{00000000-0005-0000-0000-0000D1200000}"/>
    <cellStyle name="Note 2 2 3 5 2 2" xfId="8702" xr:uid="{00000000-0005-0000-0000-0000D2200000}"/>
    <cellStyle name="Note 2 2 3 5 2 2 2" xfId="18028" xr:uid="{2F5CD1FB-2367-4B40-B8B5-642EE63B89DD}"/>
    <cellStyle name="Note 2 2 3 5 2 3" xfId="13811" xr:uid="{95CA9B46-8AC6-4C23-94B2-CD9954036408}"/>
    <cellStyle name="Note 2 2 3 5 3" xfId="6557" xr:uid="{00000000-0005-0000-0000-0000D3200000}"/>
    <cellStyle name="Note 2 2 3 5 3 2" xfId="15883" xr:uid="{5C954F24-3069-4588-A093-FE0E6752EB90}"/>
    <cellStyle name="Note 2 2 3 5 4" xfId="11666" xr:uid="{F6D9D397-CAE8-4112-A2F5-6E9A84054B0D}"/>
    <cellStyle name="Note 2 2 3 6" xfId="2687" xr:uid="{00000000-0005-0000-0000-0000D4200000}"/>
    <cellStyle name="Note 2 2 3 6 2" xfId="6970" xr:uid="{00000000-0005-0000-0000-0000D5200000}"/>
    <cellStyle name="Note 2 2 3 6 2 2" xfId="16296" xr:uid="{F854C63B-7122-4971-A0C7-07DE2CA75D56}"/>
    <cellStyle name="Note 2 2 3 6 3" xfId="12079" xr:uid="{43C7DE13-8FF6-4D3D-8322-5B4CF148A3FD}"/>
    <cellStyle name="Note 2 2 3 7" xfId="2746" xr:uid="{00000000-0005-0000-0000-0000D6200000}"/>
    <cellStyle name="Note 2 2 3 8" xfId="2827" xr:uid="{00000000-0005-0000-0000-0000D7200000}"/>
    <cellStyle name="Note 2 2 3 8 2" xfId="7050" xr:uid="{00000000-0005-0000-0000-0000D8200000}"/>
    <cellStyle name="Note 2 2 3 8 2 2" xfId="16376" xr:uid="{67111FA8-C4EF-4201-88D1-DDD5B2AAC793}"/>
    <cellStyle name="Note 2 2 3 8 3" xfId="12159" xr:uid="{EE19B0C2-53A6-4C92-96B2-04112EC8686B}"/>
    <cellStyle name="Note 2 2 3 9" xfId="4905" xr:uid="{00000000-0005-0000-0000-0000D9200000}"/>
    <cellStyle name="Note 2 2 3 9 2" xfId="14231" xr:uid="{EB913A54-732F-47A9-B132-7C5A3E537DC6}"/>
    <cellStyle name="Note 2 2 4" xfId="1006" xr:uid="{00000000-0005-0000-0000-0000DA200000}"/>
    <cellStyle name="Note 2 2 4 2" xfId="3238" xr:uid="{00000000-0005-0000-0000-0000DB200000}"/>
    <cellStyle name="Note 2 2 4 2 2" xfId="7460" xr:uid="{00000000-0005-0000-0000-0000DC200000}"/>
    <cellStyle name="Note 2 2 4 2 2 2" xfId="16786" xr:uid="{43EEA5E7-B416-4B96-BC86-1C1AAA346FFD}"/>
    <cellStyle name="Note 2 2 4 2 3" xfId="12569" xr:uid="{A9C6DAD7-A7DF-4338-BAF5-249BF139C1DB}"/>
    <cellStyle name="Note 2 2 4 3" xfId="5315" xr:uid="{00000000-0005-0000-0000-0000DD200000}"/>
    <cellStyle name="Note 2 2 4 3 2" xfId="14641" xr:uid="{A6DA8A99-DBF7-4EEE-87CD-38291E616568}"/>
    <cellStyle name="Note 2 2 4 4" xfId="9266" xr:uid="{8B6F7B8D-50FA-47DA-836F-17B0F9492E54}"/>
    <cellStyle name="Note 2 2 4 4 2" xfId="18581" xr:uid="{25F787A3-535B-4942-B9D5-E8FA1427E622}"/>
    <cellStyle name="Note 2 2 4 5" xfId="10424" xr:uid="{95133EFF-F310-4096-B50D-762D1528C7BC}"/>
    <cellStyle name="Note 2 2 5" xfId="1421" xr:uid="{00000000-0005-0000-0000-0000DE200000}"/>
    <cellStyle name="Note 2 2 5 2" xfId="3651" xr:uid="{00000000-0005-0000-0000-0000DF200000}"/>
    <cellStyle name="Note 2 2 5 2 2" xfId="7873" xr:uid="{00000000-0005-0000-0000-0000E0200000}"/>
    <cellStyle name="Note 2 2 5 2 2 2" xfId="17199" xr:uid="{B6268ACA-2E63-4347-8DB6-134201A4F3A8}"/>
    <cellStyle name="Note 2 2 5 2 3" xfId="12982" xr:uid="{646F0BF1-5C50-469C-BFC7-9A96A7156D51}"/>
    <cellStyle name="Note 2 2 5 3" xfId="5728" xr:uid="{00000000-0005-0000-0000-0000E1200000}"/>
    <cellStyle name="Note 2 2 5 3 2" xfId="15054" xr:uid="{B1D590F0-BB30-4346-A32C-D2A21D5692D2}"/>
    <cellStyle name="Note 2 2 5 4" xfId="10837" xr:uid="{A21FBC17-2443-44D3-937D-4DC354580835}"/>
    <cellStyle name="Note 2 2 6" xfId="1835" xr:uid="{00000000-0005-0000-0000-0000E2200000}"/>
    <cellStyle name="Note 2 2 6 2" xfId="4064" xr:uid="{00000000-0005-0000-0000-0000E3200000}"/>
    <cellStyle name="Note 2 2 6 2 2" xfId="8286" xr:uid="{00000000-0005-0000-0000-0000E4200000}"/>
    <cellStyle name="Note 2 2 6 2 2 2" xfId="17612" xr:uid="{B8EF5753-AB93-4F4A-825F-CF22B1A2B27E}"/>
    <cellStyle name="Note 2 2 6 2 3" xfId="13395" xr:uid="{9A2ABBB3-0DD3-4A0D-8CCC-CB3EC4BAE022}"/>
    <cellStyle name="Note 2 2 6 3" xfId="6141" xr:uid="{00000000-0005-0000-0000-0000E5200000}"/>
    <cellStyle name="Note 2 2 6 3 2" xfId="15467" xr:uid="{A1BC1D1C-D976-43F1-A78D-129CCE7E9720}"/>
    <cellStyle name="Note 2 2 6 4" xfId="11250" xr:uid="{2EE2840E-53C7-422B-B659-0AF3D006B261}"/>
    <cellStyle name="Note 2 2 7" xfId="2248" xr:uid="{00000000-0005-0000-0000-0000E6200000}"/>
    <cellStyle name="Note 2 2 7 2" xfId="4477" xr:uid="{00000000-0005-0000-0000-0000E7200000}"/>
    <cellStyle name="Note 2 2 7 2 2" xfId="8699" xr:uid="{00000000-0005-0000-0000-0000E8200000}"/>
    <cellStyle name="Note 2 2 7 2 2 2" xfId="18025" xr:uid="{EEC3FA6C-1E6E-4C62-AB39-2534C5D5E746}"/>
    <cellStyle name="Note 2 2 7 2 3" xfId="13808" xr:uid="{14C9CCFA-ADA9-4F03-AA33-FE9FDCC37F2B}"/>
    <cellStyle name="Note 2 2 7 3" xfId="6554" xr:uid="{00000000-0005-0000-0000-0000E9200000}"/>
    <cellStyle name="Note 2 2 7 3 2" xfId="15880" xr:uid="{B564FBA6-56E1-46B4-BDF0-021B988998D6}"/>
    <cellStyle name="Note 2 2 7 4" xfId="11663" xr:uid="{B9804C08-3264-4689-A54F-02868A5BCCE1}"/>
    <cellStyle name="Note 2 2 8" xfId="2684" xr:uid="{00000000-0005-0000-0000-0000EA200000}"/>
    <cellStyle name="Note 2 2 8 2" xfId="6967" xr:uid="{00000000-0005-0000-0000-0000EB200000}"/>
    <cellStyle name="Note 2 2 8 2 2" xfId="16293" xr:uid="{568417FC-181A-4EB6-B582-6207169BCBB1}"/>
    <cellStyle name="Note 2 2 8 3" xfId="12076" xr:uid="{6C759107-089F-48E1-980E-B9AF02CD9B5F}"/>
    <cellStyle name="Note 2 2 9" xfId="2743" xr:uid="{00000000-0005-0000-0000-0000EC200000}"/>
    <cellStyle name="Note 2 3" xfId="549" xr:uid="{00000000-0005-0000-0000-0000ED200000}"/>
    <cellStyle name="Note 2 3 10" xfId="4906" xr:uid="{00000000-0005-0000-0000-0000EE200000}"/>
    <cellStyle name="Note 2 3 10 2" xfId="14232" xr:uid="{2B6F66C7-4164-49E1-8F5B-0750DDBE3B9A}"/>
    <cellStyle name="Note 2 3 11" xfId="8894" xr:uid="{2BFFE8D0-DA42-4876-8895-58F80713E965}"/>
    <cellStyle name="Note 2 3 11 2" xfId="18218" xr:uid="{33F5D2DD-584F-4E8C-B7D1-780D942E708D}"/>
    <cellStyle name="Note 2 3 12" xfId="10015" xr:uid="{E4226EAC-EA10-495B-B6E9-FD1A5735DD1D}"/>
    <cellStyle name="Note 2 3 2" xfId="550" xr:uid="{00000000-0005-0000-0000-0000EF200000}"/>
    <cellStyle name="Note 2 3 2 10" xfId="9101" xr:uid="{1822EEA2-225E-465E-B4CD-D4615440EC62}"/>
    <cellStyle name="Note 2 3 2 10 2" xfId="18425" xr:uid="{AD7B8D6E-27C2-4DCA-8609-3C586DC59D7F}"/>
    <cellStyle name="Note 2 3 2 11" xfId="10016" xr:uid="{AEAEEA6B-00C1-4D02-A9FA-F59D404FA556}"/>
    <cellStyle name="Note 2 3 2 2" xfId="1011" xr:uid="{00000000-0005-0000-0000-0000F0200000}"/>
    <cellStyle name="Note 2 3 2 2 2" xfId="3243" xr:uid="{00000000-0005-0000-0000-0000F1200000}"/>
    <cellStyle name="Note 2 3 2 2 2 2" xfId="7465" xr:uid="{00000000-0005-0000-0000-0000F2200000}"/>
    <cellStyle name="Note 2 3 2 2 2 2 2" xfId="16791" xr:uid="{5F387FC7-8491-45CA-9E9D-CBF3516C0833}"/>
    <cellStyle name="Note 2 3 2 2 2 3" xfId="12574" xr:uid="{AD398E65-CBA5-414E-8078-C876255F322B}"/>
    <cellStyle name="Note 2 3 2 2 3" xfId="5320" xr:uid="{00000000-0005-0000-0000-0000F3200000}"/>
    <cellStyle name="Note 2 3 2 2 3 2" xfId="14646" xr:uid="{511412A4-65A5-4D6F-A249-3962C56D913F}"/>
    <cellStyle name="Note 2 3 2 2 4" xfId="9526" xr:uid="{1C428179-0C82-4F5D-9FE4-E11D597F9E89}"/>
    <cellStyle name="Note 2 3 2 2 4 2" xfId="18841" xr:uid="{65037FA3-B26F-4E1A-A3A8-ACCC0DB33094}"/>
    <cellStyle name="Note 2 3 2 2 5" xfId="10429" xr:uid="{9B48A3E6-2BFC-493B-A0CC-4C648945D357}"/>
    <cellStyle name="Note 2 3 2 3" xfId="1426" xr:uid="{00000000-0005-0000-0000-0000F4200000}"/>
    <cellStyle name="Note 2 3 2 3 2" xfId="3656" xr:uid="{00000000-0005-0000-0000-0000F5200000}"/>
    <cellStyle name="Note 2 3 2 3 2 2" xfId="7878" xr:uid="{00000000-0005-0000-0000-0000F6200000}"/>
    <cellStyle name="Note 2 3 2 3 2 2 2" xfId="17204" xr:uid="{71331BA1-76A0-4AEF-A8C0-4A88A2024245}"/>
    <cellStyle name="Note 2 3 2 3 2 3" xfId="12987" xr:uid="{4CCFB96B-F762-479E-8362-3C2B112AAFD1}"/>
    <cellStyle name="Note 2 3 2 3 3" xfId="5733" xr:uid="{00000000-0005-0000-0000-0000F7200000}"/>
    <cellStyle name="Note 2 3 2 3 3 2" xfId="15059" xr:uid="{053248DE-DFC1-487B-95FD-3914EA3BA8A3}"/>
    <cellStyle name="Note 2 3 2 3 4" xfId="10842" xr:uid="{B9E4FE04-257D-4DAE-ADA0-DEAC3CB91718}"/>
    <cellStyle name="Note 2 3 2 4" xfId="1840" xr:uid="{00000000-0005-0000-0000-0000F8200000}"/>
    <cellStyle name="Note 2 3 2 4 2" xfId="4069" xr:uid="{00000000-0005-0000-0000-0000F9200000}"/>
    <cellStyle name="Note 2 3 2 4 2 2" xfId="8291" xr:uid="{00000000-0005-0000-0000-0000FA200000}"/>
    <cellStyle name="Note 2 3 2 4 2 2 2" xfId="17617" xr:uid="{F1074F0B-8F21-4686-B86F-71F3EC47A547}"/>
    <cellStyle name="Note 2 3 2 4 2 3" xfId="13400" xr:uid="{6C04297A-0612-4225-B9D4-EFE1A79E6E6A}"/>
    <cellStyle name="Note 2 3 2 4 3" xfId="6146" xr:uid="{00000000-0005-0000-0000-0000FB200000}"/>
    <cellStyle name="Note 2 3 2 4 3 2" xfId="15472" xr:uid="{46D9EF2B-E4D9-42D0-926C-E5D4CDD77608}"/>
    <cellStyle name="Note 2 3 2 4 4" xfId="11255" xr:uid="{4F2BB05E-B44B-4B99-86B7-92433049F25F}"/>
    <cellStyle name="Note 2 3 2 5" xfId="2253" xr:uid="{00000000-0005-0000-0000-0000FC200000}"/>
    <cellStyle name="Note 2 3 2 5 2" xfId="4482" xr:uid="{00000000-0005-0000-0000-0000FD200000}"/>
    <cellStyle name="Note 2 3 2 5 2 2" xfId="8704" xr:uid="{00000000-0005-0000-0000-0000FE200000}"/>
    <cellStyle name="Note 2 3 2 5 2 2 2" xfId="18030" xr:uid="{A5158D09-7328-444C-B47E-4A0178950FB4}"/>
    <cellStyle name="Note 2 3 2 5 2 3" xfId="13813" xr:uid="{3C379A32-0675-480F-8117-2FE665B3E408}"/>
    <cellStyle name="Note 2 3 2 5 3" xfId="6559" xr:uid="{00000000-0005-0000-0000-0000FF200000}"/>
    <cellStyle name="Note 2 3 2 5 3 2" xfId="15885" xr:uid="{1FB708E0-827A-4CC1-9225-45B2E2F45EEE}"/>
    <cellStyle name="Note 2 3 2 5 4" xfId="11668" xr:uid="{210113D0-1200-4297-A7FE-31F0D97F7E80}"/>
    <cellStyle name="Note 2 3 2 6" xfId="2689" xr:uid="{00000000-0005-0000-0000-000000210000}"/>
    <cellStyle name="Note 2 3 2 6 2" xfId="6972" xr:uid="{00000000-0005-0000-0000-000001210000}"/>
    <cellStyle name="Note 2 3 2 6 2 2" xfId="16298" xr:uid="{59DBEE28-402F-46DF-B39D-7B98128CA36C}"/>
    <cellStyle name="Note 2 3 2 6 3" xfId="12081" xr:uid="{A3054B8C-E989-400E-BFB0-E5B284BCB2C1}"/>
    <cellStyle name="Note 2 3 2 7" xfId="2748" xr:uid="{00000000-0005-0000-0000-000002210000}"/>
    <cellStyle name="Note 2 3 2 8" xfId="2829" xr:uid="{00000000-0005-0000-0000-000003210000}"/>
    <cellStyle name="Note 2 3 2 8 2" xfId="7052" xr:uid="{00000000-0005-0000-0000-000004210000}"/>
    <cellStyle name="Note 2 3 2 8 2 2" xfId="16378" xr:uid="{09EA5F1C-61B0-475B-9AD4-C48DC813115B}"/>
    <cellStyle name="Note 2 3 2 8 3" xfId="12161" xr:uid="{20F5D596-97D3-452F-AA29-C9615278F00A}"/>
    <cellStyle name="Note 2 3 2 9" xfId="4907" xr:uid="{00000000-0005-0000-0000-000005210000}"/>
    <cellStyle name="Note 2 3 2 9 2" xfId="14233" xr:uid="{3A23D2EC-50AE-4AA2-9F0D-A67DF4B2B866}"/>
    <cellStyle name="Note 2 3 3" xfId="1010" xr:uid="{00000000-0005-0000-0000-000006210000}"/>
    <cellStyle name="Note 2 3 3 2" xfId="3242" xr:uid="{00000000-0005-0000-0000-000007210000}"/>
    <cellStyle name="Note 2 3 3 2 2" xfId="7464" xr:uid="{00000000-0005-0000-0000-000008210000}"/>
    <cellStyle name="Note 2 3 3 2 2 2" xfId="16790" xr:uid="{65E81A30-58AC-4914-9E96-1B69CE8AA12C}"/>
    <cellStyle name="Note 2 3 3 2 3" xfId="12573" xr:uid="{5B4F4393-21DD-411A-9212-E4D12D1881F1}"/>
    <cellStyle name="Note 2 3 3 3" xfId="5319" xr:uid="{00000000-0005-0000-0000-000009210000}"/>
    <cellStyle name="Note 2 3 3 3 2" xfId="14645" xr:uid="{24BBF326-6F2A-4D60-9A0A-72C874773578}"/>
    <cellStyle name="Note 2 3 3 4" xfId="9319" xr:uid="{06E4A3C6-5CAA-4424-B4C3-41162F21AE7D}"/>
    <cellStyle name="Note 2 3 3 4 2" xfId="18634" xr:uid="{4B19E00F-90C6-46B6-8FD4-FB788E08631A}"/>
    <cellStyle name="Note 2 3 3 5" xfId="10428" xr:uid="{B9D466AC-6560-484C-B792-0E46EA3C6D0D}"/>
    <cellStyle name="Note 2 3 4" xfId="1425" xr:uid="{00000000-0005-0000-0000-00000A210000}"/>
    <cellStyle name="Note 2 3 4 2" xfId="3655" xr:uid="{00000000-0005-0000-0000-00000B210000}"/>
    <cellStyle name="Note 2 3 4 2 2" xfId="7877" xr:uid="{00000000-0005-0000-0000-00000C210000}"/>
    <cellStyle name="Note 2 3 4 2 2 2" xfId="17203" xr:uid="{8748C021-5153-4195-BEC4-046338E33AF6}"/>
    <cellStyle name="Note 2 3 4 2 3" xfId="12986" xr:uid="{232B5CB3-D9EA-47E8-8CEC-AF7B4DB1C56C}"/>
    <cellStyle name="Note 2 3 4 3" xfId="5732" xr:uid="{00000000-0005-0000-0000-00000D210000}"/>
    <cellStyle name="Note 2 3 4 3 2" xfId="15058" xr:uid="{43DF9680-44A8-4913-9BC1-1AC65D981ADA}"/>
    <cellStyle name="Note 2 3 4 4" xfId="10841" xr:uid="{55A18272-945E-4028-B10B-5172AA10B6B8}"/>
    <cellStyle name="Note 2 3 5" xfId="1839" xr:uid="{00000000-0005-0000-0000-00000E210000}"/>
    <cellStyle name="Note 2 3 5 2" xfId="4068" xr:uid="{00000000-0005-0000-0000-00000F210000}"/>
    <cellStyle name="Note 2 3 5 2 2" xfId="8290" xr:uid="{00000000-0005-0000-0000-000010210000}"/>
    <cellStyle name="Note 2 3 5 2 2 2" xfId="17616" xr:uid="{093E09B1-33A0-4CB8-8B37-7F399C35C838}"/>
    <cellStyle name="Note 2 3 5 2 3" xfId="13399" xr:uid="{8FDC498C-686C-43DD-8DCF-455236524432}"/>
    <cellStyle name="Note 2 3 5 3" xfId="6145" xr:uid="{00000000-0005-0000-0000-000011210000}"/>
    <cellStyle name="Note 2 3 5 3 2" xfId="15471" xr:uid="{F8AF04DC-446C-4E98-8241-04CC349CA4EF}"/>
    <cellStyle name="Note 2 3 5 4" xfId="11254" xr:uid="{FEECB48C-90EF-4C17-AB2E-B6EA977FA97D}"/>
    <cellStyle name="Note 2 3 6" xfId="2252" xr:uid="{00000000-0005-0000-0000-000012210000}"/>
    <cellStyle name="Note 2 3 6 2" xfId="4481" xr:uid="{00000000-0005-0000-0000-000013210000}"/>
    <cellStyle name="Note 2 3 6 2 2" xfId="8703" xr:uid="{00000000-0005-0000-0000-000014210000}"/>
    <cellStyle name="Note 2 3 6 2 2 2" xfId="18029" xr:uid="{F2BCB828-6BF6-4662-81B9-6D3C7AB3D187}"/>
    <cellStyle name="Note 2 3 6 2 3" xfId="13812" xr:uid="{2A919E79-0D42-4ACB-ACAF-46BB191B38E1}"/>
    <cellStyle name="Note 2 3 6 3" xfId="6558" xr:uid="{00000000-0005-0000-0000-000015210000}"/>
    <cellStyle name="Note 2 3 6 3 2" xfId="15884" xr:uid="{A30CD3A3-A916-46D5-A980-D4F66A99D574}"/>
    <cellStyle name="Note 2 3 6 4" xfId="11667" xr:uid="{ED5AE118-95F5-4962-B7C8-E5EA2CB368A5}"/>
    <cellStyle name="Note 2 3 7" xfId="2688" xr:uid="{00000000-0005-0000-0000-000016210000}"/>
    <cellStyle name="Note 2 3 7 2" xfId="6971" xr:uid="{00000000-0005-0000-0000-000017210000}"/>
    <cellStyle name="Note 2 3 7 2 2" xfId="16297" xr:uid="{5DE7B7CB-E302-464B-9144-02CB112303B0}"/>
    <cellStyle name="Note 2 3 7 3" xfId="12080" xr:uid="{3A6B1D62-DF6E-4FC2-B10E-511909A10096}"/>
    <cellStyle name="Note 2 3 8" xfId="2747" xr:uid="{00000000-0005-0000-0000-000018210000}"/>
    <cellStyle name="Note 2 3 9" xfId="2828" xr:uid="{00000000-0005-0000-0000-000019210000}"/>
    <cellStyle name="Note 2 3 9 2" xfId="7051" xr:uid="{00000000-0005-0000-0000-00001A210000}"/>
    <cellStyle name="Note 2 3 9 2 2" xfId="16377" xr:uid="{C7BF8016-9D2E-468F-903E-0684130A1AF8}"/>
    <cellStyle name="Note 2 3 9 3" xfId="12160" xr:uid="{329099FD-86CE-4C42-AD04-550EBD9E418F}"/>
    <cellStyle name="Note 2 4" xfId="551" xr:uid="{00000000-0005-0000-0000-00001B210000}"/>
    <cellStyle name="Note 2 4 10" xfId="8998" xr:uid="{AC87C288-14A9-4FB3-A26C-1706964E6651}"/>
    <cellStyle name="Note 2 4 10 2" xfId="18322" xr:uid="{206A60F2-BA98-431B-B695-69AEE710DACD}"/>
    <cellStyle name="Note 2 4 11" xfId="10017" xr:uid="{708714B6-BBDE-4E57-97C3-20270CAA7694}"/>
    <cellStyle name="Note 2 4 2" xfId="1012" xr:uid="{00000000-0005-0000-0000-00001C210000}"/>
    <cellStyle name="Note 2 4 2 2" xfId="3244" xr:uid="{00000000-0005-0000-0000-00001D210000}"/>
    <cellStyle name="Note 2 4 2 2 2" xfId="7466" xr:uid="{00000000-0005-0000-0000-00001E210000}"/>
    <cellStyle name="Note 2 4 2 2 2 2" xfId="16792" xr:uid="{0AAC5C49-6495-4B46-92C3-A05FA65C06FD}"/>
    <cellStyle name="Note 2 4 2 2 3" xfId="12575" xr:uid="{BB8225EB-0F46-4758-9741-EE37E2946C15}"/>
    <cellStyle name="Note 2 4 2 3" xfId="5321" xr:uid="{00000000-0005-0000-0000-00001F210000}"/>
    <cellStyle name="Note 2 4 2 3 2" xfId="14647" xr:uid="{C29D59E3-D98E-4957-8DD8-D308861DD7F4}"/>
    <cellStyle name="Note 2 4 2 4" xfId="9423" xr:uid="{43B93802-BE55-43D9-BEBC-4095E3C1FF74}"/>
    <cellStyle name="Note 2 4 2 4 2" xfId="18738" xr:uid="{0C17DC4D-A8D6-4BD2-A1EB-E0ACEABDC0A4}"/>
    <cellStyle name="Note 2 4 2 5" xfId="10430" xr:uid="{07B0BD6E-BDB5-447F-8890-562C9DA87C3C}"/>
    <cellStyle name="Note 2 4 3" xfId="1427" xr:uid="{00000000-0005-0000-0000-000020210000}"/>
    <cellStyle name="Note 2 4 3 2" xfId="3657" xr:uid="{00000000-0005-0000-0000-000021210000}"/>
    <cellStyle name="Note 2 4 3 2 2" xfId="7879" xr:uid="{00000000-0005-0000-0000-000022210000}"/>
    <cellStyle name="Note 2 4 3 2 2 2" xfId="17205" xr:uid="{44DF8075-5E5D-41E7-B2D9-968271167412}"/>
    <cellStyle name="Note 2 4 3 2 3" xfId="12988" xr:uid="{91DFB735-2A0D-45C2-A907-62914D2C69E1}"/>
    <cellStyle name="Note 2 4 3 3" xfId="5734" xr:uid="{00000000-0005-0000-0000-000023210000}"/>
    <cellStyle name="Note 2 4 3 3 2" xfId="15060" xr:uid="{8A9AA52E-6518-40F1-A8A4-E49712D46596}"/>
    <cellStyle name="Note 2 4 3 4" xfId="10843" xr:uid="{82A68A48-1A21-409B-9CA2-B1971DDDADC2}"/>
    <cellStyle name="Note 2 4 4" xfId="1841" xr:uid="{00000000-0005-0000-0000-000024210000}"/>
    <cellStyle name="Note 2 4 4 2" xfId="4070" xr:uid="{00000000-0005-0000-0000-000025210000}"/>
    <cellStyle name="Note 2 4 4 2 2" xfId="8292" xr:uid="{00000000-0005-0000-0000-000026210000}"/>
    <cellStyle name="Note 2 4 4 2 2 2" xfId="17618" xr:uid="{EDE3F612-646A-434A-AA6C-3D1A89657C6E}"/>
    <cellStyle name="Note 2 4 4 2 3" xfId="13401" xr:uid="{51E3F541-E872-475F-AFCE-1D4B26362137}"/>
    <cellStyle name="Note 2 4 4 3" xfId="6147" xr:uid="{00000000-0005-0000-0000-000027210000}"/>
    <cellStyle name="Note 2 4 4 3 2" xfId="15473" xr:uid="{4268B8F7-19C1-4547-9EB6-42FE257427E6}"/>
    <cellStyle name="Note 2 4 4 4" xfId="11256" xr:uid="{D7FFB67D-5D2A-43A9-B553-80F46886D81F}"/>
    <cellStyle name="Note 2 4 5" xfId="2254" xr:uid="{00000000-0005-0000-0000-000028210000}"/>
    <cellStyle name="Note 2 4 5 2" xfId="4483" xr:uid="{00000000-0005-0000-0000-000029210000}"/>
    <cellStyle name="Note 2 4 5 2 2" xfId="8705" xr:uid="{00000000-0005-0000-0000-00002A210000}"/>
    <cellStyle name="Note 2 4 5 2 2 2" xfId="18031" xr:uid="{5A8FFF1E-9339-44D6-9FAD-70B573A4C01F}"/>
    <cellStyle name="Note 2 4 5 2 3" xfId="13814" xr:uid="{7EC9630F-BE74-4183-AE73-2901044D7066}"/>
    <cellStyle name="Note 2 4 5 3" xfId="6560" xr:uid="{00000000-0005-0000-0000-00002B210000}"/>
    <cellStyle name="Note 2 4 5 3 2" xfId="15886" xr:uid="{8F420D9F-B2C8-4AB3-953D-30F7529927D7}"/>
    <cellStyle name="Note 2 4 5 4" xfId="11669" xr:uid="{98F8FB13-8055-479C-B5F8-4BD106207AE4}"/>
    <cellStyle name="Note 2 4 6" xfId="2690" xr:uid="{00000000-0005-0000-0000-00002C210000}"/>
    <cellStyle name="Note 2 4 6 2" xfId="6973" xr:uid="{00000000-0005-0000-0000-00002D210000}"/>
    <cellStyle name="Note 2 4 6 2 2" xfId="16299" xr:uid="{C43CE76A-7C79-42DD-A1A5-F14C1E197BE0}"/>
    <cellStyle name="Note 2 4 6 3" xfId="12082" xr:uid="{4A124C34-5F5F-4A55-A0C0-2B9A3BC23BD4}"/>
    <cellStyle name="Note 2 4 7" xfId="2749" xr:uid="{00000000-0005-0000-0000-00002E210000}"/>
    <cellStyle name="Note 2 4 8" xfId="2830" xr:uid="{00000000-0005-0000-0000-00002F210000}"/>
    <cellStyle name="Note 2 4 8 2" xfId="7053" xr:uid="{00000000-0005-0000-0000-000030210000}"/>
    <cellStyle name="Note 2 4 8 2 2" xfId="16379" xr:uid="{68171CFC-E43C-4085-8334-212E0CD86EC3}"/>
    <cellStyle name="Note 2 4 8 3" xfId="12162" xr:uid="{308A426D-BD7E-4971-B6C6-809E5CE6F4CC}"/>
    <cellStyle name="Note 2 4 9" xfId="4908" xr:uid="{00000000-0005-0000-0000-000031210000}"/>
    <cellStyle name="Note 2 4 9 2" xfId="14234" xr:uid="{49B10947-C539-4507-BF46-2030993B05EB}"/>
    <cellStyle name="Note 2 5" xfId="552" xr:uid="{00000000-0005-0000-0000-000032210000}"/>
    <cellStyle name="Note 2 5 10" xfId="9215" xr:uid="{69947D86-0683-476F-9E74-96CA08091560}"/>
    <cellStyle name="Note 2 5 10 2" xfId="18531" xr:uid="{BF089EE9-77E0-4E44-9436-4F04B6EE03AA}"/>
    <cellStyle name="Note 2 5 11" xfId="10018" xr:uid="{E974F589-51B4-4CBD-93CB-8157C0AAEF53}"/>
    <cellStyle name="Note 2 5 2" xfId="1013" xr:uid="{00000000-0005-0000-0000-000033210000}"/>
    <cellStyle name="Note 2 5 2 2" xfId="3245" xr:uid="{00000000-0005-0000-0000-000034210000}"/>
    <cellStyle name="Note 2 5 2 2 2" xfId="7467" xr:uid="{00000000-0005-0000-0000-000035210000}"/>
    <cellStyle name="Note 2 5 2 2 2 2" xfId="16793" xr:uid="{BC07941C-D627-4583-97E4-3EA8EFE2D667}"/>
    <cellStyle name="Note 2 5 2 2 3" xfId="12576" xr:uid="{B08DFECA-763E-4AD1-B133-11C32228FE30}"/>
    <cellStyle name="Note 2 5 2 3" xfId="5322" xr:uid="{00000000-0005-0000-0000-000036210000}"/>
    <cellStyle name="Note 2 5 2 3 2" xfId="14648" xr:uid="{1EAB1636-9B67-4F61-8468-6803E70F37F6}"/>
    <cellStyle name="Note 2 5 2 4" xfId="9610" xr:uid="{26530D10-1DF8-4FA4-8FC9-4C945AA92A94}"/>
    <cellStyle name="Note 2 5 2 4 2" xfId="18910" xr:uid="{118B09F5-8512-4FAB-9E66-6141A47344C6}"/>
    <cellStyle name="Note 2 5 2 5" xfId="10431" xr:uid="{8E526A06-1486-4FB3-8267-60354D3003C2}"/>
    <cellStyle name="Note 2 5 3" xfId="1428" xr:uid="{00000000-0005-0000-0000-000037210000}"/>
    <cellStyle name="Note 2 5 3 2" xfId="3658" xr:uid="{00000000-0005-0000-0000-000038210000}"/>
    <cellStyle name="Note 2 5 3 2 2" xfId="7880" xr:uid="{00000000-0005-0000-0000-000039210000}"/>
    <cellStyle name="Note 2 5 3 2 2 2" xfId="17206" xr:uid="{2CAD0FF3-5A7A-4D71-B444-2BAE7B7511AE}"/>
    <cellStyle name="Note 2 5 3 2 3" xfId="12989" xr:uid="{C0321E42-F5AA-4ED3-8097-05E56FC51CF2}"/>
    <cellStyle name="Note 2 5 3 3" xfId="5735" xr:uid="{00000000-0005-0000-0000-00003A210000}"/>
    <cellStyle name="Note 2 5 3 3 2" xfId="15061" xr:uid="{DBCB7059-6FE5-4011-8248-753C61BE6993}"/>
    <cellStyle name="Note 2 5 3 4" xfId="10844" xr:uid="{0233CB6E-BDED-427E-A88E-0081D5ED5112}"/>
    <cellStyle name="Note 2 5 4" xfId="1842" xr:uid="{00000000-0005-0000-0000-00003B210000}"/>
    <cellStyle name="Note 2 5 4 2" xfId="4071" xr:uid="{00000000-0005-0000-0000-00003C210000}"/>
    <cellStyle name="Note 2 5 4 2 2" xfId="8293" xr:uid="{00000000-0005-0000-0000-00003D210000}"/>
    <cellStyle name="Note 2 5 4 2 2 2" xfId="17619" xr:uid="{029577F1-8A2C-452A-AAFD-A740F239B254}"/>
    <cellStyle name="Note 2 5 4 2 3" xfId="13402" xr:uid="{703A96A9-FDE6-40C4-992D-0B7F638175E6}"/>
    <cellStyle name="Note 2 5 4 3" xfId="6148" xr:uid="{00000000-0005-0000-0000-00003E210000}"/>
    <cellStyle name="Note 2 5 4 3 2" xfId="15474" xr:uid="{B4C85F62-D11F-46D9-B48D-79F807935DA5}"/>
    <cellStyle name="Note 2 5 4 4" xfId="11257" xr:uid="{294C1D6D-1E04-4708-9661-AC7704B4F58C}"/>
    <cellStyle name="Note 2 5 5" xfId="2255" xr:uid="{00000000-0005-0000-0000-00003F210000}"/>
    <cellStyle name="Note 2 5 5 2" xfId="4484" xr:uid="{00000000-0005-0000-0000-000040210000}"/>
    <cellStyle name="Note 2 5 5 2 2" xfId="8706" xr:uid="{00000000-0005-0000-0000-000041210000}"/>
    <cellStyle name="Note 2 5 5 2 2 2" xfId="18032" xr:uid="{4B7096E6-260B-43B7-B8D8-45F09EFD9CB2}"/>
    <cellStyle name="Note 2 5 5 2 3" xfId="13815" xr:uid="{B8F1B119-ACD0-4E59-A0B2-5BB7C039D4E7}"/>
    <cellStyle name="Note 2 5 5 3" xfId="6561" xr:uid="{00000000-0005-0000-0000-000042210000}"/>
    <cellStyle name="Note 2 5 5 3 2" xfId="15887" xr:uid="{649DA81C-70CA-494D-9F91-731C79E8D0C3}"/>
    <cellStyle name="Note 2 5 5 4" xfId="11670" xr:uid="{8D171239-98E5-4A12-AB8F-CA9C1C190F16}"/>
    <cellStyle name="Note 2 5 6" xfId="2691" xr:uid="{00000000-0005-0000-0000-000043210000}"/>
    <cellStyle name="Note 2 5 6 2" xfId="6974" xr:uid="{00000000-0005-0000-0000-000044210000}"/>
    <cellStyle name="Note 2 5 6 2 2" xfId="16300" xr:uid="{3BFBF82B-5CFC-4679-BED0-D95EAB2F8AB9}"/>
    <cellStyle name="Note 2 5 6 3" xfId="12083" xr:uid="{3BD22927-93C4-4A4C-85D9-20D4C579DADC}"/>
    <cellStyle name="Note 2 5 7" xfId="2750" xr:uid="{00000000-0005-0000-0000-000045210000}"/>
    <cellStyle name="Note 2 5 8" xfId="2831" xr:uid="{00000000-0005-0000-0000-000046210000}"/>
    <cellStyle name="Note 2 5 8 2" xfId="7054" xr:uid="{00000000-0005-0000-0000-000047210000}"/>
    <cellStyle name="Note 2 5 8 2 2" xfId="16380" xr:uid="{219E3831-7DC4-4239-9688-F91876DE86BF}"/>
    <cellStyle name="Note 2 5 8 3" xfId="12163" xr:uid="{6743E745-AC5F-42A8-9367-C4A2188BF528}"/>
    <cellStyle name="Note 2 5 9" xfId="4909" xr:uid="{00000000-0005-0000-0000-000048210000}"/>
    <cellStyle name="Note 2 5 9 2" xfId="14235" xr:uid="{387C6574-43C2-4172-8BDF-4DF9939B829F}"/>
    <cellStyle name="Note 2 6" xfId="9587" xr:uid="{DE0DCBC9-1C06-4AD6-BDCF-10B3C6A625B6}"/>
    <cellStyle name="Note 2 7" xfId="8791" xr:uid="{7AC3614D-154D-4BB0-B207-B3151ECF2433}"/>
    <cellStyle name="Note 2 7 2" xfId="18115" xr:uid="{0EF547C7-FA5A-46CE-8AF9-62ED4E035409}"/>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16381" xr:uid="{26F5FFB6-4997-44B8-B690-0052A8A99F03}"/>
    <cellStyle name="Note 3 2 10 3" xfId="12164" xr:uid="{ECFE8746-EB6C-4245-9332-3327D1E44775}"/>
    <cellStyle name="Note 3 2 11" xfId="4910" xr:uid="{00000000-0005-0000-0000-00004D210000}"/>
    <cellStyle name="Note 3 2 11 2" xfId="14236" xr:uid="{A31A15AC-C694-4A8F-B39A-7514F6F5C6FA}"/>
    <cellStyle name="Note 3 2 12" xfId="8842" xr:uid="{646587AC-B7A9-43E2-AC1E-1B77745805D8}"/>
    <cellStyle name="Note 3 2 12 2" xfId="18166" xr:uid="{79114F74-6A67-4D25-B5C4-95E1B27F74AF}"/>
    <cellStyle name="Note 3 2 13" xfId="10019" xr:uid="{DB3C0778-25A2-492D-925D-7798415AA77E}"/>
    <cellStyle name="Note 3 2 2" xfId="555" xr:uid="{00000000-0005-0000-0000-00004E210000}"/>
    <cellStyle name="Note 3 2 2 10" xfId="4911" xr:uid="{00000000-0005-0000-0000-00004F210000}"/>
    <cellStyle name="Note 3 2 2 10 2" xfId="14237" xr:uid="{A39A7380-BCC5-4FD4-BCE3-653D26045BD5}"/>
    <cellStyle name="Note 3 2 2 11" xfId="8945" xr:uid="{D320AF38-4F47-4266-9CB9-3BD7E15BFDAE}"/>
    <cellStyle name="Note 3 2 2 11 2" xfId="18269" xr:uid="{DBD85427-E8AD-4764-A4C3-157DB5189E37}"/>
    <cellStyle name="Note 3 2 2 12" xfId="10020" xr:uid="{543DAEAA-5E22-4DD1-8DE6-389DD3E6A549}"/>
    <cellStyle name="Note 3 2 2 2" xfId="556" xr:uid="{00000000-0005-0000-0000-000050210000}"/>
    <cellStyle name="Note 3 2 2 2 10" xfId="9152" xr:uid="{24874F5B-4700-44ED-9556-84C4E89A274D}"/>
    <cellStyle name="Note 3 2 2 2 10 2" xfId="18476" xr:uid="{D27888DD-63D7-46F2-A624-0FDD2DBD29C9}"/>
    <cellStyle name="Note 3 2 2 2 11" xfId="10021" xr:uid="{ED852F2A-A065-4053-A854-4B2F70E633CC}"/>
    <cellStyle name="Note 3 2 2 2 2" xfId="1016" xr:uid="{00000000-0005-0000-0000-000051210000}"/>
    <cellStyle name="Note 3 2 2 2 2 2" xfId="3248" xr:uid="{00000000-0005-0000-0000-000052210000}"/>
    <cellStyle name="Note 3 2 2 2 2 2 2" xfId="7470" xr:uid="{00000000-0005-0000-0000-000053210000}"/>
    <cellStyle name="Note 3 2 2 2 2 2 2 2" xfId="16796" xr:uid="{22993733-4DBD-4421-926F-52C946E69E31}"/>
    <cellStyle name="Note 3 2 2 2 2 2 3" xfId="12579" xr:uid="{B90A13A7-31B6-4FE7-A562-558D9BA691BF}"/>
    <cellStyle name="Note 3 2 2 2 2 3" xfId="5325" xr:uid="{00000000-0005-0000-0000-000054210000}"/>
    <cellStyle name="Note 3 2 2 2 2 3 2" xfId="14651" xr:uid="{6B828CAB-2497-4387-9194-72724C7056C6}"/>
    <cellStyle name="Note 3 2 2 2 2 4" xfId="9577" xr:uid="{7C0C89D7-CA14-4942-89B2-D584AC810EDC}"/>
    <cellStyle name="Note 3 2 2 2 2 4 2" xfId="18892" xr:uid="{7F18F40D-C9E1-43C7-9B16-4A1A6066123F}"/>
    <cellStyle name="Note 3 2 2 2 2 5" xfId="10434" xr:uid="{370B8BAD-530A-4DA3-98BF-BEF437A6E9B2}"/>
    <cellStyle name="Note 3 2 2 2 3" xfId="1431" xr:uid="{00000000-0005-0000-0000-000055210000}"/>
    <cellStyle name="Note 3 2 2 2 3 2" xfId="3661" xr:uid="{00000000-0005-0000-0000-000056210000}"/>
    <cellStyle name="Note 3 2 2 2 3 2 2" xfId="7883" xr:uid="{00000000-0005-0000-0000-000057210000}"/>
    <cellStyle name="Note 3 2 2 2 3 2 2 2" xfId="17209" xr:uid="{440040EC-0178-46D7-BB5D-630FE0E503E9}"/>
    <cellStyle name="Note 3 2 2 2 3 2 3" xfId="12992" xr:uid="{190D5E6D-D565-477C-9607-DBA4506F06FA}"/>
    <cellStyle name="Note 3 2 2 2 3 3" xfId="5738" xr:uid="{00000000-0005-0000-0000-000058210000}"/>
    <cellStyle name="Note 3 2 2 2 3 3 2" xfId="15064" xr:uid="{4724E000-3CB4-47E6-BAFF-F7871028D857}"/>
    <cellStyle name="Note 3 2 2 2 3 4" xfId="10847" xr:uid="{61219D61-4ECA-4565-A7CA-E6F23121609A}"/>
    <cellStyle name="Note 3 2 2 2 4" xfId="1845" xr:uid="{00000000-0005-0000-0000-000059210000}"/>
    <cellStyle name="Note 3 2 2 2 4 2" xfId="4074" xr:uid="{00000000-0005-0000-0000-00005A210000}"/>
    <cellStyle name="Note 3 2 2 2 4 2 2" xfId="8296" xr:uid="{00000000-0005-0000-0000-00005B210000}"/>
    <cellStyle name="Note 3 2 2 2 4 2 2 2" xfId="17622" xr:uid="{F6B5B696-7BA2-483A-A8D4-74F762985551}"/>
    <cellStyle name="Note 3 2 2 2 4 2 3" xfId="13405" xr:uid="{CB66A106-2AE3-4F4A-B880-8F3668AAD917}"/>
    <cellStyle name="Note 3 2 2 2 4 3" xfId="6151" xr:uid="{00000000-0005-0000-0000-00005C210000}"/>
    <cellStyle name="Note 3 2 2 2 4 3 2" xfId="15477" xr:uid="{8956EB7E-BF09-4F34-BF46-87A78D1F336E}"/>
    <cellStyle name="Note 3 2 2 2 4 4" xfId="11260" xr:uid="{2DF3D6C0-B37E-4E84-9213-607417A34CD6}"/>
    <cellStyle name="Note 3 2 2 2 5" xfId="2258" xr:uid="{00000000-0005-0000-0000-00005D210000}"/>
    <cellStyle name="Note 3 2 2 2 5 2" xfId="4487" xr:uid="{00000000-0005-0000-0000-00005E210000}"/>
    <cellStyle name="Note 3 2 2 2 5 2 2" xfId="8709" xr:uid="{00000000-0005-0000-0000-00005F210000}"/>
    <cellStyle name="Note 3 2 2 2 5 2 2 2" xfId="18035" xr:uid="{DC5CE0FF-D1D3-4966-82F3-2F4CE0CF5CB0}"/>
    <cellStyle name="Note 3 2 2 2 5 2 3" xfId="13818" xr:uid="{38D39DE4-58D0-4752-8D1F-BC9DA5D946C9}"/>
    <cellStyle name="Note 3 2 2 2 5 3" xfId="6564" xr:uid="{00000000-0005-0000-0000-000060210000}"/>
    <cellStyle name="Note 3 2 2 2 5 3 2" xfId="15890" xr:uid="{759436A0-1F82-4738-812C-D1871EF474D1}"/>
    <cellStyle name="Note 3 2 2 2 5 4" xfId="11673" xr:uid="{FAD92A5B-E8ED-4194-B3E4-3712970F8949}"/>
    <cellStyle name="Note 3 2 2 2 6" xfId="2694" xr:uid="{00000000-0005-0000-0000-000061210000}"/>
    <cellStyle name="Note 3 2 2 2 6 2" xfId="6977" xr:uid="{00000000-0005-0000-0000-000062210000}"/>
    <cellStyle name="Note 3 2 2 2 6 2 2" xfId="16303" xr:uid="{E5551C16-F52D-4897-AEE1-7EA6C58A4E37}"/>
    <cellStyle name="Note 3 2 2 2 6 3" xfId="12086" xr:uid="{C92C61A4-7FF9-482F-B2F8-17344D5F9FF7}"/>
    <cellStyle name="Note 3 2 2 2 7" xfId="2753" xr:uid="{00000000-0005-0000-0000-000063210000}"/>
    <cellStyle name="Note 3 2 2 2 8" xfId="2834" xr:uid="{00000000-0005-0000-0000-000064210000}"/>
    <cellStyle name="Note 3 2 2 2 8 2" xfId="7057" xr:uid="{00000000-0005-0000-0000-000065210000}"/>
    <cellStyle name="Note 3 2 2 2 8 2 2" xfId="16383" xr:uid="{B4BBD325-4DBA-4307-B324-482861096062}"/>
    <cellStyle name="Note 3 2 2 2 8 3" xfId="12166" xr:uid="{41D3826A-7CF8-46B3-AA06-BA1655B63AD3}"/>
    <cellStyle name="Note 3 2 2 2 9" xfId="4912" xr:uid="{00000000-0005-0000-0000-000066210000}"/>
    <cellStyle name="Note 3 2 2 2 9 2" xfId="14238" xr:uid="{FAC7F963-A73A-4FBC-ACE4-B6ED314990BD}"/>
    <cellStyle name="Note 3 2 2 3" xfId="1015" xr:uid="{00000000-0005-0000-0000-000067210000}"/>
    <cellStyle name="Note 3 2 2 3 2" xfId="3247" xr:uid="{00000000-0005-0000-0000-000068210000}"/>
    <cellStyle name="Note 3 2 2 3 2 2" xfId="7469" xr:uid="{00000000-0005-0000-0000-000069210000}"/>
    <cellStyle name="Note 3 2 2 3 2 2 2" xfId="16795" xr:uid="{9B50EF7D-833B-4CCB-AC06-C0B5B80B6720}"/>
    <cellStyle name="Note 3 2 2 3 2 3" xfId="12578" xr:uid="{1C030E8B-CAC9-4846-BD5E-5A4375ACCA62}"/>
    <cellStyle name="Note 3 2 2 3 3" xfId="5324" xr:uid="{00000000-0005-0000-0000-00006A210000}"/>
    <cellStyle name="Note 3 2 2 3 3 2" xfId="14650" xr:uid="{4FB02DB6-C6BF-4EEB-9D59-0F64D475080B}"/>
    <cellStyle name="Note 3 2 2 3 4" xfId="9370" xr:uid="{7A803908-679B-4EF0-9BD4-89724B1FB321}"/>
    <cellStyle name="Note 3 2 2 3 4 2" xfId="18685" xr:uid="{749F7994-7D67-4D82-A922-F915DDEE7876}"/>
    <cellStyle name="Note 3 2 2 3 5" xfId="10433" xr:uid="{8D47648B-FA3F-4DA6-8CFD-5AD68A71D2C4}"/>
    <cellStyle name="Note 3 2 2 4" xfId="1430" xr:uid="{00000000-0005-0000-0000-00006B210000}"/>
    <cellStyle name="Note 3 2 2 4 2" xfId="3660" xr:uid="{00000000-0005-0000-0000-00006C210000}"/>
    <cellStyle name="Note 3 2 2 4 2 2" xfId="7882" xr:uid="{00000000-0005-0000-0000-00006D210000}"/>
    <cellStyle name="Note 3 2 2 4 2 2 2" xfId="17208" xr:uid="{1F1732F0-774B-43E8-AFE0-AB417B43E97D}"/>
    <cellStyle name="Note 3 2 2 4 2 3" xfId="12991" xr:uid="{D93B6583-294C-42EC-828E-87229B134863}"/>
    <cellStyle name="Note 3 2 2 4 3" xfId="5737" xr:uid="{00000000-0005-0000-0000-00006E210000}"/>
    <cellStyle name="Note 3 2 2 4 3 2" xfId="15063" xr:uid="{ECF37877-E3CA-4B1A-AD60-DFB0A213ABDA}"/>
    <cellStyle name="Note 3 2 2 4 4" xfId="10846" xr:uid="{88C4E124-0F9A-44EA-975B-34959FF4F1C0}"/>
    <cellStyle name="Note 3 2 2 5" xfId="1844" xr:uid="{00000000-0005-0000-0000-00006F210000}"/>
    <cellStyle name="Note 3 2 2 5 2" xfId="4073" xr:uid="{00000000-0005-0000-0000-000070210000}"/>
    <cellStyle name="Note 3 2 2 5 2 2" xfId="8295" xr:uid="{00000000-0005-0000-0000-000071210000}"/>
    <cellStyle name="Note 3 2 2 5 2 2 2" xfId="17621" xr:uid="{B6AC7D54-E320-4304-A1A0-39A78119FBA9}"/>
    <cellStyle name="Note 3 2 2 5 2 3" xfId="13404" xr:uid="{27A42A88-785D-495B-ADCC-0B8E5C7B1F12}"/>
    <cellStyle name="Note 3 2 2 5 3" xfId="6150" xr:uid="{00000000-0005-0000-0000-000072210000}"/>
    <cellStyle name="Note 3 2 2 5 3 2" xfId="15476" xr:uid="{960BE5F1-C106-4F4B-9ECC-979B821A5785}"/>
    <cellStyle name="Note 3 2 2 5 4" xfId="11259" xr:uid="{A973274C-FB3F-40E1-B90D-9F6DE3346D68}"/>
    <cellStyle name="Note 3 2 2 6" xfId="2257" xr:uid="{00000000-0005-0000-0000-000073210000}"/>
    <cellStyle name="Note 3 2 2 6 2" xfId="4486" xr:uid="{00000000-0005-0000-0000-000074210000}"/>
    <cellStyle name="Note 3 2 2 6 2 2" xfId="8708" xr:uid="{00000000-0005-0000-0000-000075210000}"/>
    <cellStyle name="Note 3 2 2 6 2 2 2" xfId="18034" xr:uid="{E43552A9-7FC6-4FDB-9658-1229E54FC611}"/>
    <cellStyle name="Note 3 2 2 6 2 3" xfId="13817" xr:uid="{6FF63CA1-1AAD-4112-8F11-9C6B20A48630}"/>
    <cellStyle name="Note 3 2 2 6 3" xfId="6563" xr:uid="{00000000-0005-0000-0000-000076210000}"/>
    <cellStyle name="Note 3 2 2 6 3 2" xfId="15889" xr:uid="{D6BAEFC5-9A62-4C38-A072-592A955E6779}"/>
    <cellStyle name="Note 3 2 2 6 4" xfId="11672" xr:uid="{0B34C7E9-4776-485F-A989-CA4766D70224}"/>
    <cellStyle name="Note 3 2 2 7" xfId="2693" xr:uid="{00000000-0005-0000-0000-000077210000}"/>
    <cellStyle name="Note 3 2 2 7 2" xfId="6976" xr:uid="{00000000-0005-0000-0000-000078210000}"/>
    <cellStyle name="Note 3 2 2 7 2 2" xfId="16302" xr:uid="{BDAD53B9-5418-45EF-B2BD-BC824F594B60}"/>
    <cellStyle name="Note 3 2 2 7 3" xfId="12085" xr:uid="{D7D0E272-30DB-4202-99FA-6ECE42A4FB70}"/>
    <cellStyle name="Note 3 2 2 8" xfId="2752" xr:uid="{00000000-0005-0000-0000-000079210000}"/>
    <cellStyle name="Note 3 2 2 9" xfId="2833" xr:uid="{00000000-0005-0000-0000-00007A210000}"/>
    <cellStyle name="Note 3 2 2 9 2" xfId="7056" xr:uid="{00000000-0005-0000-0000-00007B210000}"/>
    <cellStyle name="Note 3 2 2 9 2 2" xfId="16382" xr:uid="{D19FF139-27C2-4FE4-8932-3F6529B3ABF8}"/>
    <cellStyle name="Note 3 2 2 9 3" xfId="12165" xr:uid="{63EF4499-A70D-44F9-8C15-3FE6B3AF811C}"/>
    <cellStyle name="Note 3 2 3" xfId="557" xr:uid="{00000000-0005-0000-0000-00007C210000}"/>
    <cellStyle name="Note 3 2 3 10" xfId="9049" xr:uid="{98DA21AE-8EED-4AF2-A5D5-94394E9C9EFE}"/>
    <cellStyle name="Note 3 2 3 10 2" xfId="18373" xr:uid="{A2B92576-A06A-4EA3-98B9-F41D66968E99}"/>
    <cellStyle name="Note 3 2 3 11" xfId="10022" xr:uid="{A00969AD-3508-43C5-AD92-A3510E32086A}"/>
    <cellStyle name="Note 3 2 3 2" xfId="1017" xr:uid="{00000000-0005-0000-0000-00007D210000}"/>
    <cellStyle name="Note 3 2 3 2 2" xfId="3249" xr:uid="{00000000-0005-0000-0000-00007E210000}"/>
    <cellStyle name="Note 3 2 3 2 2 2" xfId="7471" xr:uid="{00000000-0005-0000-0000-00007F210000}"/>
    <cellStyle name="Note 3 2 3 2 2 2 2" xfId="16797" xr:uid="{68829088-754A-4CC4-97E6-F85ACEAF91CD}"/>
    <cellStyle name="Note 3 2 3 2 2 3" xfId="12580" xr:uid="{31F5DC87-3B3F-4860-A829-2939B416C230}"/>
    <cellStyle name="Note 3 2 3 2 3" xfId="5326" xr:uid="{00000000-0005-0000-0000-000080210000}"/>
    <cellStyle name="Note 3 2 3 2 3 2" xfId="14652" xr:uid="{A9398A9E-CB1B-4DB5-9D77-50770C7FA7E1}"/>
    <cellStyle name="Note 3 2 3 2 4" xfId="9474" xr:uid="{8827394E-7DCF-4E58-BF45-94E8587F7D91}"/>
    <cellStyle name="Note 3 2 3 2 4 2" xfId="18789" xr:uid="{D0E7DB17-E6BD-44F0-9B16-75BCF22E4B14}"/>
    <cellStyle name="Note 3 2 3 2 5" xfId="10435" xr:uid="{D3B6C2B1-9222-4230-8188-83E7F3034982}"/>
    <cellStyle name="Note 3 2 3 3" xfId="1432" xr:uid="{00000000-0005-0000-0000-000081210000}"/>
    <cellStyle name="Note 3 2 3 3 2" xfId="3662" xr:uid="{00000000-0005-0000-0000-000082210000}"/>
    <cellStyle name="Note 3 2 3 3 2 2" xfId="7884" xr:uid="{00000000-0005-0000-0000-000083210000}"/>
    <cellStyle name="Note 3 2 3 3 2 2 2" xfId="17210" xr:uid="{A4F70556-6330-4D5A-AB96-EFB886DE02F3}"/>
    <cellStyle name="Note 3 2 3 3 2 3" xfId="12993" xr:uid="{1D2B18A2-2E71-4366-A602-FB724D3D14D2}"/>
    <cellStyle name="Note 3 2 3 3 3" xfId="5739" xr:uid="{00000000-0005-0000-0000-000084210000}"/>
    <cellStyle name="Note 3 2 3 3 3 2" xfId="15065" xr:uid="{AD4B9F76-27A3-4137-AEB1-B49041954B16}"/>
    <cellStyle name="Note 3 2 3 3 4" xfId="10848" xr:uid="{AC92585D-7B91-4C56-9FA7-B623C6913BF1}"/>
    <cellStyle name="Note 3 2 3 4" xfId="1846" xr:uid="{00000000-0005-0000-0000-000085210000}"/>
    <cellStyle name="Note 3 2 3 4 2" xfId="4075" xr:uid="{00000000-0005-0000-0000-000086210000}"/>
    <cellStyle name="Note 3 2 3 4 2 2" xfId="8297" xr:uid="{00000000-0005-0000-0000-000087210000}"/>
    <cellStyle name="Note 3 2 3 4 2 2 2" xfId="17623" xr:uid="{700A6DDC-EFBD-4CF8-ACD2-327D8A691F3A}"/>
    <cellStyle name="Note 3 2 3 4 2 3" xfId="13406" xr:uid="{28382A96-A50E-46D8-8747-8EC15C7428E6}"/>
    <cellStyle name="Note 3 2 3 4 3" xfId="6152" xr:uid="{00000000-0005-0000-0000-000088210000}"/>
    <cellStyle name="Note 3 2 3 4 3 2" xfId="15478" xr:uid="{914F98B2-EEE3-40E5-8389-31838301A1A8}"/>
    <cellStyle name="Note 3 2 3 4 4" xfId="11261" xr:uid="{A1E4F70E-4CD8-4E62-BD63-BF8ACBE15D90}"/>
    <cellStyle name="Note 3 2 3 5" xfId="2259" xr:uid="{00000000-0005-0000-0000-000089210000}"/>
    <cellStyle name="Note 3 2 3 5 2" xfId="4488" xr:uid="{00000000-0005-0000-0000-00008A210000}"/>
    <cellStyle name="Note 3 2 3 5 2 2" xfId="8710" xr:uid="{00000000-0005-0000-0000-00008B210000}"/>
    <cellStyle name="Note 3 2 3 5 2 2 2" xfId="18036" xr:uid="{17DC00DC-6720-436C-B24B-4AA90EC605F8}"/>
    <cellStyle name="Note 3 2 3 5 2 3" xfId="13819" xr:uid="{EE090FAC-4330-4E13-AF99-25FE1053A5DD}"/>
    <cellStyle name="Note 3 2 3 5 3" xfId="6565" xr:uid="{00000000-0005-0000-0000-00008C210000}"/>
    <cellStyle name="Note 3 2 3 5 3 2" xfId="15891" xr:uid="{733FD460-4BE6-439B-97D4-76B7370CD6C2}"/>
    <cellStyle name="Note 3 2 3 5 4" xfId="11674" xr:uid="{FA83D7CE-0F68-4F0C-8BF8-785352F5EBCD}"/>
    <cellStyle name="Note 3 2 3 6" xfId="2695" xr:uid="{00000000-0005-0000-0000-00008D210000}"/>
    <cellStyle name="Note 3 2 3 6 2" xfId="6978" xr:uid="{00000000-0005-0000-0000-00008E210000}"/>
    <cellStyle name="Note 3 2 3 6 2 2" xfId="16304" xr:uid="{D457D68C-E530-4529-92DC-365D5997AE20}"/>
    <cellStyle name="Note 3 2 3 6 3" xfId="12087" xr:uid="{E58B2FFD-0FA5-496D-B14C-37C2ABE9F846}"/>
    <cellStyle name="Note 3 2 3 7" xfId="2754" xr:uid="{00000000-0005-0000-0000-00008F210000}"/>
    <cellStyle name="Note 3 2 3 8" xfId="2835" xr:uid="{00000000-0005-0000-0000-000090210000}"/>
    <cellStyle name="Note 3 2 3 8 2" xfId="7058" xr:uid="{00000000-0005-0000-0000-000091210000}"/>
    <cellStyle name="Note 3 2 3 8 2 2" xfId="16384" xr:uid="{B4443E2F-8E84-4EF5-91AB-266E45EEDF83}"/>
    <cellStyle name="Note 3 2 3 8 3" xfId="12167" xr:uid="{617E857B-B7A2-42E3-8002-9C869A5DB196}"/>
    <cellStyle name="Note 3 2 3 9" xfId="4913" xr:uid="{00000000-0005-0000-0000-000092210000}"/>
    <cellStyle name="Note 3 2 3 9 2" xfId="14239" xr:uid="{7525524C-EEB7-4D5A-972C-001BFD838056}"/>
    <cellStyle name="Note 3 2 4" xfId="1014" xr:uid="{00000000-0005-0000-0000-000093210000}"/>
    <cellStyle name="Note 3 2 4 2" xfId="3246" xr:uid="{00000000-0005-0000-0000-000094210000}"/>
    <cellStyle name="Note 3 2 4 2 2" xfId="7468" xr:uid="{00000000-0005-0000-0000-000095210000}"/>
    <cellStyle name="Note 3 2 4 2 2 2" xfId="16794" xr:uid="{0F3DD821-B86A-4F84-BEBD-2225C0C71387}"/>
    <cellStyle name="Note 3 2 4 2 3" xfId="12577" xr:uid="{9D83114A-0900-47BF-9364-7AD3E1F9EABB}"/>
    <cellStyle name="Note 3 2 4 3" xfId="5323" xr:uid="{00000000-0005-0000-0000-000096210000}"/>
    <cellStyle name="Note 3 2 4 3 2" xfId="14649" xr:uid="{2946DCF0-C489-4718-9B70-66E7CE954A84}"/>
    <cellStyle name="Note 3 2 4 4" xfId="9267" xr:uid="{1291CED5-E18E-4F1A-8856-A132B18F5C81}"/>
    <cellStyle name="Note 3 2 4 4 2" xfId="18582" xr:uid="{8AAEF6C0-345E-4541-BBB3-3A31933E7B0F}"/>
    <cellStyle name="Note 3 2 4 5" xfId="10432" xr:uid="{C601806E-B527-46C2-8573-73D6925640A8}"/>
    <cellStyle name="Note 3 2 5" xfId="1429" xr:uid="{00000000-0005-0000-0000-000097210000}"/>
    <cellStyle name="Note 3 2 5 2" xfId="3659" xr:uid="{00000000-0005-0000-0000-000098210000}"/>
    <cellStyle name="Note 3 2 5 2 2" xfId="7881" xr:uid="{00000000-0005-0000-0000-000099210000}"/>
    <cellStyle name="Note 3 2 5 2 2 2" xfId="17207" xr:uid="{D4CD5455-A5CF-484A-81D8-91E6E4AF8A72}"/>
    <cellStyle name="Note 3 2 5 2 3" xfId="12990" xr:uid="{6D17E756-5B04-4442-AB00-F3C5529AD6EB}"/>
    <cellStyle name="Note 3 2 5 3" xfId="5736" xr:uid="{00000000-0005-0000-0000-00009A210000}"/>
    <cellStyle name="Note 3 2 5 3 2" xfId="15062" xr:uid="{C0062277-0342-4273-9CE3-F1846AF19B20}"/>
    <cellStyle name="Note 3 2 5 4" xfId="10845" xr:uid="{BE321462-2D04-4F5A-B546-6384C8625F91}"/>
    <cellStyle name="Note 3 2 6" xfId="1843" xr:uid="{00000000-0005-0000-0000-00009B210000}"/>
    <cellStyle name="Note 3 2 6 2" xfId="4072" xr:uid="{00000000-0005-0000-0000-00009C210000}"/>
    <cellStyle name="Note 3 2 6 2 2" xfId="8294" xr:uid="{00000000-0005-0000-0000-00009D210000}"/>
    <cellStyle name="Note 3 2 6 2 2 2" xfId="17620" xr:uid="{783D09C5-03B8-4034-A557-76E4CF5ECB99}"/>
    <cellStyle name="Note 3 2 6 2 3" xfId="13403" xr:uid="{C459FA2E-30E3-47E2-AC01-F0E3F7C7CF3F}"/>
    <cellStyle name="Note 3 2 6 3" xfId="6149" xr:uid="{00000000-0005-0000-0000-00009E210000}"/>
    <cellStyle name="Note 3 2 6 3 2" xfId="15475" xr:uid="{E320DDC6-09DA-48C5-87ED-52851F9C6894}"/>
    <cellStyle name="Note 3 2 6 4" xfId="11258" xr:uid="{C3DC9D0A-A22F-43B1-8EA6-8F9FC3C636C6}"/>
    <cellStyle name="Note 3 2 7" xfId="2256" xr:uid="{00000000-0005-0000-0000-00009F210000}"/>
    <cellStyle name="Note 3 2 7 2" xfId="4485" xr:uid="{00000000-0005-0000-0000-0000A0210000}"/>
    <cellStyle name="Note 3 2 7 2 2" xfId="8707" xr:uid="{00000000-0005-0000-0000-0000A1210000}"/>
    <cellStyle name="Note 3 2 7 2 2 2" xfId="18033" xr:uid="{41510F73-41D8-4C55-BB1C-600DE49FF781}"/>
    <cellStyle name="Note 3 2 7 2 3" xfId="13816" xr:uid="{D6964E6A-9C80-4176-88D1-5E6A51F33622}"/>
    <cellStyle name="Note 3 2 7 3" xfId="6562" xr:uid="{00000000-0005-0000-0000-0000A2210000}"/>
    <cellStyle name="Note 3 2 7 3 2" xfId="15888" xr:uid="{B9501A36-8053-4FA6-877E-39D3E34A4A83}"/>
    <cellStyle name="Note 3 2 7 4" xfId="11671" xr:uid="{1E7FB575-099E-451D-80BF-313A408405C4}"/>
    <cellStyle name="Note 3 2 8" xfId="2692" xr:uid="{00000000-0005-0000-0000-0000A3210000}"/>
    <cellStyle name="Note 3 2 8 2" xfId="6975" xr:uid="{00000000-0005-0000-0000-0000A4210000}"/>
    <cellStyle name="Note 3 2 8 2 2" xfId="16301" xr:uid="{1B477F64-4887-4AC1-84D2-FDC91C5C8BDE}"/>
    <cellStyle name="Note 3 2 8 3" xfId="12084" xr:uid="{D8E33F69-E7C3-4115-8768-721151395CA6}"/>
    <cellStyle name="Note 3 2 9" xfId="2751" xr:uid="{00000000-0005-0000-0000-0000A5210000}"/>
    <cellStyle name="Note 3 3" xfId="558" xr:uid="{00000000-0005-0000-0000-0000A6210000}"/>
    <cellStyle name="Note 3 3 10" xfId="4914" xr:uid="{00000000-0005-0000-0000-0000A7210000}"/>
    <cellStyle name="Note 3 3 10 2" xfId="14240" xr:uid="{F2A247D8-F2E1-4CCB-B73F-3E434B662B5E}"/>
    <cellStyle name="Note 3 3 11" xfId="8892" xr:uid="{8511F94A-7472-4DD0-A9AB-40754FEE5F47}"/>
    <cellStyle name="Note 3 3 11 2" xfId="18216" xr:uid="{2557FB4C-07E6-4E4F-AA97-F36BE96849D2}"/>
    <cellStyle name="Note 3 3 12" xfId="10023" xr:uid="{5362A1D7-F648-4A95-BF89-4EEB9E02EE00}"/>
    <cellStyle name="Note 3 3 2" xfId="559" xr:uid="{00000000-0005-0000-0000-0000A8210000}"/>
    <cellStyle name="Note 3 3 2 10" xfId="9099" xr:uid="{29F3AC20-D296-4B59-BA53-0A5C025B0569}"/>
    <cellStyle name="Note 3 3 2 10 2" xfId="18423" xr:uid="{7826597E-66C4-4DF9-882B-409A0EDDAEC2}"/>
    <cellStyle name="Note 3 3 2 11" xfId="10024" xr:uid="{FA49B41A-775B-4523-BA0C-A73B6360B3F0}"/>
    <cellStyle name="Note 3 3 2 2" xfId="1019" xr:uid="{00000000-0005-0000-0000-0000A9210000}"/>
    <cellStyle name="Note 3 3 2 2 2" xfId="3251" xr:uid="{00000000-0005-0000-0000-0000AA210000}"/>
    <cellStyle name="Note 3 3 2 2 2 2" xfId="7473" xr:uid="{00000000-0005-0000-0000-0000AB210000}"/>
    <cellStyle name="Note 3 3 2 2 2 2 2" xfId="16799" xr:uid="{8E71554C-0220-46D2-B4C0-933C40F6710C}"/>
    <cellStyle name="Note 3 3 2 2 2 3" xfId="12582" xr:uid="{D0010F07-704C-45AC-97FF-8F3C89DC7323}"/>
    <cellStyle name="Note 3 3 2 2 3" xfId="5328" xr:uid="{00000000-0005-0000-0000-0000AC210000}"/>
    <cellStyle name="Note 3 3 2 2 3 2" xfId="14654" xr:uid="{5EA72714-112B-4B8B-9CBC-2353304FBC30}"/>
    <cellStyle name="Note 3 3 2 2 4" xfId="9524" xr:uid="{D03F5DE7-D9AB-48C0-A1E3-0A929D2C18C5}"/>
    <cellStyle name="Note 3 3 2 2 4 2" xfId="18839" xr:uid="{D9C9831E-E33E-4A8D-AF61-6D79FCB8CB90}"/>
    <cellStyle name="Note 3 3 2 2 5" xfId="10437" xr:uid="{F472F210-ED0E-4847-ADC8-89B0DB3AC497}"/>
    <cellStyle name="Note 3 3 2 3" xfId="1434" xr:uid="{00000000-0005-0000-0000-0000AD210000}"/>
    <cellStyle name="Note 3 3 2 3 2" xfId="3664" xr:uid="{00000000-0005-0000-0000-0000AE210000}"/>
    <cellStyle name="Note 3 3 2 3 2 2" xfId="7886" xr:uid="{00000000-0005-0000-0000-0000AF210000}"/>
    <cellStyle name="Note 3 3 2 3 2 2 2" xfId="17212" xr:uid="{FE8AB08B-7F75-48A4-AB3C-1BF70ECDEEE4}"/>
    <cellStyle name="Note 3 3 2 3 2 3" xfId="12995" xr:uid="{F49B3AAA-8FDB-4F5C-B177-FF0E3F7DD780}"/>
    <cellStyle name="Note 3 3 2 3 3" xfId="5741" xr:uid="{00000000-0005-0000-0000-0000B0210000}"/>
    <cellStyle name="Note 3 3 2 3 3 2" xfId="15067" xr:uid="{B677C914-D9FD-42E9-88F5-856286CAF197}"/>
    <cellStyle name="Note 3 3 2 3 4" xfId="10850" xr:uid="{432396F7-3257-4D71-8D64-EE9609BE0243}"/>
    <cellStyle name="Note 3 3 2 4" xfId="1848" xr:uid="{00000000-0005-0000-0000-0000B1210000}"/>
    <cellStyle name="Note 3 3 2 4 2" xfId="4077" xr:uid="{00000000-0005-0000-0000-0000B2210000}"/>
    <cellStyle name="Note 3 3 2 4 2 2" xfId="8299" xr:uid="{00000000-0005-0000-0000-0000B3210000}"/>
    <cellStyle name="Note 3 3 2 4 2 2 2" xfId="17625" xr:uid="{46C05073-2E1F-4B07-99F9-EA508E1319DA}"/>
    <cellStyle name="Note 3 3 2 4 2 3" xfId="13408" xr:uid="{37C6082E-9021-4FF5-9260-441867749980}"/>
    <cellStyle name="Note 3 3 2 4 3" xfId="6154" xr:uid="{00000000-0005-0000-0000-0000B4210000}"/>
    <cellStyle name="Note 3 3 2 4 3 2" xfId="15480" xr:uid="{28CB42E7-D739-464D-9709-DC63D5E2E462}"/>
    <cellStyle name="Note 3 3 2 4 4" xfId="11263" xr:uid="{87627390-E91C-41B6-B630-40F75B502C5D}"/>
    <cellStyle name="Note 3 3 2 5" xfId="2261" xr:uid="{00000000-0005-0000-0000-0000B5210000}"/>
    <cellStyle name="Note 3 3 2 5 2" xfId="4490" xr:uid="{00000000-0005-0000-0000-0000B6210000}"/>
    <cellStyle name="Note 3 3 2 5 2 2" xfId="8712" xr:uid="{00000000-0005-0000-0000-0000B7210000}"/>
    <cellStyle name="Note 3 3 2 5 2 2 2" xfId="18038" xr:uid="{E9ED9EC5-DC89-47A6-80AE-70D2C67F0ABB}"/>
    <cellStyle name="Note 3 3 2 5 2 3" xfId="13821" xr:uid="{2C22DE34-8808-45A2-9803-D5B2FB67A30D}"/>
    <cellStyle name="Note 3 3 2 5 3" xfId="6567" xr:uid="{00000000-0005-0000-0000-0000B8210000}"/>
    <cellStyle name="Note 3 3 2 5 3 2" xfId="15893" xr:uid="{AD1500DE-606B-40F0-B512-E6E513EEDB74}"/>
    <cellStyle name="Note 3 3 2 5 4" xfId="11676" xr:uid="{EF1D2D92-1137-4A97-A0FC-0D14013AE570}"/>
    <cellStyle name="Note 3 3 2 6" xfId="2697" xr:uid="{00000000-0005-0000-0000-0000B9210000}"/>
    <cellStyle name="Note 3 3 2 6 2" xfId="6980" xr:uid="{00000000-0005-0000-0000-0000BA210000}"/>
    <cellStyle name="Note 3 3 2 6 2 2" xfId="16306" xr:uid="{BDF61666-A331-4255-A127-1B938355D668}"/>
    <cellStyle name="Note 3 3 2 6 3" xfId="12089" xr:uid="{85681037-C177-4B19-83B6-B3861DBD229C}"/>
    <cellStyle name="Note 3 3 2 7" xfId="2756" xr:uid="{00000000-0005-0000-0000-0000BB210000}"/>
    <cellStyle name="Note 3 3 2 8" xfId="2837" xr:uid="{00000000-0005-0000-0000-0000BC210000}"/>
    <cellStyle name="Note 3 3 2 8 2" xfId="7060" xr:uid="{00000000-0005-0000-0000-0000BD210000}"/>
    <cellStyle name="Note 3 3 2 8 2 2" xfId="16386" xr:uid="{1312CDF4-18FF-4A18-AD7B-9B99C3A3A147}"/>
    <cellStyle name="Note 3 3 2 8 3" xfId="12169" xr:uid="{B7F533BD-4563-42D7-95E3-4B0ADE8764DD}"/>
    <cellStyle name="Note 3 3 2 9" xfId="4915" xr:uid="{00000000-0005-0000-0000-0000BE210000}"/>
    <cellStyle name="Note 3 3 2 9 2" xfId="14241" xr:uid="{C278972B-F15C-44DA-9FD1-0A2C82D757E8}"/>
    <cellStyle name="Note 3 3 3" xfId="1018" xr:uid="{00000000-0005-0000-0000-0000BF210000}"/>
    <cellStyle name="Note 3 3 3 2" xfId="3250" xr:uid="{00000000-0005-0000-0000-0000C0210000}"/>
    <cellStyle name="Note 3 3 3 2 2" xfId="7472" xr:uid="{00000000-0005-0000-0000-0000C1210000}"/>
    <cellStyle name="Note 3 3 3 2 2 2" xfId="16798" xr:uid="{BCD2EB81-4501-4254-A440-DE716488653E}"/>
    <cellStyle name="Note 3 3 3 2 3" xfId="12581" xr:uid="{BABD984D-B41A-4EE2-B64B-64B00C564F06}"/>
    <cellStyle name="Note 3 3 3 3" xfId="5327" xr:uid="{00000000-0005-0000-0000-0000C2210000}"/>
    <cellStyle name="Note 3 3 3 3 2" xfId="14653" xr:uid="{D08C53DB-C2B7-438E-901A-3CC3567EE8B5}"/>
    <cellStyle name="Note 3 3 3 4" xfId="9317" xr:uid="{171D8024-554D-4F15-BFD3-81CBE1A601EA}"/>
    <cellStyle name="Note 3 3 3 4 2" xfId="18632" xr:uid="{2C76404C-ADD6-487A-B03B-AECC96A69EA9}"/>
    <cellStyle name="Note 3 3 3 5" xfId="10436" xr:uid="{BFF89747-5DE6-4587-9E28-D6C587E538BF}"/>
    <cellStyle name="Note 3 3 4" xfId="1433" xr:uid="{00000000-0005-0000-0000-0000C3210000}"/>
    <cellStyle name="Note 3 3 4 2" xfId="3663" xr:uid="{00000000-0005-0000-0000-0000C4210000}"/>
    <cellStyle name="Note 3 3 4 2 2" xfId="7885" xr:uid="{00000000-0005-0000-0000-0000C5210000}"/>
    <cellStyle name="Note 3 3 4 2 2 2" xfId="17211" xr:uid="{A3C45117-586F-4673-A7CA-36A276D1F0D2}"/>
    <cellStyle name="Note 3 3 4 2 3" xfId="12994" xr:uid="{5C34F0DF-12AC-4BB6-9518-F3BEF2B1DC72}"/>
    <cellStyle name="Note 3 3 4 3" xfId="5740" xr:uid="{00000000-0005-0000-0000-0000C6210000}"/>
    <cellStyle name="Note 3 3 4 3 2" xfId="15066" xr:uid="{6F6AFD2E-D4EA-4ED3-9CE5-7D98BDD290BA}"/>
    <cellStyle name="Note 3 3 4 4" xfId="10849" xr:uid="{E404C78E-36B9-4954-936F-FFCD19963EAC}"/>
    <cellStyle name="Note 3 3 5" xfId="1847" xr:uid="{00000000-0005-0000-0000-0000C7210000}"/>
    <cellStyle name="Note 3 3 5 2" xfId="4076" xr:uid="{00000000-0005-0000-0000-0000C8210000}"/>
    <cellStyle name="Note 3 3 5 2 2" xfId="8298" xr:uid="{00000000-0005-0000-0000-0000C9210000}"/>
    <cellStyle name="Note 3 3 5 2 2 2" xfId="17624" xr:uid="{F9772604-051C-4B23-B2E9-3BAD044C684A}"/>
    <cellStyle name="Note 3 3 5 2 3" xfId="13407" xr:uid="{256B70C8-046D-454B-9978-6D616D46D53D}"/>
    <cellStyle name="Note 3 3 5 3" xfId="6153" xr:uid="{00000000-0005-0000-0000-0000CA210000}"/>
    <cellStyle name="Note 3 3 5 3 2" xfId="15479" xr:uid="{17AD1B89-5C6B-4534-B857-57E14FE811FE}"/>
    <cellStyle name="Note 3 3 5 4" xfId="11262" xr:uid="{A33CFA2F-C8E8-4DD4-AC30-C101FCB3D726}"/>
    <cellStyle name="Note 3 3 6" xfId="2260" xr:uid="{00000000-0005-0000-0000-0000CB210000}"/>
    <cellStyle name="Note 3 3 6 2" xfId="4489" xr:uid="{00000000-0005-0000-0000-0000CC210000}"/>
    <cellStyle name="Note 3 3 6 2 2" xfId="8711" xr:uid="{00000000-0005-0000-0000-0000CD210000}"/>
    <cellStyle name="Note 3 3 6 2 2 2" xfId="18037" xr:uid="{A180627F-502B-4A10-8A2D-D847BE4E303C}"/>
    <cellStyle name="Note 3 3 6 2 3" xfId="13820" xr:uid="{DD0BC21F-95E8-4FC6-9369-888557F29094}"/>
    <cellStyle name="Note 3 3 6 3" xfId="6566" xr:uid="{00000000-0005-0000-0000-0000CE210000}"/>
    <cellStyle name="Note 3 3 6 3 2" xfId="15892" xr:uid="{8A631B1B-DA76-413C-8CE4-4470A0112000}"/>
    <cellStyle name="Note 3 3 6 4" xfId="11675" xr:uid="{CD647F1C-8A4A-4110-AEAA-5767044594BB}"/>
    <cellStyle name="Note 3 3 7" xfId="2696" xr:uid="{00000000-0005-0000-0000-0000CF210000}"/>
    <cellStyle name="Note 3 3 7 2" xfId="6979" xr:uid="{00000000-0005-0000-0000-0000D0210000}"/>
    <cellStyle name="Note 3 3 7 2 2" xfId="16305" xr:uid="{80C1D6F1-E4BF-4776-AA50-A6ACA415B3BA}"/>
    <cellStyle name="Note 3 3 7 3" xfId="12088" xr:uid="{FBFBA8DC-DA31-4098-BC99-98A168C08F14}"/>
    <cellStyle name="Note 3 3 8" xfId="2755" xr:uid="{00000000-0005-0000-0000-0000D1210000}"/>
    <cellStyle name="Note 3 3 9" xfId="2836" xr:uid="{00000000-0005-0000-0000-0000D2210000}"/>
    <cellStyle name="Note 3 3 9 2" xfId="7059" xr:uid="{00000000-0005-0000-0000-0000D3210000}"/>
    <cellStyle name="Note 3 3 9 2 2" xfId="16385" xr:uid="{3C4634CB-F077-4797-A634-C9113DD9D107}"/>
    <cellStyle name="Note 3 3 9 3" xfId="12168" xr:uid="{D2C6B3D6-1BDF-4E64-826C-86BDE849B5CC}"/>
    <cellStyle name="Note 3 4" xfId="560" xr:uid="{00000000-0005-0000-0000-0000D4210000}"/>
    <cellStyle name="Note 3 4 10" xfId="8996" xr:uid="{0D704BEA-0820-4E61-9EA3-F4C1E73C6543}"/>
    <cellStyle name="Note 3 4 10 2" xfId="18320" xr:uid="{11FE8A60-640F-41AB-BCDB-FAB1AB33DD37}"/>
    <cellStyle name="Note 3 4 11" xfId="10025" xr:uid="{57C3FCE7-EBF9-48A0-B51B-E048EAD512D2}"/>
    <cellStyle name="Note 3 4 2" xfId="1020" xr:uid="{00000000-0005-0000-0000-0000D5210000}"/>
    <cellStyle name="Note 3 4 2 2" xfId="3252" xr:uid="{00000000-0005-0000-0000-0000D6210000}"/>
    <cellStyle name="Note 3 4 2 2 2" xfId="7474" xr:uid="{00000000-0005-0000-0000-0000D7210000}"/>
    <cellStyle name="Note 3 4 2 2 2 2" xfId="16800" xr:uid="{A5D627B6-D0FC-4C9C-83AA-F4476E49A78B}"/>
    <cellStyle name="Note 3 4 2 2 3" xfId="12583" xr:uid="{8263CB76-266C-4A59-B644-7A6334864C90}"/>
    <cellStyle name="Note 3 4 2 3" xfId="5329" xr:uid="{00000000-0005-0000-0000-0000D8210000}"/>
    <cellStyle name="Note 3 4 2 3 2" xfId="14655" xr:uid="{ACDF6EBC-EF18-4A69-88A7-D39E6BDD630B}"/>
    <cellStyle name="Note 3 4 2 4" xfId="9421" xr:uid="{EC0A57E0-416C-4EC5-866A-A09E44531CB5}"/>
    <cellStyle name="Note 3 4 2 4 2" xfId="18736" xr:uid="{C52F863F-CEED-4F3C-881A-C988346C2184}"/>
    <cellStyle name="Note 3 4 2 5" xfId="10438" xr:uid="{68A62BDF-9127-432C-AFE2-2A3EEB4D13DA}"/>
    <cellStyle name="Note 3 4 3" xfId="1435" xr:uid="{00000000-0005-0000-0000-0000D9210000}"/>
    <cellStyle name="Note 3 4 3 2" xfId="3665" xr:uid="{00000000-0005-0000-0000-0000DA210000}"/>
    <cellStyle name="Note 3 4 3 2 2" xfId="7887" xr:uid="{00000000-0005-0000-0000-0000DB210000}"/>
    <cellStyle name="Note 3 4 3 2 2 2" xfId="17213" xr:uid="{493C9E7C-C574-4C49-8D22-C9C867A5BF7F}"/>
    <cellStyle name="Note 3 4 3 2 3" xfId="12996" xr:uid="{114DB74F-B537-405E-8977-71C9071E39F3}"/>
    <cellStyle name="Note 3 4 3 3" xfId="5742" xr:uid="{00000000-0005-0000-0000-0000DC210000}"/>
    <cellStyle name="Note 3 4 3 3 2" xfId="15068" xr:uid="{FEF6C2C7-7AF1-40E9-82D8-8F3A5142C1D6}"/>
    <cellStyle name="Note 3 4 3 4" xfId="10851" xr:uid="{FC1FB72D-6059-45ED-8367-931021DC07F1}"/>
    <cellStyle name="Note 3 4 4" xfId="1849" xr:uid="{00000000-0005-0000-0000-0000DD210000}"/>
    <cellStyle name="Note 3 4 4 2" xfId="4078" xr:uid="{00000000-0005-0000-0000-0000DE210000}"/>
    <cellStyle name="Note 3 4 4 2 2" xfId="8300" xr:uid="{00000000-0005-0000-0000-0000DF210000}"/>
    <cellStyle name="Note 3 4 4 2 2 2" xfId="17626" xr:uid="{55BE3113-B8C6-498D-9B22-E8A87D1FA6AB}"/>
    <cellStyle name="Note 3 4 4 2 3" xfId="13409" xr:uid="{6D8C1AC9-9447-4A19-B403-0089BB05380A}"/>
    <cellStyle name="Note 3 4 4 3" xfId="6155" xr:uid="{00000000-0005-0000-0000-0000E0210000}"/>
    <cellStyle name="Note 3 4 4 3 2" xfId="15481" xr:uid="{F41A2354-66B4-4149-B105-A969D7B49E6F}"/>
    <cellStyle name="Note 3 4 4 4" xfId="11264" xr:uid="{55B044F1-480A-4F51-9963-D808DF6C64BD}"/>
    <cellStyle name="Note 3 4 5" xfId="2262" xr:uid="{00000000-0005-0000-0000-0000E1210000}"/>
    <cellStyle name="Note 3 4 5 2" xfId="4491" xr:uid="{00000000-0005-0000-0000-0000E2210000}"/>
    <cellStyle name="Note 3 4 5 2 2" xfId="8713" xr:uid="{00000000-0005-0000-0000-0000E3210000}"/>
    <cellStyle name="Note 3 4 5 2 2 2" xfId="18039" xr:uid="{1C07F586-D94E-4EED-BC63-5DDEF97EF69B}"/>
    <cellStyle name="Note 3 4 5 2 3" xfId="13822" xr:uid="{C321A753-B0C5-4C3C-A0D9-CFB494D005F5}"/>
    <cellStyle name="Note 3 4 5 3" xfId="6568" xr:uid="{00000000-0005-0000-0000-0000E4210000}"/>
    <cellStyle name="Note 3 4 5 3 2" xfId="15894" xr:uid="{CE55E99A-7999-469A-B1CD-86419B29A19F}"/>
    <cellStyle name="Note 3 4 5 4" xfId="11677" xr:uid="{C18D8C3A-F72B-45BB-9FD1-1D00FFA98E6C}"/>
    <cellStyle name="Note 3 4 6" xfId="2698" xr:uid="{00000000-0005-0000-0000-0000E5210000}"/>
    <cellStyle name="Note 3 4 6 2" xfId="6981" xr:uid="{00000000-0005-0000-0000-0000E6210000}"/>
    <cellStyle name="Note 3 4 6 2 2" xfId="16307" xr:uid="{E158E988-3FF7-4C99-B53F-8C86675A459D}"/>
    <cellStyle name="Note 3 4 6 3" xfId="12090" xr:uid="{6EEA5B94-64FB-4DD7-8E90-E5B69C4719DE}"/>
    <cellStyle name="Note 3 4 7" xfId="2757" xr:uid="{00000000-0005-0000-0000-0000E7210000}"/>
    <cellStyle name="Note 3 4 8" xfId="2838" xr:uid="{00000000-0005-0000-0000-0000E8210000}"/>
    <cellStyle name="Note 3 4 8 2" xfId="7061" xr:uid="{00000000-0005-0000-0000-0000E9210000}"/>
    <cellStyle name="Note 3 4 8 2 2" xfId="16387" xr:uid="{E22DDDF3-7161-407A-B8BB-5F027A5EEDE5}"/>
    <cellStyle name="Note 3 4 8 3" xfId="12170" xr:uid="{9626196D-DA62-4BF7-ABA6-27FBAACB3A08}"/>
    <cellStyle name="Note 3 4 9" xfId="4916" xr:uid="{00000000-0005-0000-0000-0000EA210000}"/>
    <cellStyle name="Note 3 4 9 2" xfId="14242" xr:uid="{3906F22C-2294-4EC2-9815-EAA90C0A3388}"/>
    <cellStyle name="Note 3 5" xfId="561" xr:uid="{00000000-0005-0000-0000-0000EB210000}"/>
    <cellStyle name="Note 3 5 10" xfId="9213" xr:uid="{D9D7FB9A-B03C-4A97-A778-36731B43DF3F}"/>
    <cellStyle name="Note 3 5 10 2" xfId="18529" xr:uid="{EBA65140-E354-4F2E-9821-AE8FAE0FD88D}"/>
    <cellStyle name="Note 3 5 11" xfId="10026" xr:uid="{FD2951CA-812A-431A-9E67-973B0A167342}"/>
    <cellStyle name="Note 3 5 2" xfId="1021" xr:uid="{00000000-0005-0000-0000-0000EC210000}"/>
    <cellStyle name="Note 3 5 2 2" xfId="3253" xr:uid="{00000000-0005-0000-0000-0000ED210000}"/>
    <cellStyle name="Note 3 5 2 2 2" xfId="7475" xr:uid="{00000000-0005-0000-0000-0000EE210000}"/>
    <cellStyle name="Note 3 5 2 2 2 2" xfId="16801" xr:uid="{0B90E50C-71B8-4962-B01F-E5548DB60A93}"/>
    <cellStyle name="Note 3 5 2 2 3" xfId="12584" xr:uid="{2917CBCA-A3F0-432F-9D65-DDCEAEBCF39E}"/>
    <cellStyle name="Note 3 5 2 3" xfId="5330" xr:uid="{00000000-0005-0000-0000-0000EF210000}"/>
    <cellStyle name="Note 3 5 2 3 2" xfId="14656" xr:uid="{071B8A4A-5D1F-4771-9D4C-DBBCC0CFE2C0}"/>
    <cellStyle name="Note 3 5 2 4" xfId="9611" xr:uid="{74765414-66B3-4FDA-BA21-3BFFEF98E338}"/>
    <cellStyle name="Note 3 5 2 4 2" xfId="18911" xr:uid="{7492E061-4CF2-4B3B-9F98-0A7E0BA944E9}"/>
    <cellStyle name="Note 3 5 2 5" xfId="10439" xr:uid="{03AF6063-B3A9-4691-8057-E516910AC78D}"/>
    <cellStyle name="Note 3 5 3" xfId="1436" xr:uid="{00000000-0005-0000-0000-0000F0210000}"/>
    <cellStyle name="Note 3 5 3 2" xfId="3666" xr:uid="{00000000-0005-0000-0000-0000F1210000}"/>
    <cellStyle name="Note 3 5 3 2 2" xfId="7888" xr:uid="{00000000-0005-0000-0000-0000F2210000}"/>
    <cellStyle name="Note 3 5 3 2 2 2" xfId="17214" xr:uid="{B059F628-9678-4E19-ACBE-9CEBF29EFB1A}"/>
    <cellStyle name="Note 3 5 3 2 3" xfId="12997" xr:uid="{6237EA88-4A50-47BE-AB7C-FAA8AC638EE7}"/>
    <cellStyle name="Note 3 5 3 3" xfId="5743" xr:uid="{00000000-0005-0000-0000-0000F3210000}"/>
    <cellStyle name="Note 3 5 3 3 2" xfId="15069" xr:uid="{ECBE60DE-BC34-4737-A308-507DD1B2BB07}"/>
    <cellStyle name="Note 3 5 3 4" xfId="10852" xr:uid="{68BFBD27-1581-4998-AA89-2F167699F264}"/>
    <cellStyle name="Note 3 5 4" xfId="1850" xr:uid="{00000000-0005-0000-0000-0000F4210000}"/>
    <cellStyle name="Note 3 5 4 2" xfId="4079" xr:uid="{00000000-0005-0000-0000-0000F5210000}"/>
    <cellStyle name="Note 3 5 4 2 2" xfId="8301" xr:uid="{00000000-0005-0000-0000-0000F6210000}"/>
    <cellStyle name="Note 3 5 4 2 2 2" xfId="17627" xr:uid="{39F48992-BAEB-4B66-8D52-0F328E44C57C}"/>
    <cellStyle name="Note 3 5 4 2 3" xfId="13410" xr:uid="{D829B748-5544-4BE4-A337-D8A1663A158A}"/>
    <cellStyle name="Note 3 5 4 3" xfId="6156" xr:uid="{00000000-0005-0000-0000-0000F7210000}"/>
    <cellStyle name="Note 3 5 4 3 2" xfId="15482" xr:uid="{49B54121-C614-4ADE-AB7D-AB89E70649AD}"/>
    <cellStyle name="Note 3 5 4 4" xfId="11265" xr:uid="{9CCBB01D-3427-4B21-9ED9-8AE7217E29E6}"/>
    <cellStyle name="Note 3 5 5" xfId="2263" xr:uid="{00000000-0005-0000-0000-0000F8210000}"/>
    <cellStyle name="Note 3 5 5 2" xfId="4492" xr:uid="{00000000-0005-0000-0000-0000F9210000}"/>
    <cellStyle name="Note 3 5 5 2 2" xfId="8714" xr:uid="{00000000-0005-0000-0000-0000FA210000}"/>
    <cellStyle name="Note 3 5 5 2 2 2" xfId="18040" xr:uid="{727DCCDB-8669-4272-9926-4A210FBD5366}"/>
    <cellStyle name="Note 3 5 5 2 3" xfId="13823" xr:uid="{FA2DA7B9-BFD1-4099-914A-A5610347BCFA}"/>
    <cellStyle name="Note 3 5 5 3" xfId="6569" xr:uid="{00000000-0005-0000-0000-0000FB210000}"/>
    <cellStyle name="Note 3 5 5 3 2" xfId="15895" xr:uid="{AEDA5EEE-06F4-4AFC-8D29-F140999799E7}"/>
    <cellStyle name="Note 3 5 5 4" xfId="11678" xr:uid="{A5BB205E-3AC7-4AA0-A162-C9433E96941F}"/>
    <cellStyle name="Note 3 5 6" xfId="2699" xr:uid="{00000000-0005-0000-0000-0000FC210000}"/>
    <cellStyle name="Note 3 5 6 2" xfId="6982" xr:uid="{00000000-0005-0000-0000-0000FD210000}"/>
    <cellStyle name="Note 3 5 6 2 2" xfId="16308" xr:uid="{09900ECA-20F3-4EA1-AF38-003AD69DDED6}"/>
    <cellStyle name="Note 3 5 6 3" xfId="12091" xr:uid="{DA1E2F5E-B806-4D07-8D92-C7A7920E0F0B}"/>
    <cellStyle name="Note 3 5 7" xfId="2758" xr:uid="{00000000-0005-0000-0000-0000FE210000}"/>
    <cellStyle name="Note 3 5 8" xfId="2839" xr:uid="{00000000-0005-0000-0000-0000FF210000}"/>
    <cellStyle name="Note 3 5 8 2" xfId="7062" xr:uid="{00000000-0005-0000-0000-000000220000}"/>
    <cellStyle name="Note 3 5 8 2 2" xfId="16388" xr:uid="{1F7525D3-8970-4246-BD85-537E23E2EA61}"/>
    <cellStyle name="Note 3 5 8 3" xfId="12171" xr:uid="{684DA945-BA7C-4CF9-9FC9-47A4DBC4C443}"/>
    <cellStyle name="Note 3 5 9" xfId="4917" xr:uid="{00000000-0005-0000-0000-000001220000}"/>
    <cellStyle name="Note 3 5 9 2" xfId="14243" xr:uid="{E45DC402-119F-4F38-987C-41FB8A1980AF}"/>
    <cellStyle name="Note 3 6" xfId="9588" xr:uid="{4A2A2C5B-BA67-4FBC-A2F1-7546BE1E0E7F}"/>
    <cellStyle name="Note 3 7" xfId="8789" xr:uid="{EE6BC007-A514-4F23-A927-A69B937DFEC6}"/>
    <cellStyle name="Note 3 7 2" xfId="18113" xr:uid="{AF2ABD4C-9A58-4284-8FAA-10DD7A56F645}"/>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3 2 2" xfId="18896" xr:uid="{7BF4484E-B62A-4A45-9785-519D6A96EBAD}"/>
    <cellStyle name="Percent 3 3" xfId="13826" xr:uid="{73EBF927-A321-4A86-94E7-1201AE82CC3E}"/>
    <cellStyle name="Percent 4" xfId="4502" xr:uid="{00000000-0005-0000-0000-000007220000}"/>
    <cellStyle name="Percent 4 2" xfId="8717" xr:uid="{00000000-0005-0000-0000-000008220000}"/>
    <cellStyle name="Percent 4 2 2" xfId="18043" xr:uid="{DF67E0D7-E0EE-4DF8-A399-49D4E0E63A5F}"/>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Percent 4 3 2 2 2 2 2 2" xfId="18062" xr:uid="{FA6B7052-76CD-402E-99B9-B7A1D243C428}"/>
    <cellStyle name="Percent 4 3 2 2 2 2 3" xfId="18059" xr:uid="{9CCBBDEA-471D-42F0-970F-3248D5DE6E6D}"/>
    <cellStyle name="Percent 4 3 2 2 2 3" xfId="18056" xr:uid="{7D0910D0-A617-4E79-9CDA-CC7187098446}"/>
    <cellStyle name="Percent 4 3 2 2 3" xfId="18052" xr:uid="{E1339B7F-34EF-417E-B54B-44BCB6A3D438}"/>
    <cellStyle name="Percent 4 3 2 3" xfId="18049" xr:uid="{B37C5A12-1B42-46D6-A44D-7C6360663BCF}"/>
    <cellStyle name="Percent 4 3 3" xfId="18046" xr:uid="{666D0EE0-9AFF-4F5E-B517-0F33C0594A61}"/>
    <cellStyle name="Percent 4 4" xfId="13829" xr:uid="{347D4050-7981-4F95-841A-0581B1525F4B}"/>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3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6" t="s">
        <v>550</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5"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6" t="s">
        <v>1995</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55"/>
    </row>
    <row r="8" spans="1:38">
      <c r="A8" s="204"/>
      <c r="B8" s="204"/>
      <c r="C8" s="205"/>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55"/>
    </row>
    <row r="9" spans="1:38">
      <c r="A9" s="204"/>
      <c r="B9" s="204"/>
      <c r="C9" s="205"/>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6" t="s">
        <v>1996</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55"/>
    </row>
    <row r="12" spans="1:38">
      <c r="A12" s="204"/>
      <c r="B12" s="204"/>
      <c r="C12" s="205"/>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55"/>
    </row>
    <row r="13" spans="1:38">
      <c r="A13" s="204"/>
      <c r="B13" s="204"/>
      <c r="C13" s="205"/>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6" t="s">
        <v>2531</v>
      </c>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55"/>
    </row>
    <row r="16" spans="1:38" ht="13.15" customHeight="1">
      <c r="A16" s="204"/>
      <c r="B16" s="204"/>
      <c r="C16" s="205"/>
      <c r="D16" s="1266"/>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55"/>
    </row>
    <row r="17" spans="1:38">
      <c r="A17" s="204"/>
      <c r="B17" s="204"/>
      <c r="C17" s="205"/>
      <c r="D17" s="1266"/>
      <c r="E17" s="1266"/>
      <c r="F17" s="1266"/>
      <c r="G17" s="1266"/>
      <c r="H17" s="1266"/>
      <c r="I17" s="1266"/>
      <c r="J17" s="1266"/>
      <c r="K17" s="1266"/>
      <c r="L17" s="1266"/>
      <c r="M17" s="1266"/>
      <c r="N17" s="1266"/>
      <c r="O17" s="1266"/>
      <c r="P17" s="1266"/>
      <c r="Q17" s="1266"/>
      <c r="R17" s="1266"/>
      <c r="S17" s="1266"/>
      <c r="T17" s="1266"/>
      <c r="U17" s="1266"/>
      <c r="V17" s="1266"/>
      <c r="W17" s="1266"/>
      <c r="X17" s="1266"/>
      <c r="Y17" s="1266"/>
      <c r="Z17" s="1266"/>
      <c r="AA17" s="1266"/>
      <c r="AB17" s="1266"/>
      <c r="AC17" s="1266"/>
      <c r="AD17" s="1266"/>
      <c r="AE17" s="1266"/>
      <c r="AF17" s="1266"/>
      <c r="AG17" s="1266"/>
      <c r="AH17" s="1266"/>
      <c r="AI17" s="1266"/>
      <c r="AJ17" s="1266"/>
      <c r="AK17" s="1266"/>
      <c r="AL17" s="455"/>
    </row>
    <row r="18" spans="1:38">
      <c r="A18" s="204"/>
      <c r="B18" s="204"/>
      <c r="C18" s="205"/>
      <c r="D18" s="519" t="s">
        <v>2530</v>
      </c>
      <c r="E18" s="441"/>
      <c r="G18" s="441"/>
      <c r="H18" s="441"/>
      <c r="I18" s="441"/>
      <c r="J18" s="1279" t="s">
        <v>2529</v>
      </c>
      <c r="K18" s="1279"/>
      <c r="L18" s="1279"/>
      <c r="M18" s="1279"/>
      <c r="N18" s="1279"/>
      <c r="O18" s="1279"/>
      <c r="P18" s="1279"/>
      <c r="Q18" s="1279"/>
      <c r="R18" s="1279"/>
      <c r="S18" s="1279"/>
      <c r="T18" s="1279"/>
      <c r="U18" s="1279"/>
      <c r="V18" s="1279"/>
      <c r="W18" s="1279"/>
      <c r="X18" s="1279"/>
      <c r="Y18" s="1279"/>
      <c r="Z18" s="1279"/>
      <c r="AA18" s="1279"/>
      <c r="AB18" s="1279"/>
      <c r="AC18" s="1279"/>
      <c r="AD18" s="1279"/>
      <c r="AE18" s="1279"/>
      <c r="AF18" s="1279"/>
      <c r="AG18" s="1279"/>
      <c r="AH18" s="1279"/>
      <c r="AI18" s="1279"/>
      <c r="AJ18" s="1279"/>
      <c r="AK18" s="1279"/>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6" t="s">
        <v>1997</v>
      </c>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04"/>
    </row>
    <row r="21" spans="1:38">
      <c r="A21" s="204"/>
      <c r="B21" s="204"/>
      <c r="C21" s="205"/>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04"/>
    </row>
    <row r="22" spans="1:38">
      <c r="A22" s="204"/>
      <c r="B22" s="204"/>
      <c r="C22" s="205"/>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04"/>
    </row>
    <row r="23" spans="1:38" ht="13.15" customHeight="1">
      <c r="A23" s="204"/>
      <c r="B23" s="204"/>
      <c r="C23" s="205"/>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04"/>
    </row>
    <row r="24" spans="1:38">
      <c r="A24" s="204"/>
      <c r="B24" s="204"/>
      <c r="C24" s="205"/>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04"/>
    </row>
    <row r="25" spans="1:38">
      <c r="A25" s="204"/>
      <c r="B25" s="204"/>
      <c r="C25" s="205"/>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04"/>
    </row>
    <row r="26" spans="1:38">
      <c r="A26" s="204"/>
      <c r="B26" s="204"/>
      <c r="C26" s="205"/>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04"/>
    </row>
    <row r="27" spans="1:38">
      <c r="A27" s="204"/>
      <c r="B27" s="204"/>
      <c r="C27" s="205"/>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04"/>
    </row>
    <row r="28" spans="1:38">
      <c r="A28" s="204"/>
      <c r="B28" s="204"/>
      <c r="C28" s="205"/>
      <c r="D28" s="1266"/>
      <c r="E28" s="1266"/>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6" t="s">
        <v>1998</v>
      </c>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04"/>
    </row>
    <row r="31" spans="1:38">
      <c r="A31" s="204"/>
      <c r="B31" s="204"/>
      <c r="C31" s="205"/>
      <c r="D31" s="455"/>
      <c r="E31" s="1267" t="s">
        <v>2609</v>
      </c>
      <c r="F31" s="1268"/>
      <c r="G31" s="1268"/>
      <c r="H31" s="1268"/>
      <c r="I31" s="1268"/>
      <c r="J31" s="1268"/>
      <c r="K31" s="1268"/>
      <c r="L31" s="1268"/>
      <c r="M31" s="1268"/>
      <c r="N31" s="1268"/>
      <c r="O31" s="1268"/>
      <c r="P31" s="1268"/>
      <c r="Q31" s="1268"/>
      <c r="R31" s="1268"/>
      <c r="S31" s="1268"/>
      <c r="T31" s="1268"/>
      <c r="U31" s="1268"/>
      <c r="V31" s="1268"/>
      <c r="W31" s="1268"/>
      <c r="X31" s="1268"/>
      <c r="Y31" s="1268"/>
      <c r="Z31" s="1268"/>
      <c r="AA31" s="1268"/>
      <c r="AB31" s="1268"/>
      <c r="AC31" s="1268"/>
      <c r="AD31" s="1268"/>
      <c r="AE31" s="1268"/>
      <c r="AF31" s="1268"/>
      <c r="AG31" s="1268"/>
      <c r="AH31" s="1268"/>
      <c r="AI31" s="1268"/>
      <c r="AJ31" s="1268"/>
      <c r="AK31" s="1268"/>
      <c r="AL31" s="204"/>
    </row>
    <row r="32" spans="1:38">
      <c r="A32" s="4"/>
      <c r="C32" s="2"/>
    </row>
    <row r="33" spans="1:38">
      <c r="A33" s="4"/>
      <c r="D33" s="1278" t="s">
        <v>2098</v>
      </c>
      <c r="E33" s="1278"/>
      <c r="F33" s="1278"/>
      <c r="G33" s="1278"/>
      <c r="H33" s="1278"/>
      <c r="I33" s="1278"/>
      <c r="J33" s="1278"/>
      <c r="K33" s="1278"/>
      <c r="L33" s="1278"/>
      <c r="M33" s="1278"/>
      <c r="N33" s="1278"/>
      <c r="O33" s="1278"/>
      <c r="P33" s="1278"/>
      <c r="Q33" s="1278"/>
      <c r="R33" s="1278"/>
      <c r="S33" s="1278"/>
      <c r="T33" s="1278"/>
      <c r="U33" s="1278"/>
      <c r="V33" s="1278"/>
      <c r="W33" s="1278"/>
      <c r="X33" s="1278"/>
      <c r="Y33" s="1278"/>
      <c r="Z33" s="1278"/>
      <c r="AA33" s="1278"/>
      <c r="AB33" s="1278"/>
      <c r="AC33" s="1278"/>
      <c r="AD33" s="1278"/>
      <c r="AE33" s="1278"/>
      <c r="AF33" s="1278"/>
      <c r="AG33" s="1278"/>
      <c r="AH33" s="1278"/>
      <c r="AI33" s="1278"/>
      <c r="AJ33" s="1278"/>
      <c r="AK33" s="1278"/>
    </row>
    <row r="34" spans="1:38">
      <c r="A34" s="4"/>
      <c r="D34" s="1278"/>
      <c r="E34" s="1278"/>
      <c r="F34" s="1278"/>
      <c r="G34" s="1278"/>
      <c r="H34" s="1278"/>
      <c r="I34" s="1278"/>
      <c r="J34" s="1278"/>
      <c r="K34" s="1278"/>
      <c r="L34" s="1278"/>
      <c r="M34" s="1278"/>
      <c r="N34" s="1278"/>
      <c r="O34" s="1278"/>
      <c r="P34" s="1278"/>
      <c r="Q34" s="1278"/>
      <c r="R34" s="1278"/>
      <c r="S34" s="1278"/>
      <c r="T34" s="1278"/>
      <c r="U34" s="1278"/>
      <c r="V34" s="1278"/>
      <c r="W34" s="1278"/>
      <c r="X34" s="1278"/>
      <c r="Y34" s="1278"/>
      <c r="Z34" s="1278"/>
      <c r="AA34" s="1278"/>
      <c r="AB34" s="1278"/>
      <c r="AC34" s="1278"/>
      <c r="AD34" s="1278"/>
      <c r="AE34" s="1278"/>
      <c r="AF34" s="1278"/>
      <c r="AG34" s="1278"/>
      <c r="AH34" s="1278"/>
      <c r="AI34" s="1278"/>
      <c r="AJ34" s="1278"/>
      <c r="AK34" s="1278"/>
    </row>
    <row r="35" spans="1:38">
      <c r="A35" s="4"/>
      <c r="D35" s="120"/>
      <c r="E35" s="1273" t="s">
        <v>2610</v>
      </c>
      <c r="F35" s="1273"/>
      <c r="G35" s="1273"/>
      <c r="H35" s="1273"/>
      <c r="I35" s="1273"/>
      <c r="J35" s="1273"/>
      <c r="K35" s="1273"/>
      <c r="L35" s="1273"/>
      <c r="M35" s="1273"/>
      <c r="N35" s="1273"/>
      <c r="O35" s="1273"/>
      <c r="P35" s="1273"/>
      <c r="Q35" s="1273"/>
      <c r="R35" s="1273"/>
      <c r="S35" s="1273"/>
      <c r="T35" s="1273"/>
      <c r="U35" s="1273"/>
      <c r="V35" s="1273"/>
      <c r="W35" s="1273"/>
      <c r="X35" s="1273"/>
      <c r="Y35" s="1273"/>
      <c r="Z35" s="1273"/>
      <c r="AA35" s="1273"/>
      <c r="AB35" s="1273"/>
      <c r="AC35" s="1273"/>
      <c r="AD35" s="1273"/>
      <c r="AE35" s="1273"/>
      <c r="AF35" s="1273"/>
      <c r="AG35" s="1273"/>
      <c r="AH35" s="1273"/>
      <c r="AI35" s="1273"/>
      <c r="AJ35" s="1273"/>
      <c r="AK35" s="1273"/>
    </row>
    <row r="36" spans="1:38">
      <c r="A36" s="4"/>
      <c r="D36" s="120"/>
      <c r="E36" s="1273" t="s">
        <v>2611</v>
      </c>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B36" s="1273"/>
      <c r="AC36" s="1273"/>
      <c r="AD36" s="1273"/>
      <c r="AE36" s="1273"/>
      <c r="AF36" s="1273"/>
      <c r="AG36" s="1273"/>
      <c r="AH36" s="1273"/>
      <c r="AI36" s="1273"/>
      <c r="AJ36" s="1273"/>
      <c r="AK36" s="1273"/>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6" customFormat="1" ht="13.15" customHeight="1">
      <c r="A40" s="4"/>
      <c r="B40"/>
      <c r="C40" s="2"/>
      <c r="D40" s="4"/>
      <c r="E40" s="4" t="s">
        <v>653</v>
      </c>
      <c r="F40" s="1266" t="s">
        <v>1164</v>
      </c>
    </row>
    <row r="41" spans="1:38" s="1266" customFormat="1" ht="13.1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72" t="s">
        <v>1246</v>
      </c>
      <c r="G43" s="1272"/>
      <c r="H43" s="1272"/>
      <c r="I43" s="1272"/>
      <c r="J43" s="1272"/>
      <c r="K43" s="1272"/>
      <c r="L43" s="1272"/>
      <c r="M43" s="1272"/>
      <c r="N43" s="1272"/>
      <c r="O43" s="1272"/>
      <c r="P43" s="1272"/>
      <c r="Q43" s="1272"/>
      <c r="R43" s="1272"/>
      <c r="S43" s="1272"/>
      <c r="T43" s="1272"/>
      <c r="U43" s="1272"/>
      <c r="V43" s="1272"/>
      <c r="W43" s="1272"/>
      <c r="X43" s="1272"/>
      <c r="Y43" s="1272"/>
      <c r="Z43" s="1272"/>
      <c r="AA43" s="1272"/>
      <c r="AB43" s="1272"/>
      <c r="AC43" s="1272"/>
      <c r="AD43" s="1272"/>
      <c r="AE43" s="1272"/>
      <c r="AF43" s="1272"/>
      <c r="AG43" s="1272"/>
      <c r="AH43" s="1272"/>
      <c r="AI43" s="1272"/>
      <c r="AJ43" s="1272"/>
      <c r="AK43" s="1272"/>
      <c r="AL43" s="1272"/>
    </row>
    <row r="44" spans="1:38" s="118" customFormat="1">
      <c r="A44" s="4"/>
      <c r="B44"/>
      <c r="C44" s="2"/>
      <c r="D44" s="4"/>
      <c r="E44" s="4"/>
      <c r="F44" s="1272"/>
      <c r="G44" s="1272"/>
      <c r="H44" s="1272"/>
      <c r="I44" s="1272"/>
      <c r="J44" s="1272"/>
      <c r="K44" s="1272"/>
      <c r="L44" s="1272"/>
      <c r="M44" s="1272"/>
      <c r="N44" s="1272"/>
      <c r="O44" s="1272"/>
      <c r="P44" s="1272"/>
      <c r="Q44" s="1272"/>
      <c r="R44" s="1272"/>
      <c r="S44" s="1272"/>
      <c r="T44" s="1272"/>
      <c r="U44" s="1272"/>
      <c r="V44" s="1272"/>
      <c r="W44" s="1272"/>
      <c r="X44" s="1272"/>
      <c r="Y44" s="1272"/>
      <c r="Z44" s="1272"/>
      <c r="AA44" s="1272"/>
      <c r="AB44" s="1272"/>
      <c r="AC44" s="1272"/>
      <c r="AD44" s="1272"/>
      <c r="AE44" s="1272"/>
      <c r="AF44" s="1272"/>
      <c r="AG44" s="1272"/>
      <c r="AH44" s="1272"/>
      <c r="AI44" s="1272"/>
      <c r="AJ44" s="1272"/>
      <c r="AK44" s="1272"/>
      <c r="AL44" s="1272"/>
    </row>
    <row r="45" spans="1:38" s="118" customFormat="1" ht="13.15" customHeight="1">
      <c r="A45" s="4"/>
      <c r="B45"/>
      <c r="C45" s="2"/>
      <c r="D45" s="4"/>
      <c r="E45" s="4"/>
      <c r="F45" s="1272"/>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c r="A46" s="4"/>
      <c r="C46" s="2"/>
      <c r="D46" s="4"/>
      <c r="E46" s="4"/>
      <c r="F46" s="118" t="s">
        <v>687</v>
      </c>
      <c r="G46" s="3" t="s">
        <v>1999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6" t="s">
        <v>2000</v>
      </c>
      <c r="G48" s="1266"/>
      <c r="H48" s="1266"/>
      <c r="I48" s="1266"/>
      <c r="J48" s="1266"/>
      <c r="K48" s="1266"/>
      <c r="L48" s="1266"/>
      <c r="M48" s="1266"/>
      <c r="N48" s="1266"/>
      <c r="O48" s="1266"/>
      <c r="P48" s="1266"/>
      <c r="Q48" s="1266"/>
      <c r="R48" s="1266"/>
      <c r="S48" s="1266"/>
      <c r="T48" s="1266"/>
      <c r="U48" s="1266"/>
      <c r="V48" s="1266"/>
      <c r="W48" s="1266"/>
      <c r="X48" s="1266"/>
      <c r="Y48" s="1266"/>
      <c r="Z48" s="1266"/>
      <c r="AA48" s="1266"/>
      <c r="AB48" s="1266"/>
      <c r="AC48" s="1266"/>
      <c r="AD48" s="1266"/>
      <c r="AE48" s="1266"/>
      <c r="AF48" s="1266"/>
      <c r="AG48" s="1266"/>
      <c r="AH48" s="1266"/>
      <c r="AI48" s="1266"/>
      <c r="AJ48" s="1266"/>
      <c r="AK48" s="1266"/>
    </row>
    <row r="49" spans="1:38">
      <c r="A49" s="4"/>
      <c r="C49" s="2"/>
      <c r="D49" s="4"/>
      <c r="E49" s="4"/>
      <c r="F49" s="1266"/>
      <c r="G49" s="1266"/>
      <c r="H49" s="1266"/>
      <c r="I49" s="1266"/>
      <c r="J49" s="1266"/>
      <c r="K49" s="1266"/>
      <c r="L49" s="1266"/>
      <c r="M49" s="1266"/>
      <c r="N49" s="1266"/>
      <c r="O49" s="1266"/>
      <c r="P49" s="1266"/>
      <c r="Q49" s="1266"/>
      <c r="R49" s="1266"/>
      <c r="S49" s="1266"/>
      <c r="T49" s="1266"/>
      <c r="U49" s="1266"/>
      <c r="V49" s="1266"/>
      <c r="W49" s="1266"/>
      <c r="X49" s="1266"/>
      <c r="Y49" s="1266"/>
      <c r="Z49" s="1266"/>
      <c r="AA49" s="1266"/>
      <c r="AB49" s="1266"/>
      <c r="AC49" s="1266"/>
      <c r="AD49" s="1266"/>
      <c r="AE49" s="1266"/>
      <c r="AF49" s="1266"/>
      <c r="AG49" s="1266"/>
      <c r="AH49" s="1266"/>
      <c r="AI49" s="1266"/>
      <c r="AJ49" s="1266"/>
      <c r="AK49" s="1266"/>
    </row>
    <row r="50" spans="1:38">
      <c r="A50" s="4"/>
      <c r="C50" s="2"/>
      <c r="D50" s="4"/>
      <c r="F50" s="1266"/>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71" t="s">
        <v>1191</v>
      </c>
      <c r="H54" s="1271"/>
      <c r="I54" s="1271"/>
      <c r="J54" s="1271"/>
      <c r="K54" s="1271"/>
      <c r="L54" s="1271"/>
      <c r="M54" s="1271"/>
      <c r="N54" s="1271"/>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1" t="s">
        <v>575</v>
      </c>
      <c r="H56" s="1271"/>
      <c r="I56" s="127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71" t="s">
        <v>2001</v>
      </c>
      <c r="H57" s="1271"/>
      <c r="I57" s="1271"/>
      <c r="J57" s="1271"/>
      <c r="K57" s="1271"/>
      <c r="L57" s="1271"/>
      <c r="M57" s="1271"/>
      <c r="N57" s="1271"/>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row>
    <row r="58" spans="1:38">
      <c r="A58" s="204"/>
      <c r="B58" s="204"/>
      <c r="C58" s="205"/>
      <c r="D58" s="205"/>
      <c r="E58" s="204"/>
      <c r="F58" s="206"/>
      <c r="G58" s="1271"/>
      <c r="H58" s="1271"/>
      <c r="I58" s="1271"/>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6" t="s">
        <v>1166</v>
      </c>
      <c r="H64" s="1266"/>
      <c r="I64" s="1266"/>
      <c r="J64" s="1266"/>
      <c r="K64" s="1266"/>
      <c r="L64" s="1266"/>
      <c r="M64" s="1266"/>
      <c r="N64" s="1266"/>
      <c r="O64" s="1266"/>
      <c r="P64" s="1266"/>
      <c r="Q64" s="1266"/>
      <c r="R64" s="1266"/>
      <c r="S64" s="1266"/>
      <c r="T64" s="1266"/>
      <c r="U64" s="1266"/>
      <c r="V64" s="1266"/>
      <c r="W64" s="1266"/>
      <c r="X64" s="1266"/>
      <c r="Y64" s="1266"/>
      <c r="Z64" s="1266"/>
      <c r="AA64" s="1266"/>
      <c r="AB64" s="1266"/>
      <c r="AC64" s="1266"/>
      <c r="AD64" s="1266"/>
      <c r="AE64" s="1266"/>
      <c r="AF64" s="1266"/>
      <c r="AG64" s="1266"/>
      <c r="AH64" s="1266"/>
      <c r="AI64" s="1266"/>
      <c r="AJ64" s="1266"/>
      <c r="AK64" s="1266"/>
    </row>
    <row r="65" spans="1:37">
      <c r="A65" s="4"/>
      <c r="C65" s="2"/>
      <c r="D65" s="4"/>
      <c r="E65" s="4"/>
      <c r="G65" s="1266"/>
      <c r="H65" s="1266"/>
      <c r="I65" s="1266"/>
      <c r="J65" s="1266"/>
      <c r="K65" s="1266"/>
      <c r="L65" s="1266"/>
      <c r="M65" s="1266"/>
      <c r="N65" s="1266"/>
      <c r="O65" s="1266"/>
      <c r="P65" s="1266"/>
      <c r="Q65" s="1266"/>
      <c r="R65" s="1266"/>
      <c r="S65" s="1266"/>
      <c r="T65" s="1266"/>
      <c r="U65" s="1266"/>
      <c r="V65" s="1266"/>
      <c r="W65" s="1266"/>
      <c r="X65" s="1266"/>
      <c r="Y65" s="1266"/>
      <c r="Z65" s="1266"/>
      <c r="AA65" s="1266"/>
      <c r="AB65" s="1266"/>
      <c r="AC65" s="1266"/>
      <c r="AD65" s="1266"/>
      <c r="AE65" s="1266"/>
      <c r="AF65" s="1266"/>
      <c r="AG65" s="1266"/>
      <c r="AH65" s="1266"/>
      <c r="AI65" s="1266"/>
      <c r="AJ65" s="1266"/>
      <c r="AK65" s="1266"/>
    </row>
    <row r="66" spans="1:37">
      <c r="A66" s="4"/>
      <c r="C66" s="2"/>
      <c r="D66" s="4"/>
      <c r="E66" s="4"/>
      <c r="G66" s="1266"/>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ht="13.15" customHeight="1">
      <c r="A67" s="4"/>
      <c r="C67" s="2"/>
      <c r="D67" s="4"/>
      <c r="E67" s="4"/>
      <c r="F67" t="s">
        <v>509</v>
      </c>
      <c r="G67" s="1266" t="s">
        <v>1167</v>
      </c>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F68" s="27"/>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6" t="s">
        <v>1168</v>
      </c>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c r="F71" s="8"/>
      <c r="G71" s="1266"/>
      <c r="H71" s="1266"/>
      <c r="I71" s="1266"/>
      <c r="J71" s="1266"/>
      <c r="K71" s="1266"/>
      <c r="L71" s="1266"/>
      <c r="M71" s="1266"/>
      <c r="N71" s="1266"/>
      <c r="O71" s="1266"/>
      <c r="P71" s="1266"/>
      <c r="Q71" s="1266"/>
      <c r="R71" s="1266"/>
      <c r="S71" s="1266"/>
      <c r="T71" s="1266"/>
      <c r="U71" s="1266"/>
      <c r="V71" s="1266"/>
      <c r="W71" s="1266"/>
      <c r="X71" s="1266"/>
      <c r="Y71" s="1266"/>
      <c r="Z71" s="1266"/>
      <c r="AA71" s="1266"/>
      <c r="AB71" s="1266"/>
      <c r="AC71" s="1266"/>
      <c r="AD71" s="1266"/>
      <c r="AE71" s="1266"/>
      <c r="AF71" s="1266"/>
      <c r="AG71" s="1266"/>
      <c r="AH71" s="1266"/>
      <c r="AI71" s="1266"/>
      <c r="AJ71" s="1266"/>
      <c r="AK71" s="1266"/>
    </row>
    <row r="72" spans="1:37">
      <c r="A72" s="4"/>
      <c r="C72" s="2"/>
      <c r="D72" s="4"/>
      <c r="E72" s="4"/>
      <c r="F72" s="8" t="s">
        <v>509</v>
      </c>
      <c r="G72" s="1266" t="s">
        <v>1169</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6" t="s">
        <v>1170</v>
      </c>
      <c r="H80" s="1266"/>
      <c r="I80" s="1266"/>
      <c r="J80" s="1266"/>
      <c r="K80" s="1266"/>
      <c r="L80" s="1266"/>
      <c r="M80" s="1266"/>
      <c r="N80" s="1266"/>
      <c r="O80" s="1266"/>
      <c r="P80" s="1266"/>
      <c r="Q80" s="1266"/>
      <c r="R80" s="1266"/>
      <c r="S80" s="1266"/>
      <c r="T80" s="1266"/>
      <c r="U80" s="1266"/>
      <c r="V80" s="1266"/>
      <c r="W80" s="1266"/>
      <c r="X80" s="1266"/>
      <c r="Y80" s="1266"/>
      <c r="Z80" s="1266"/>
      <c r="AA80" s="1266"/>
      <c r="AB80" s="1266"/>
      <c r="AC80" s="1266"/>
      <c r="AD80" s="1266"/>
      <c r="AE80" s="1266"/>
      <c r="AF80" s="1266"/>
      <c r="AG80" s="1266"/>
      <c r="AH80" s="1266"/>
      <c r="AI80" s="1266"/>
      <c r="AJ80" s="1266"/>
      <c r="AK80" s="1266"/>
    </row>
    <row r="81" spans="1:37">
      <c r="A81" s="4"/>
      <c r="C81" s="2"/>
      <c r="D81" s="4"/>
      <c r="E81" s="4"/>
      <c r="F81" s="4"/>
      <c r="G81" s="1266"/>
      <c r="H81" s="1266"/>
      <c r="I81" s="1266"/>
      <c r="J81" s="1266"/>
      <c r="K81" s="1266"/>
      <c r="L81" s="1266"/>
      <c r="M81" s="1266"/>
      <c r="N81" s="1266"/>
      <c r="O81" s="1266"/>
      <c r="P81" s="1266"/>
      <c r="Q81" s="1266"/>
      <c r="R81" s="1266"/>
      <c r="S81" s="1266"/>
      <c r="T81" s="1266"/>
      <c r="U81" s="1266"/>
      <c r="V81" s="1266"/>
      <c r="W81" s="1266"/>
      <c r="X81" s="1266"/>
      <c r="Y81" s="1266"/>
      <c r="Z81" s="1266"/>
      <c r="AA81" s="1266"/>
      <c r="AB81" s="1266"/>
      <c r="AC81" s="1266"/>
      <c r="AD81" s="1266"/>
      <c r="AE81" s="1266"/>
      <c r="AF81" s="1266"/>
      <c r="AG81" s="1266"/>
      <c r="AH81" s="1266"/>
      <c r="AI81" s="1266"/>
      <c r="AJ81" s="1266"/>
      <c r="AK81" s="1266"/>
    </row>
    <row r="82" spans="1:37">
      <c r="A82" s="4"/>
      <c r="C82" s="2"/>
      <c r="D82" s="4"/>
      <c r="E82" s="4"/>
      <c r="F82" s="4"/>
      <c r="G82" s="1266"/>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6" t="s">
        <v>1171</v>
      </c>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c r="F85" s="4"/>
      <c r="G85" s="1266"/>
      <c r="H85" s="1266"/>
      <c r="I85" s="1266"/>
      <c r="J85" s="1266"/>
      <c r="K85" s="1266"/>
      <c r="L85" s="1266"/>
      <c r="M85" s="1266"/>
      <c r="N85" s="1266"/>
      <c r="O85" s="1266"/>
      <c r="P85" s="1266"/>
      <c r="Q85" s="1266"/>
      <c r="R85" s="1266"/>
      <c r="S85" s="1266"/>
      <c r="T85" s="1266"/>
      <c r="U85" s="1266"/>
      <c r="V85" s="1266"/>
      <c r="W85" s="1266"/>
      <c r="X85" s="1266"/>
      <c r="Y85" s="1266"/>
      <c r="Z85" s="1266"/>
      <c r="AA85" s="1266"/>
      <c r="AB85" s="1266"/>
      <c r="AC85" s="1266"/>
      <c r="AD85" s="1266"/>
      <c r="AE85" s="1266"/>
      <c r="AF85" s="1266"/>
      <c r="AG85" s="1266"/>
      <c r="AH85" s="1266"/>
      <c r="AI85" s="1266"/>
      <c r="AJ85" s="1266"/>
      <c r="AK85" s="1266"/>
    </row>
    <row r="86" spans="1:37">
      <c r="A86" s="4"/>
      <c r="C86" s="2"/>
      <c r="D86" s="4"/>
      <c r="E86" s="4"/>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69" t="s">
        <v>1172</v>
      </c>
      <c r="H88" s="1269"/>
      <c r="I88" s="1269"/>
      <c r="J88" s="1269"/>
      <c r="K88" s="1269"/>
      <c r="L88" s="1269"/>
      <c r="M88" s="1269"/>
      <c r="N88" s="1269"/>
      <c r="O88" s="1269"/>
      <c r="P88" s="1269"/>
      <c r="Q88" s="1269"/>
      <c r="R88" s="1269"/>
      <c r="S88" s="1269"/>
      <c r="T88" s="1269"/>
      <c r="U88" s="1269"/>
      <c r="V88" s="1269"/>
      <c r="W88" s="1269"/>
      <c r="X88" s="1269"/>
      <c r="Y88" s="1269"/>
      <c r="Z88" s="1269"/>
      <c r="AA88" s="1269"/>
      <c r="AB88" s="1269"/>
      <c r="AC88" s="1269"/>
      <c r="AD88" s="1269"/>
      <c r="AE88" s="1269"/>
      <c r="AF88" s="1269"/>
      <c r="AG88" s="1269"/>
      <c r="AH88" s="1269"/>
      <c r="AI88" s="1269"/>
      <c r="AJ88" s="1269"/>
      <c r="AK88" s="1269"/>
    </row>
    <row r="89" spans="1:37">
      <c r="A89" s="4"/>
      <c r="C89" s="2"/>
      <c r="D89" s="4"/>
      <c r="E89" s="4"/>
      <c r="G89" s="1269"/>
      <c r="H89" s="1269"/>
      <c r="I89" s="1269"/>
      <c r="J89" s="1269"/>
      <c r="K89" s="1269"/>
      <c r="L89" s="1269"/>
      <c r="M89" s="1269"/>
      <c r="N89" s="1269"/>
      <c r="O89" s="1269"/>
      <c r="P89" s="1269"/>
      <c r="Q89" s="1269"/>
      <c r="R89" s="1269"/>
      <c r="S89" s="1269"/>
      <c r="T89" s="1269"/>
      <c r="U89" s="1269"/>
      <c r="V89" s="1269"/>
      <c r="W89" s="1269"/>
      <c r="X89" s="1269"/>
      <c r="Y89" s="1269"/>
      <c r="Z89" s="1269"/>
      <c r="AA89" s="1269"/>
      <c r="AB89" s="1269"/>
      <c r="AC89" s="1269"/>
      <c r="AD89" s="1269"/>
      <c r="AE89" s="1269"/>
      <c r="AF89" s="1269"/>
      <c r="AG89" s="1269"/>
      <c r="AH89" s="1269"/>
      <c r="AI89" s="1269"/>
      <c r="AJ89" s="1269"/>
      <c r="AK89" s="1269"/>
    </row>
    <row r="90" spans="1:37">
      <c r="A90" s="4"/>
      <c r="C90" s="2"/>
      <c r="D90" s="4"/>
      <c r="E90" s="4"/>
      <c r="G90" s="1269"/>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6" t="s">
        <v>1173</v>
      </c>
      <c r="H92" s="1266"/>
      <c r="I92" s="1266"/>
      <c r="J92" s="1266"/>
      <c r="K92" s="1266"/>
      <c r="L92" s="1266"/>
      <c r="M92" s="1266"/>
      <c r="N92" s="1266"/>
      <c r="O92" s="1266"/>
      <c r="P92" s="1266"/>
      <c r="Q92" s="1266"/>
      <c r="R92" s="1266"/>
      <c r="S92" s="1266"/>
      <c r="T92" s="1266"/>
      <c r="U92" s="1266"/>
      <c r="V92" s="1266"/>
      <c r="W92" s="1266"/>
      <c r="X92" s="1266"/>
      <c r="Y92" s="1266"/>
      <c r="Z92" s="1266"/>
      <c r="AA92" s="1266"/>
      <c r="AB92" s="1266"/>
      <c r="AC92" s="1266"/>
      <c r="AD92" s="1266"/>
      <c r="AE92" s="1266"/>
      <c r="AF92" s="1266"/>
      <c r="AG92" s="1266"/>
      <c r="AH92" s="1266"/>
      <c r="AI92" s="1266"/>
      <c r="AJ92" s="1266"/>
      <c r="AK92" s="1266"/>
    </row>
    <row r="93" spans="1:37">
      <c r="A93" s="4"/>
      <c r="C93" s="2"/>
      <c r="D93" s="4"/>
      <c r="E93" s="4"/>
      <c r="G93" s="1266"/>
      <c r="H93" s="1266"/>
      <c r="I93" s="1266"/>
      <c r="J93" s="1266"/>
      <c r="K93" s="1266"/>
      <c r="L93" s="1266"/>
      <c r="M93" s="1266"/>
      <c r="N93" s="1266"/>
      <c r="O93" s="1266"/>
      <c r="P93" s="1266"/>
      <c r="Q93" s="1266"/>
      <c r="R93" s="1266"/>
      <c r="S93" s="1266"/>
      <c r="T93" s="1266"/>
      <c r="U93" s="1266"/>
      <c r="V93" s="1266"/>
      <c r="W93" s="1266"/>
      <c r="X93" s="1266"/>
      <c r="Y93" s="1266"/>
      <c r="Z93" s="1266"/>
      <c r="AA93" s="1266"/>
      <c r="AB93" s="1266"/>
      <c r="AC93" s="1266"/>
      <c r="AD93" s="1266"/>
      <c r="AE93" s="1266"/>
      <c r="AF93" s="1266"/>
      <c r="AG93" s="1266"/>
      <c r="AH93" s="1266"/>
      <c r="AI93" s="1266"/>
      <c r="AJ93" s="1266"/>
      <c r="AK93" s="1266"/>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6" t="s">
        <v>1174</v>
      </c>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c r="G96" s="1266"/>
      <c r="H96" s="1266"/>
      <c r="I96" s="1266"/>
      <c r="J96" s="1266"/>
      <c r="K96" s="1266"/>
      <c r="L96" s="1266"/>
      <c r="M96" s="1266"/>
      <c r="N96" s="1266"/>
      <c r="O96" s="1266"/>
      <c r="P96" s="1266"/>
      <c r="Q96" s="1266"/>
      <c r="R96" s="1266"/>
      <c r="S96" s="1266"/>
      <c r="T96" s="1266"/>
      <c r="U96" s="1266"/>
      <c r="V96" s="1266"/>
      <c r="W96" s="1266"/>
      <c r="X96" s="1266"/>
      <c r="Y96" s="1266"/>
      <c r="Z96" s="1266"/>
      <c r="AA96" s="1266"/>
      <c r="AB96" s="1266"/>
      <c r="AC96" s="1266"/>
      <c r="AD96" s="1266"/>
      <c r="AE96" s="1266"/>
      <c r="AF96" s="1266"/>
      <c r="AG96" s="1266"/>
      <c r="AH96" s="1266"/>
      <c r="AI96" s="1266"/>
      <c r="AJ96" s="1266"/>
      <c r="AK96" s="1266"/>
    </row>
    <row r="97" spans="1:38">
      <c r="A97" s="4"/>
      <c r="C97" s="2"/>
      <c r="D97" s="4"/>
      <c r="E97" s="4"/>
      <c r="G97" s="1266"/>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D98" s="99"/>
      <c r="E98" s="1270" t="s">
        <v>1175</v>
      </c>
      <c r="F98" s="1270"/>
      <c r="G98" s="1270"/>
      <c r="H98" s="1270"/>
      <c r="I98" s="1270"/>
      <c r="J98" s="1270"/>
      <c r="K98" s="1270"/>
      <c r="L98" s="1270"/>
      <c r="M98" s="1270"/>
      <c r="N98" s="1270"/>
      <c r="O98" s="1270"/>
      <c r="P98" s="1270"/>
      <c r="Q98" s="1270"/>
      <c r="R98" s="1270"/>
      <c r="S98" s="1270"/>
      <c r="T98" s="1270"/>
      <c r="U98" s="1270"/>
      <c r="V98" s="1270"/>
      <c r="W98" s="1270"/>
      <c r="X98" s="1270"/>
      <c r="Y98" s="1270"/>
      <c r="Z98" s="1270"/>
      <c r="AA98" s="1270"/>
      <c r="AB98" s="1270"/>
      <c r="AC98" s="1270"/>
      <c r="AD98" s="1270"/>
      <c r="AE98" s="1270"/>
      <c r="AF98" s="1270"/>
      <c r="AG98" s="1270"/>
      <c r="AH98" s="1270"/>
      <c r="AI98" s="1270"/>
      <c r="AJ98" s="1270"/>
      <c r="AK98" s="1270"/>
    </row>
    <row r="99" spans="1:38">
      <c r="A99" s="4"/>
      <c r="D99" s="99"/>
      <c r="E99" s="1270"/>
      <c r="F99" s="1270"/>
      <c r="G99" s="1270"/>
      <c r="H99" s="1270"/>
      <c r="I99" s="1270"/>
      <c r="J99" s="1270"/>
      <c r="K99" s="1270"/>
      <c r="L99" s="1270"/>
      <c r="M99" s="1270"/>
      <c r="N99" s="1270"/>
      <c r="O99" s="1270"/>
      <c r="P99" s="1270"/>
      <c r="Q99" s="1270"/>
      <c r="R99" s="1270"/>
      <c r="S99" s="1270"/>
      <c r="T99" s="1270"/>
      <c r="U99" s="1270"/>
      <c r="V99" s="1270"/>
      <c r="W99" s="1270"/>
      <c r="X99" s="1270"/>
      <c r="Y99" s="1270"/>
      <c r="Z99" s="1270"/>
      <c r="AA99" s="1270"/>
      <c r="AB99" s="1270"/>
      <c r="AC99" s="1270"/>
      <c r="AD99" s="1270"/>
      <c r="AE99" s="1270"/>
      <c r="AF99" s="1270"/>
      <c r="AG99" s="1270"/>
      <c r="AH99" s="1270"/>
      <c r="AI99" s="1270"/>
      <c r="AJ99" s="1270"/>
      <c r="AK99" s="1270"/>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2002</v>
      </c>
      <c r="F138" s="2"/>
      <c r="G138" s="2"/>
      <c r="H138" s="2"/>
    </row>
    <row r="139" spans="4:37">
      <c r="E139" t="s">
        <v>112</v>
      </c>
      <c r="F139" t="s">
        <v>52</v>
      </c>
    </row>
    <row r="140" spans="4:37">
      <c r="E140" t="s">
        <v>113</v>
      </c>
      <c r="F140" t="s">
        <v>466</v>
      </c>
    </row>
    <row r="141" spans="4:37"/>
    <row r="142" spans="4:37">
      <c r="D142" s="2" t="s">
        <v>429</v>
      </c>
      <c r="E142" s="2" t="s">
        <v>2003</v>
      </c>
    </row>
    <row r="143" spans="4:37">
      <c r="E143" s="204" t="s">
        <v>2004</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6" t="s">
        <v>1176</v>
      </c>
      <c r="H205" s="1266"/>
      <c r="I205" s="1266"/>
      <c r="J205" s="1266"/>
      <c r="K205" s="1266"/>
      <c r="L205" s="1266"/>
      <c r="M205" s="1266"/>
      <c r="N205" s="1266"/>
      <c r="O205" s="1266"/>
      <c r="P205" s="1266"/>
      <c r="Q205" s="1266"/>
      <c r="R205" s="1266"/>
      <c r="S205" s="1266"/>
      <c r="T205" s="1266"/>
      <c r="U205" s="1266"/>
      <c r="V205" s="1266"/>
      <c r="W205" s="1266"/>
      <c r="X205" s="1266"/>
      <c r="Y205" s="1266"/>
      <c r="Z205" s="1266"/>
      <c r="AA205" s="1266"/>
      <c r="AB205" s="1266"/>
      <c r="AC205" s="1266"/>
      <c r="AD205" s="1266"/>
      <c r="AE205" s="1266"/>
      <c r="AF205" s="1266"/>
      <c r="AG205" s="1266"/>
      <c r="AH205" s="1266"/>
      <c r="AI205" s="1266"/>
      <c r="AJ205" s="1266"/>
      <c r="AK205" s="1266"/>
    </row>
    <row r="206" spans="2:37">
      <c r="B206" s="4"/>
      <c r="C206" s="4"/>
      <c r="D206" s="2"/>
      <c r="G206" s="1266"/>
      <c r="H206" s="1266"/>
      <c r="I206" s="1266"/>
      <c r="J206" s="1266"/>
      <c r="K206" s="1266"/>
      <c r="L206" s="1266"/>
      <c r="M206" s="1266"/>
      <c r="N206" s="1266"/>
      <c r="O206" s="1266"/>
      <c r="P206" s="1266"/>
      <c r="Q206" s="1266"/>
      <c r="R206" s="1266"/>
      <c r="S206" s="1266"/>
      <c r="T206" s="1266"/>
      <c r="U206" s="1266"/>
      <c r="V206" s="1266"/>
      <c r="W206" s="1266"/>
      <c r="X206" s="1266"/>
      <c r="Y206" s="1266"/>
      <c r="Z206" s="1266"/>
      <c r="AA206" s="1266"/>
      <c r="AB206" s="1266"/>
      <c r="AC206" s="1266"/>
      <c r="AD206" s="1266"/>
      <c r="AE206" s="1266"/>
      <c r="AF206" s="1266"/>
      <c r="AG206" s="1266"/>
      <c r="AH206" s="1266"/>
      <c r="AI206" s="1266"/>
      <c r="AJ206" s="1266"/>
      <c r="AK206" s="1266"/>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6" t="s">
        <v>1155</v>
      </c>
      <c r="G336" s="1266"/>
      <c r="H336" s="1266"/>
      <c r="I336" s="1266"/>
      <c r="J336" s="1266"/>
      <c r="K336" s="1266"/>
      <c r="L336" s="1266"/>
      <c r="M336" s="1266"/>
      <c r="N336" s="1266"/>
      <c r="O336" s="1266"/>
      <c r="P336" s="1266"/>
      <c r="Q336" s="1266"/>
      <c r="R336" s="1266"/>
      <c r="S336" s="1266"/>
      <c r="T336" s="1266"/>
      <c r="U336" s="1266"/>
      <c r="V336" s="1266"/>
      <c r="W336" s="1266"/>
      <c r="X336" s="1266"/>
      <c r="Y336" s="1266"/>
      <c r="Z336" s="1266"/>
      <c r="AA336" s="1266"/>
      <c r="AB336" s="1266"/>
      <c r="AC336" s="1266"/>
      <c r="AD336" s="1266"/>
      <c r="AE336" s="1266"/>
      <c r="AF336" s="1266"/>
      <c r="AG336" s="1266"/>
      <c r="AH336" s="1266"/>
      <c r="AI336" s="1266"/>
      <c r="AJ336" s="1266"/>
      <c r="AK336" s="1266"/>
    </row>
    <row r="337" spans="2:37">
      <c r="B337" s="2"/>
      <c r="E337" s="4"/>
      <c r="F337" s="1266"/>
      <c r="G337" s="1266"/>
      <c r="H337" s="1266"/>
      <c r="I337" s="1266"/>
      <c r="J337" s="1266"/>
      <c r="K337" s="1266"/>
      <c r="L337" s="1266"/>
      <c r="M337" s="1266"/>
      <c r="N337" s="1266"/>
      <c r="O337" s="1266"/>
      <c r="P337" s="1266"/>
      <c r="Q337" s="1266"/>
      <c r="R337" s="1266"/>
      <c r="S337" s="1266"/>
      <c r="T337" s="1266"/>
      <c r="U337" s="1266"/>
      <c r="V337" s="1266"/>
      <c r="W337" s="1266"/>
      <c r="X337" s="1266"/>
      <c r="Y337" s="1266"/>
      <c r="Z337" s="1266"/>
      <c r="AA337" s="1266"/>
      <c r="AB337" s="1266"/>
      <c r="AC337" s="1266"/>
      <c r="AD337" s="1266"/>
      <c r="AE337" s="1266"/>
      <c r="AF337" s="1266"/>
      <c r="AG337" s="1266"/>
      <c r="AH337" s="1266"/>
      <c r="AI337" s="1266"/>
      <c r="AJ337" s="1266"/>
      <c r="AK337" s="1266"/>
    </row>
    <row r="338" spans="2:37">
      <c r="B338" s="2"/>
      <c r="E338" s="4"/>
      <c r="F338" s="1266"/>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15" customHeight="1">
      <c r="B341" s="2"/>
      <c r="E341" s="1271" t="s">
        <v>1235</v>
      </c>
      <c r="F341" s="1271"/>
      <c r="G341" s="1271"/>
      <c r="H341" s="1271"/>
      <c r="I341" s="1271"/>
      <c r="J341" s="1271"/>
      <c r="K341" s="1271"/>
      <c r="L341" s="1271"/>
      <c r="M341" s="1271"/>
      <c r="N341" s="1271"/>
      <c r="O341" s="1271"/>
      <c r="P341" s="1271"/>
      <c r="Q341" s="1271"/>
      <c r="R341" s="1271"/>
      <c r="S341" s="1271"/>
      <c r="T341" s="1271"/>
      <c r="U341" s="1271"/>
      <c r="V341" s="1271"/>
      <c r="W341" s="1271"/>
      <c r="X341" s="1271"/>
      <c r="Y341" s="1271"/>
      <c r="Z341" s="1271"/>
      <c r="AA341" s="1271"/>
      <c r="AB341" s="1271"/>
      <c r="AC341" s="1271"/>
      <c r="AD341" s="1271"/>
      <c r="AE341" s="1271"/>
      <c r="AF341" s="1271"/>
      <c r="AG341" s="1271"/>
      <c r="AH341" s="1271"/>
      <c r="AI341" s="1271"/>
      <c r="AJ341" s="1271"/>
      <c r="AK341" s="1271"/>
    </row>
    <row r="342" spans="2:37">
      <c r="B342" s="2"/>
      <c r="E342" s="1271"/>
      <c r="F342" s="1271"/>
      <c r="G342" s="1271"/>
      <c r="H342" s="1271"/>
      <c r="I342" s="1271"/>
      <c r="J342" s="1271"/>
      <c r="K342" s="1271"/>
      <c r="L342" s="1271"/>
      <c r="M342" s="1271"/>
      <c r="N342" s="1271"/>
      <c r="O342" s="1271"/>
      <c r="P342" s="1271"/>
      <c r="Q342" s="1271"/>
      <c r="R342" s="1271"/>
      <c r="S342" s="1271"/>
      <c r="T342" s="1271"/>
      <c r="U342" s="1271"/>
      <c r="V342" s="1271"/>
      <c r="W342" s="1271"/>
      <c r="X342" s="1271"/>
      <c r="Y342" s="1271"/>
      <c r="Z342" s="1271"/>
      <c r="AA342" s="1271"/>
      <c r="AB342" s="1271"/>
      <c r="AC342" s="1271"/>
      <c r="AD342" s="1271"/>
      <c r="AE342" s="1271"/>
      <c r="AF342" s="1271"/>
      <c r="AG342" s="1271"/>
      <c r="AH342" s="1271"/>
      <c r="AI342" s="1271"/>
      <c r="AJ342" s="1271"/>
      <c r="AK342" s="1271"/>
    </row>
    <row r="343" spans="2:37">
      <c r="B343" s="2"/>
      <c r="E343" s="1271"/>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3" t="s">
        <v>112</v>
      </c>
      <c r="F346" s="1266" t="s">
        <v>1237</v>
      </c>
      <c r="G346" s="1266"/>
      <c r="H346" s="1266"/>
      <c r="I346" s="1266"/>
      <c r="J346" s="1266"/>
      <c r="K346" s="1266"/>
      <c r="L346" s="1266"/>
      <c r="M346" s="1266"/>
      <c r="N346" s="1266"/>
      <c r="O346" s="1266"/>
      <c r="P346" s="1266"/>
      <c r="Q346" s="1266"/>
      <c r="R346" s="1266"/>
      <c r="S346" s="1266"/>
      <c r="T346" s="1266"/>
      <c r="U346" s="1266"/>
      <c r="V346" s="1266"/>
      <c r="W346" s="1266"/>
      <c r="X346" s="1266"/>
      <c r="Y346" s="1266"/>
      <c r="Z346" s="1266"/>
      <c r="AA346" s="1266"/>
      <c r="AB346" s="1266"/>
      <c r="AC346" s="1266"/>
      <c r="AD346" s="1266"/>
      <c r="AE346" s="1266"/>
      <c r="AF346" s="1266"/>
      <c r="AG346" s="1266"/>
      <c r="AH346" s="1266"/>
      <c r="AI346" s="1266"/>
      <c r="AJ346" s="1266"/>
      <c r="AK346" s="1266"/>
    </row>
    <row r="347" spans="2:37">
      <c r="B347" s="2"/>
      <c r="E347" s="3"/>
      <c r="F347" s="1266"/>
      <c r="G347" s="1266"/>
      <c r="H347" s="1266"/>
      <c r="I347" s="1266"/>
      <c r="J347" s="1266"/>
      <c r="K347" s="1266"/>
      <c r="L347" s="1266"/>
      <c r="M347" s="1266"/>
      <c r="N347" s="1266"/>
      <c r="O347" s="1266"/>
      <c r="P347" s="1266"/>
      <c r="Q347" s="1266"/>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row>
    <row r="348" spans="2:37">
      <c r="B348" s="2"/>
      <c r="E348" s="3"/>
      <c r="F348" s="1266"/>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t="s">
        <v>113</v>
      </c>
      <c r="F350" s="1266" t="s">
        <v>1236</v>
      </c>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F352" s="1266"/>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74" t="s">
        <v>1226</v>
      </c>
      <c r="F365" s="1274"/>
      <c r="G365" s="1274"/>
      <c r="H365" s="1274"/>
      <c r="I365" s="1274"/>
      <c r="J365" s="1274"/>
      <c r="K365" s="1274"/>
      <c r="L365" s="1274"/>
      <c r="M365" s="1274"/>
      <c r="N365" s="1274"/>
      <c r="O365" s="1274"/>
      <c r="P365" s="1274"/>
      <c r="Q365" s="1274"/>
      <c r="R365" s="1274"/>
      <c r="S365" s="1274"/>
      <c r="T365" s="1274"/>
      <c r="U365" s="1274"/>
      <c r="V365" s="1274"/>
      <c r="W365" s="1274"/>
      <c r="X365" s="1274"/>
      <c r="Y365" s="1274"/>
      <c r="Z365" s="1274"/>
      <c r="AA365" s="1274"/>
      <c r="AB365" s="1274"/>
      <c r="AC365" s="1274"/>
      <c r="AD365" s="1274"/>
      <c r="AE365" s="1274"/>
      <c r="AF365" s="1274"/>
      <c r="AG365" s="1274"/>
      <c r="AH365" s="1274"/>
      <c r="AI365" s="1274"/>
      <c r="AJ365" s="1274"/>
      <c r="AK365" s="1274"/>
      <c r="AL365" s="1274"/>
    </row>
    <row r="366" spans="1:38">
      <c r="B366" s="2"/>
      <c r="E366" s="1274"/>
      <c r="F366" s="1274"/>
      <c r="G366" s="1274"/>
      <c r="H366" s="1274"/>
      <c r="I366" s="1274"/>
      <c r="J366" s="1274"/>
      <c r="K366" s="1274"/>
      <c r="L366" s="1274"/>
      <c r="M366" s="1274"/>
      <c r="N366" s="1274"/>
      <c r="O366" s="1274"/>
      <c r="P366" s="1274"/>
      <c r="Q366" s="1274"/>
      <c r="R366" s="1274"/>
      <c r="S366" s="1274"/>
      <c r="T366" s="1274"/>
      <c r="U366" s="1274"/>
      <c r="V366" s="1274"/>
      <c r="W366" s="1274"/>
      <c r="X366" s="1274"/>
      <c r="Y366" s="1274"/>
      <c r="Z366" s="1274"/>
      <c r="AA366" s="1274"/>
      <c r="AB366" s="1274"/>
      <c r="AC366" s="1274"/>
      <c r="AD366" s="1274"/>
      <c r="AE366" s="1274"/>
      <c r="AF366" s="1274"/>
      <c r="AG366" s="1274"/>
      <c r="AH366" s="1274"/>
      <c r="AI366" s="1274"/>
      <c r="AJ366" s="1274"/>
      <c r="AK366" s="1274"/>
      <c r="AL366" s="1274"/>
    </row>
    <row r="367" spans="1:38" s="1275" customFormat="1">
      <c r="A367"/>
      <c r="B367" s="2"/>
      <c r="C367"/>
      <c r="D367"/>
      <c r="E367" s="1272" t="s">
        <v>1258</v>
      </c>
    </row>
    <row r="368" spans="1:38" s="1275"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6" t="s">
        <v>1269</v>
      </c>
      <c r="G386" s="1266"/>
      <c r="H386" s="1266"/>
      <c r="I386" s="1266"/>
      <c r="J386" s="1266"/>
      <c r="K386" s="1266"/>
      <c r="L386" s="1266"/>
      <c r="M386" s="1266"/>
      <c r="N386" s="1266"/>
      <c r="O386" s="1266"/>
      <c r="P386" s="1266"/>
      <c r="Q386" s="1266"/>
      <c r="R386" s="1266"/>
      <c r="S386" s="1266"/>
      <c r="T386" s="1266"/>
      <c r="U386" s="1266"/>
      <c r="V386" s="1266"/>
      <c r="W386" s="1266"/>
      <c r="X386" s="1266"/>
      <c r="Y386" s="1266"/>
      <c r="Z386" s="1266"/>
      <c r="AA386" s="1266"/>
      <c r="AB386" s="1266"/>
      <c r="AC386" s="1266"/>
      <c r="AD386" s="1266"/>
      <c r="AE386" s="1266"/>
      <c r="AF386" s="1266"/>
      <c r="AG386" s="1266"/>
      <c r="AH386" s="1266"/>
      <c r="AI386" s="1266"/>
      <c r="AJ386" s="1266"/>
      <c r="AK386" s="1266"/>
    </row>
    <row r="387" spans="1:38">
      <c r="B387" s="2"/>
      <c r="E387" s="3"/>
      <c r="F387" s="1266"/>
      <c r="G387" s="1266"/>
      <c r="H387" s="1266"/>
      <c r="I387" s="1266"/>
      <c r="J387" s="1266"/>
      <c r="K387" s="1266"/>
      <c r="L387" s="1266"/>
      <c r="M387" s="1266"/>
      <c r="N387" s="1266"/>
      <c r="O387" s="1266"/>
      <c r="P387" s="1266"/>
      <c r="Q387" s="1266"/>
      <c r="R387" s="1266"/>
      <c r="S387" s="1266"/>
      <c r="T387" s="1266"/>
      <c r="U387" s="1266"/>
      <c r="V387" s="1266"/>
      <c r="W387" s="1266"/>
      <c r="X387" s="1266"/>
      <c r="Y387" s="1266"/>
      <c r="Z387" s="1266"/>
      <c r="AA387" s="1266"/>
      <c r="AB387" s="1266"/>
      <c r="AC387" s="1266"/>
      <c r="AD387" s="1266"/>
      <c r="AE387" s="1266"/>
      <c r="AF387" s="1266"/>
      <c r="AG387" s="1266"/>
      <c r="AH387" s="1266"/>
      <c r="AI387" s="1266"/>
      <c r="AJ387" s="1266"/>
      <c r="AK387" s="1266"/>
    </row>
    <row r="388" spans="1:38">
      <c r="B388" s="2"/>
      <c r="E388" s="3"/>
      <c r="F388" s="1266"/>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J25" sqref="J25"/>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59" t="s">
        <v>1574</v>
      </c>
      <c r="B1" s="2659"/>
      <c r="C1" s="2659"/>
      <c r="D1" s="2659"/>
      <c r="E1" s="2659"/>
      <c r="F1" s="2659"/>
      <c r="G1" s="2659"/>
      <c r="H1" s="2659"/>
      <c r="I1" s="2659"/>
      <c r="J1" s="2659"/>
    </row>
    <row r="2" spans="1:13" ht="15" customHeight="1" thickBot="1">
      <c r="A2" s="1041"/>
      <c r="B2" s="1041"/>
      <c r="I2" s="1042"/>
      <c r="K2" s="1043"/>
    </row>
    <row r="3" spans="1:13" s="1046" customFormat="1" ht="20.100000000000001" customHeight="1">
      <c r="A3" s="1094"/>
      <c r="B3" s="1095"/>
      <c r="C3" s="1096"/>
      <c r="D3" s="1101"/>
      <c r="E3" s="1096"/>
      <c r="F3" s="1097" t="s">
        <v>1963</v>
      </c>
      <c r="G3" s="1096"/>
      <c r="H3" s="1098">
        <f>E18</f>
        <v>46853116</v>
      </c>
      <c r="I3" s="1099"/>
    </row>
    <row r="4" spans="1:13" s="1046" customFormat="1" ht="20.100000000000001" customHeight="1">
      <c r="B4" s="1088"/>
      <c r="D4" s="1102"/>
      <c r="F4" s="1087" t="s">
        <v>1965</v>
      </c>
      <c r="G4" s="1086" t="s">
        <v>1964</v>
      </c>
      <c r="H4" s="1201">
        <f>I18</f>
        <v>16379452.319410715</v>
      </c>
      <c r="I4" s="1089"/>
      <c r="K4" s="1050"/>
    </row>
    <row r="5" spans="1:13" s="1046" customFormat="1" ht="20.100000000000001" customHeight="1" thickBot="1">
      <c r="B5" s="1090"/>
      <c r="C5" s="1091"/>
      <c r="D5" s="1103"/>
      <c r="E5" s="1092"/>
      <c r="F5" s="1103" t="s">
        <v>1915</v>
      </c>
      <c r="G5" s="1104"/>
      <c r="H5" s="1100">
        <f>IFERROR(H3/H4,0)</f>
        <v>2.8604812350456927</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2" t="s">
        <v>1913</v>
      </c>
      <c r="C8" s="2663"/>
      <c r="D8" s="2663"/>
      <c r="E8" s="2664"/>
      <c r="G8" s="2643" t="s">
        <v>1914</v>
      </c>
      <c r="H8" s="2644"/>
      <c r="I8" s="2645"/>
      <c r="K8" s="1052"/>
    </row>
    <row r="9" spans="1:13" ht="15" customHeight="1">
      <c r="A9" s="1041"/>
      <c r="B9" s="2660" t="s">
        <v>1947</v>
      </c>
      <c r="C9" s="2660"/>
      <c r="D9" s="2660"/>
      <c r="E9" s="1054">
        <f>G33</f>
        <v>9395000</v>
      </c>
      <c r="G9" s="2656" t="s">
        <v>1945</v>
      </c>
      <c r="H9" s="2656"/>
      <c r="I9" s="1055">
        <f>MAX(SUMIF(Application!M562:M573,"Loan, Tax-Exempt",Application!AM562:AM573),27.5%*SUM('Sources and Uses Budget'!C8,'Sources and Uses Budget'!S105,'Sources and Uses Budget'!T105))</f>
        <v>18192172.350000001</v>
      </c>
      <c r="K9" s="1056"/>
      <c r="M9" s="1057"/>
    </row>
    <row r="10" spans="1:13" ht="15" customHeight="1" thickBot="1">
      <c r="A10" s="1041"/>
      <c r="B10" s="2660" t="s">
        <v>1948</v>
      </c>
      <c r="C10" s="2660"/>
      <c r="D10" s="2660"/>
      <c r="E10" s="1055">
        <f>G47</f>
        <v>18831816.000000004</v>
      </c>
      <c r="G10" s="2658" t="s">
        <v>1916</v>
      </c>
      <c r="H10" s="2658"/>
      <c r="I10" s="1134">
        <f>IF(OR(Application!Z205="State Farmworker Credit",Application!Z205="$500M (Farmworker Housing)"),0,'Basis &amp; Credits'!AB78)</f>
        <v>0</v>
      </c>
      <c r="M10" s="1057"/>
    </row>
    <row r="11" spans="1:13" ht="15" customHeight="1">
      <c r="A11" s="1041"/>
      <c r="B11" s="2666" t="s">
        <v>2212</v>
      </c>
      <c r="C11" s="2667"/>
      <c r="D11" s="2668"/>
      <c r="E11" s="1055">
        <f>SUM(E13,E12)</f>
        <v>400000</v>
      </c>
      <c r="G11" s="2665" t="s">
        <v>1956</v>
      </c>
      <c r="H11" s="2665"/>
      <c r="I11" s="1133">
        <f>I9+I10</f>
        <v>18192172.350000001</v>
      </c>
      <c r="M11" s="1057"/>
    </row>
    <row r="12" spans="1:13" ht="15" customHeight="1">
      <c r="A12" s="1058"/>
      <c r="B12" s="2661" t="s">
        <v>2575</v>
      </c>
      <c r="C12" s="2661"/>
      <c r="D12" s="2661"/>
      <c r="E12" s="1158">
        <f>G56</f>
        <v>400000</v>
      </c>
      <c r="M12" s="1057"/>
    </row>
    <row r="13" spans="1:13" ht="15" customHeight="1">
      <c r="A13" s="1044"/>
      <c r="B13" s="2661" t="s">
        <v>2576</v>
      </c>
      <c r="C13" s="2661"/>
      <c r="D13" s="2661"/>
      <c r="E13" s="1158">
        <f>IF(G67,MAX(G65,G79),G65)</f>
        <v>0</v>
      </c>
      <c r="G13" s="2643" t="s">
        <v>1979</v>
      </c>
      <c r="H13" s="2644"/>
      <c r="I13" s="2645"/>
    </row>
    <row r="14" spans="1:13" ht="15" customHeight="1">
      <c r="A14" s="1044"/>
      <c r="B14" s="2666" t="s">
        <v>2213</v>
      </c>
      <c r="C14" s="2667"/>
      <c r="D14" s="2668"/>
      <c r="E14" s="1160">
        <f>MAX(E15,E16)+E17</f>
        <v>18226300</v>
      </c>
      <c r="G14" s="2656" t="s">
        <v>2592</v>
      </c>
      <c r="H14" s="2656"/>
      <c r="I14" s="1059">
        <f>IF(AND(G134="Yes",G136&lt;&gt;""),IF(OR(G141="Yes",G145="Yes"),18%,15%),0)</f>
        <v>0</v>
      </c>
      <c r="M14" s="1057"/>
    </row>
    <row r="15" spans="1:13" ht="15" customHeight="1">
      <c r="A15" s="1044"/>
      <c r="B15" s="2640" t="s">
        <v>2589</v>
      </c>
      <c r="C15" s="2641"/>
      <c r="D15" s="2642"/>
      <c r="E15" s="1158">
        <f>G94</f>
        <v>0</v>
      </c>
      <c r="G15" s="1131" t="s">
        <v>1957</v>
      </c>
      <c r="H15" s="1131"/>
      <c r="I15" s="1059">
        <f>IF(Application!AJ1041&gt;0,10%,IF(Application!AJ1045&gt;0,5%,0))</f>
        <v>0.1</v>
      </c>
      <c r="M15" s="1057"/>
    </row>
    <row r="16" spans="1:13" ht="15" customHeight="1">
      <c r="A16" s="1044"/>
      <c r="B16" s="2640" t="s">
        <v>2590</v>
      </c>
      <c r="C16" s="2641"/>
      <c r="D16" s="2642"/>
      <c r="E16" s="1158">
        <f>G104</f>
        <v>3758000</v>
      </c>
      <c r="G16" s="2656" t="s">
        <v>1958</v>
      </c>
      <c r="H16" s="2656"/>
      <c r="I16" s="1059">
        <f>G155</f>
        <v>-3.5714285714285714E-4</v>
      </c>
    </row>
    <row r="17" spans="1:21" ht="15" customHeight="1" thickBot="1">
      <c r="A17" s="1044"/>
      <c r="B17" s="2640" t="s">
        <v>2591</v>
      </c>
      <c r="C17" s="2641"/>
      <c r="D17" s="2642"/>
      <c r="E17" s="1158">
        <f>G129</f>
        <v>14468300</v>
      </c>
      <c r="G17" s="2656" t="s">
        <v>2221</v>
      </c>
      <c r="H17" s="2656"/>
      <c r="I17" s="1059">
        <f>IF(AND(G161="Yes",G159),IF(G165&gt;15%,15%,G165),0)</f>
        <v>0</v>
      </c>
    </row>
    <row r="18" spans="1:21" ht="15" customHeight="1">
      <c r="A18" s="1041"/>
      <c r="B18" s="2657" t="s">
        <v>1912</v>
      </c>
      <c r="C18" s="2657"/>
      <c r="D18" s="2657"/>
      <c r="E18" s="1105">
        <f>SUM(E9:E11,E14)</f>
        <v>46853116</v>
      </c>
      <c r="G18" s="1132" t="s">
        <v>1946</v>
      </c>
      <c r="H18" s="1132"/>
      <c r="I18" s="1106">
        <f>I11-((I11*I14)+(I11*I15)+(I11*I16)+(I11*I17))</f>
        <v>16379452.319410715</v>
      </c>
      <c r="M18" s="1060">
        <f>SUM(Cdlac[Quantity])</f>
        <v>188</v>
      </c>
      <c r="O18" s="1079" t="s">
        <v>582</v>
      </c>
      <c r="P18" s="1039">
        <f>MATCH(Application!T189,Application!CB160:CB217,0)</f>
        <v>30</v>
      </c>
      <c r="T18" s="1060">
        <f>SUM(Cdlac[Population])</f>
        <v>0</v>
      </c>
    </row>
    <row r="19" spans="1:21" ht="15" customHeight="1">
      <c r="A19" s="1041"/>
      <c r="B19" s="1041"/>
      <c r="C19" s="1041"/>
      <c r="D19" s="1041"/>
      <c r="E19" s="1041"/>
      <c r="L19" s="1039" t="s">
        <v>1908</v>
      </c>
      <c r="M19" s="1039" t="s">
        <v>1907</v>
      </c>
      <c r="N19" s="1039" t="s">
        <v>1919</v>
      </c>
      <c r="O19" s="1039" t="s">
        <v>1920</v>
      </c>
      <c r="P19" s="1039" t="s">
        <v>1909</v>
      </c>
      <c r="Q19" s="1039" t="s">
        <v>2210</v>
      </c>
      <c r="R19" s="1039" t="s">
        <v>1910</v>
      </c>
      <c r="S19" s="1039" t="s">
        <v>1921</v>
      </c>
      <c r="T19" s="1039" t="s">
        <v>1927</v>
      </c>
      <c r="U19" s="1039" t="s">
        <v>385</v>
      </c>
    </row>
    <row r="20" spans="1:21" ht="15" customHeight="1">
      <c r="B20" s="1061" t="str">
        <f>B9</f>
        <v>A. Unit Production Benefit</v>
      </c>
      <c r="C20" s="1062"/>
      <c r="D20" s="1062"/>
      <c r="E20" s="1062"/>
      <c r="F20" s="1062"/>
      <c r="G20" s="1062"/>
      <c r="H20" s="1062"/>
      <c r="I20" s="1063"/>
      <c r="L20" s="1039">
        <f>IFERROR(MIN(4,MATCH(Application!B726,UnitSizes,0)-1),"")</f>
        <v>0</v>
      </c>
      <c r="M20" s="1060">
        <f>Application!G726</f>
        <v>2</v>
      </c>
      <c r="N20" s="1066">
        <f>Application!AC726</f>
        <v>0.3</v>
      </c>
      <c r="O20" s="1066">
        <f>IF(Cdlac[[#This Row],[Quantity]]&gt;0,IF(Cdlac[[#This Row],[Federal]],30%,IF(AND(OR(NOT($G$38),$G$38=""),$G$43),40%,Cdlac[[#This Row],[iAMI]])),"")</f>
        <v>0.3</v>
      </c>
      <c r="P20" s="1060" cm="1">
        <f t="array" ref="P20">IF(Cdlac[[#This Row],[Quantity]]&gt;0,INDEX(TcacRents,$P$18,Cdlac[[#This Row],[Bedrooms]]+1)*Cdlac[[#This Row],[AMI]],"")</f>
        <v>888.6</v>
      </c>
      <c r="Q20" s="1157"/>
      <c r="R20" s="1060" cm="1">
        <f t="array" ref="R20">IF(Cdlac[[#This Row],[Quantity]]&gt;0,INDEX(HudFmrs,$P$18,Cdlac[[#This Row],[Bedrooms]]+1),"")</f>
        <v>2352</v>
      </c>
      <c r="S20" s="1060">
        <f>IF(Cdlac[[#This Row],[Quantity]]&gt;0,MAX(0,Cdlac[[#This Row],[Fair Market Rent]]-IF(AND($G$37,$G$38,$G$38&lt;&gt;"",NOT(Cdlac[[#This Row],[Federal]]),Cdlac[[#This Row],[Preservation Rent]]&lt;&gt;""),Cdlac[[#This Row],[Preservation Rent]],Cdlac[[#This Row],[Restricted Rent]])),"")</f>
        <v>1463.4</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0</v>
      </c>
      <c r="M21" s="1060">
        <f>Application!G727</f>
        <v>2</v>
      </c>
      <c r="N21" s="1066">
        <f>Application!AC727</f>
        <v>0.5</v>
      </c>
      <c r="O21" s="1066">
        <f>IF(Cdlac[[#This Row],[Quantity]]&gt;0,IF(Cdlac[[#This Row],[Federal]],30%,IF(AND(OR(NOT($G$38),$G$38=""),$G$43),40%,Cdlac[[#This Row],[iAMI]])),"")</f>
        <v>0.5</v>
      </c>
      <c r="P21" s="1060" cm="1">
        <f t="array" ref="P21">IF(Cdlac[[#This Row],[Quantity]]&gt;0,INDEX(TcacRents,$P$18,Cdlac[[#This Row],[Bedrooms]]+1)*Cdlac[[#This Row],[AMI]],"")</f>
        <v>1481</v>
      </c>
      <c r="Q21" s="1157"/>
      <c r="R21" s="1060" cm="1">
        <f t="array" ref="R21">IF(Cdlac[[#This Row],[Quantity]]&gt;0,INDEX(HudFmrs,$P$18,Cdlac[[#This Row],[Bedrooms]]+1),"")</f>
        <v>2352</v>
      </c>
      <c r="S21" s="1060">
        <f>IF(Cdlac[[#This Row],[Quantity]]&gt;0,MAX(0,Cdlac[[#This Row],[Fair Market Rent]]-IF(AND($G$37,$G$38,$G$38&lt;&gt;"",NOT(Cdlac[[#This Row],[Federal]]),Cdlac[[#This Row],[Preservation Rent]]&lt;&gt;""),Cdlac[[#This Row],[Preservation Rent]],Cdlac[[#This Row],[Restricted Rent]])),"")</f>
        <v>871</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7" t="s">
        <v>1960</v>
      </c>
      <c r="D22" s="2647" t="s">
        <v>1961</v>
      </c>
      <c r="E22" s="2647" t="s">
        <v>1962</v>
      </c>
      <c r="F22" s="2647" t="s">
        <v>2536</v>
      </c>
      <c r="G22" s="2647" t="s">
        <v>1959</v>
      </c>
      <c r="H22" s="1065"/>
      <c r="I22" s="1064"/>
      <c r="L22" s="1039">
        <f>IFERROR(MIN(4,MATCH(Application!B728,UnitSizes,0)-1),"")</f>
        <v>0</v>
      </c>
      <c r="M22" s="1060">
        <f>Application!G728</f>
        <v>6</v>
      </c>
      <c r="N22" s="1066">
        <f>Application!AC728</f>
        <v>0.6</v>
      </c>
      <c r="O22" s="1066">
        <f>IF(Cdlac[[#This Row],[Quantity]]&gt;0,IF(Cdlac[[#This Row],[Federal]],30%,IF(AND(OR(NOT($G$38),$G$38=""),$G$43),40%,Cdlac[[#This Row],[iAMI]])),"")</f>
        <v>0.6</v>
      </c>
      <c r="P22" s="1060" cm="1">
        <f t="array" ref="P22">IF(Cdlac[[#This Row],[Quantity]]&gt;0,INDEX(TcacRents,$P$18,Cdlac[[#This Row],[Bedrooms]]+1)*Cdlac[[#This Row],[AMI]],"")</f>
        <v>1777.2</v>
      </c>
      <c r="Q22" s="1157"/>
      <c r="R22" s="1060" cm="1">
        <f t="array" ref="R22">IF(Cdlac[[#This Row],[Quantity]]&gt;0,INDEX(HudFmrs,$P$18,Cdlac[[#This Row],[Bedrooms]]+1),"")</f>
        <v>2352</v>
      </c>
      <c r="S22" s="1060">
        <f>IF(Cdlac[[#This Row],[Quantity]]&gt;0,MAX(0,Cdlac[[#This Row],[Fair Market Rent]]-IF(AND($G$37,$G$38,$G$38&lt;&gt;"",NOT(Cdlac[[#This Row],[Federal]]),Cdlac[[#This Row],[Preservation Rent]]&lt;&gt;""),Cdlac[[#This Row],[Preservation Rent]],Cdlac[[#This Row],[Restricted Rent]])),"")</f>
        <v>574.79999999999995</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8"/>
      <c r="D23" s="2648"/>
      <c r="E23" s="2648"/>
      <c r="F23" s="2648"/>
      <c r="G23" s="2648"/>
      <c r="H23" s="1065"/>
      <c r="I23" s="1064"/>
      <c r="L23" s="1039">
        <f>IFERROR(MIN(4,MATCH(Application!B729,UnitSizes,0)-1),"")</f>
        <v>0</v>
      </c>
      <c r="M23" s="1060">
        <f>Application!G729</f>
        <v>6</v>
      </c>
      <c r="N23" s="1066">
        <f>Application!AC729</f>
        <v>0.7</v>
      </c>
      <c r="O23" s="1066">
        <f>IF(Cdlac[[#This Row],[Quantity]]&gt;0,IF(Cdlac[[#This Row],[Federal]],30%,IF(AND(OR(NOT($G$38),$G$38=""),$G$43),40%,Cdlac[[#This Row],[iAMI]])),"")</f>
        <v>0.7</v>
      </c>
      <c r="P23" s="1060" cm="1">
        <f t="array" ref="P23">IF(Cdlac[[#This Row],[Quantity]]&gt;0,INDEX(TcacRents,$P$18,Cdlac[[#This Row],[Bedrooms]]+1)*Cdlac[[#This Row],[AMI]],"")</f>
        <v>2073.4</v>
      </c>
      <c r="Q23" s="1157"/>
      <c r="R23" s="1060" cm="1">
        <f t="array" ref="R23">IF(Cdlac[[#This Row],[Quantity]]&gt;0,INDEX(HudFmrs,$P$18,Cdlac[[#This Row],[Bedrooms]]+1),"")</f>
        <v>2352</v>
      </c>
      <c r="S23" s="1060">
        <f>IF(Cdlac[[#This Row],[Quantity]]&gt;0,MAX(0,Cdlac[[#This Row],[Fair Market Rent]]-IF(AND($G$37,$G$38,$G$38&lt;&gt;"",NOT(Cdlac[[#This Row],[Federal]]),Cdlac[[#This Row],[Preservation Rent]]&lt;&gt;""),Cdlac[[#This Row],[Preservation Rent]],Cdlac[[#This Row],[Restricted Rent]])),"")</f>
        <v>278.59999999999991</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16</v>
      </c>
      <c r="F24" s="1067">
        <f>E24</f>
        <v>16</v>
      </c>
      <c r="G24" s="1067">
        <f>D24*F24</f>
        <v>14.4</v>
      </c>
      <c r="L24" s="1039">
        <f>IFERROR(MIN(4,MATCH(Application!B730,UnitSizes,0)-1),"")</f>
        <v>1</v>
      </c>
      <c r="M24" s="1060">
        <f>Application!G730</f>
        <v>17</v>
      </c>
      <c r="N24" s="1066">
        <f>Application!AC730</f>
        <v>0.3</v>
      </c>
      <c r="O24" s="1066">
        <f>IF(Cdlac[[#This Row],[Quantity]]&gt;0,IF(Cdlac[[#This Row],[Federal]],30%,IF(AND(OR(NOT($G$38),$G$38=""),$G$43),40%,Cdlac[[#This Row],[iAMI]])),"")</f>
        <v>0.3</v>
      </c>
      <c r="P24" s="1060" cm="1">
        <f t="array" ref="P24">IF(Cdlac[[#This Row],[Quantity]]&gt;0,INDEX(TcacRents,$P$18,Cdlac[[#This Row],[Bedrooms]]+1)*Cdlac[[#This Row],[AMI]],"")</f>
        <v>951.59999999999991</v>
      </c>
      <c r="Q24" s="1157"/>
      <c r="R24" s="1060" cm="1">
        <f t="array" ref="R24">IF(Cdlac[[#This Row],[Quantity]]&gt;0,INDEX(HudFmrs,$P$18,Cdlac[[#This Row],[Bedrooms]]+1),"")</f>
        <v>2454</v>
      </c>
      <c r="S24" s="1060">
        <f>IF(Cdlac[[#This Row],[Quantity]]&gt;0,MAX(0,Cdlac[[#This Row],[Fair Market Rent]]-IF(AND($G$37,$G$38,$G$38&lt;&gt;"",NOT(Cdlac[[#This Row],[Federal]]),Cdlac[[#This Row],[Preservation Rent]]&lt;&gt;""),Cdlac[[#This Row],[Preservation Rent]],Cdlac[[#This Row],[Restricted Rent]])),"")</f>
        <v>1502.4</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166</v>
      </c>
      <c r="F25" s="1067">
        <f>E25</f>
        <v>166</v>
      </c>
      <c r="G25" s="1067">
        <f>D25*F25</f>
        <v>166</v>
      </c>
      <c r="L25" s="1039">
        <f>IFERROR(MIN(4,MATCH(Application!B731,UnitSizes,0)-1),"")</f>
        <v>1</v>
      </c>
      <c r="M25" s="1060">
        <f>Application!G731</f>
        <v>17</v>
      </c>
      <c r="N25" s="1066">
        <f>Application!AC731</f>
        <v>0.5</v>
      </c>
      <c r="O25" s="1066">
        <f>IF(Cdlac[[#This Row],[Quantity]]&gt;0,IF(Cdlac[[#This Row],[Federal]],30%,IF(AND(OR(NOT($G$38),$G$38=""),$G$43),40%,Cdlac[[#This Row],[iAMI]])),"")</f>
        <v>0.5</v>
      </c>
      <c r="P25" s="1060" cm="1">
        <f t="array" ref="P25">IF(Cdlac[[#This Row],[Quantity]]&gt;0,INDEX(TcacRents,$P$18,Cdlac[[#This Row],[Bedrooms]]+1)*Cdlac[[#This Row],[AMI]],"")</f>
        <v>1586</v>
      </c>
      <c r="Q25" s="1157"/>
      <c r="R25" s="1060" cm="1">
        <f t="array" ref="R25">IF(Cdlac[[#This Row],[Quantity]]&gt;0,INDEX(HudFmrs,$P$18,Cdlac[[#This Row],[Bedrooms]]+1),"")</f>
        <v>2454</v>
      </c>
      <c r="S25" s="1060">
        <f>IF(Cdlac[[#This Row],[Quantity]]&gt;0,MAX(0,Cdlac[[#This Row],[Fair Market Rent]]-IF(AND($G$37,$G$38,$G$38&lt;&gt;"",NOT(Cdlac[[#This Row],[Federal]]),Cdlac[[#This Row],[Preservation Rent]]&lt;&gt;""),Cdlac[[#This Row],[Preservation Rent]],Cdlac[[#This Row],[Restricted Rent]])),"")</f>
        <v>868</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6</v>
      </c>
      <c r="F26" s="1070">
        <f>SUM(E26:E28)-SUM(F27:F28)</f>
        <v>6</v>
      </c>
      <c r="G26" s="1067">
        <f>D26*F26</f>
        <v>7.5</v>
      </c>
      <c r="H26" s="1069"/>
      <c r="I26" s="1069"/>
      <c r="L26" s="1039">
        <f>IFERROR(MIN(4,MATCH(Application!B732,UnitSizes,0)-1),"")</f>
        <v>1</v>
      </c>
      <c r="M26" s="1060">
        <f>Application!G732</f>
        <v>63</v>
      </c>
      <c r="N26" s="1066">
        <f>Application!AC732</f>
        <v>0.6</v>
      </c>
      <c r="O26" s="1066">
        <f>IF(Cdlac[[#This Row],[Quantity]]&gt;0,IF(Cdlac[[#This Row],[Federal]],30%,IF(AND(OR(NOT($G$38),$G$38=""),$G$43),40%,Cdlac[[#This Row],[iAMI]])),"")</f>
        <v>0.6</v>
      </c>
      <c r="P26" s="1060" cm="1">
        <f t="array" ref="P26">IF(Cdlac[[#This Row],[Quantity]]&gt;0,INDEX(TcacRents,$P$18,Cdlac[[#This Row],[Bedrooms]]+1)*Cdlac[[#This Row],[AMI]],"")</f>
        <v>1903.1999999999998</v>
      </c>
      <c r="Q26" s="1157"/>
      <c r="R26" s="1060" cm="1">
        <f t="array" ref="R26">IF(Cdlac[[#This Row],[Quantity]]&gt;0,INDEX(HudFmrs,$P$18,Cdlac[[#This Row],[Bedrooms]]+1),"")</f>
        <v>2454</v>
      </c>
      <c r="S26" s="1060">
        <f>IF(Cdlac[[#This Row],[Quantity]]&gt;0,MAX(0,Cdlac[[#This Row],[Fair Market Rent]]-IF(AND($G$37,$G$38,$G$38&lt;&gt;"",NOT(Cdlac[[#This Row],[Federal]]),Cdlac[[#This Row],[Preservation Rent]]&lt;&gt;""),Cdlac[[#This Row],[Preservation Rent]],Cdlac[[#This Row],[Restricted Rent]])),"")</f>
        <v>550.80000000000018</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0</v>
      </c>
      <c r="F27" s="1070">
        <f>MIN(E27,ROUNDDOWN(E29*30%,0))</f>
        <v>0</v>
      </c>
      <c r="G27" s="1067">
        <f>D27*F27</f>
        <v>0</v>
      </c>
      <c r="H27" s="1069"/>
      <c r="I27" s="1069"/>
      <c r="L27" s="1039">
        <f>IFERROR(MIN(4,MATCH(Application!B733,UnitSizes,0)-1),"")</f>
        <v>1</v>
      </c>
      <c r="M27" s="1060">
        <f>Application!G733</f>
        <v>69</v>
      </c>
      <c r="N27" s="1066">
        <f>Application!AC733</f>
        <v>0.7</v>
      </c>
      <c r="O27" s="1066">
        <f>IF(Cdlac[[#This Row],[Quantity]]&gt;0,IF(Cdlac[[#This Row],[Federal]],30%,IF(AND(OR(NOT($G$38),$G$38=""),$G$43),40%,Cdlac[[#This Row],[iAMI]])),"")</f>
        <v>0.7</v>
      </c>
      <c r="P27" s="1060" cm="1">
        <f t="array" ref="P27">IF(Cdlac[[#This Row],[Quantity]]&gt;0,INDEX(TcacRents,$P$18,Cdlac[[#This Row],[Bedrooms]]+1)*Cdlac[[#This Row],[AMI]],"")</f>
        <v>2220.3999999999996</v>
      </c>
      <c r="Q27" s="1157"/>
      <c r="R27" s="1060" cm="1">
        <f t="array" ref="R27">IF(Cdlac[[#This Row],[Quantity]]&gt;0,INDEX(HudFmrs,$P$18,Cdlac[[#This Row],[Bedrooms]]+1),"")</f>
        <v>2454</v>
      </c>
      <c r="S27" s="1060">
        <f>IF(Cdlac[[#This Row],[Quantity]]&gt;0,MAX(0,Cdlac[[#This Row],[Fair Market Rent]]-IF(AND($G$37,$G$38,$G$38&lt;&gt;"",NOT(Cdlac[[#This Row],[Federal]]),Cdlac[[#This Row],[Preservation Rent]]&lt;&gt;""),Cdlac[[#This Row],[Preservation Rent]],Cdlac[[#This Row],[Restricted Rent]])),"")</f>
        <v>233.60000000000036</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2</v>
      </c>
      <c r="M28" s="1060">
        <f>Application!G734</f>
        <v>1</v>
      </c>
      <c r="N28" s="1066">
        <f>Application!AC734</f>
        <v>0.3</v>
      </c>
      <c r="O28" s="1066">
        <f>IF(Cdlac[[#This Row],[Quantity]]&gt;0,IF(Cdlac[[#This Row],[Federal]],30%,IF(AND(OR(NOT($G$38),$G$38=""),$G$43),40%,Cdlac[[#This Row],[iAMI]])),"")</f>
        <v>0.3</v>
      </c>
      <c r="P28" s="1060" cm="1">
        <f t="array" ref="P28">IF(Cdlac[[#This Row],[Quantity]]&gt;0,INDEX(TcacRents,$P$18,Cdlac[[#This Row],[Bedrooms]]+1)*Cdlac[[#This Row],[AMI]],"")</f>
        <v>1141.8</v>
      </c>
      <c r="Q28" s="1157"/>
      <c r="R28" s="1060" cm="1">
        <f t="array" ref="R28">IF(Cdlac[[#This Row],[Quantity]]&gt;0,INDEX(HudFmrs,$P$18,Cdlac[[#This Row],[Bedrooms]]+1),"")</f>
        <v>2903</v>
      </c>
      <c r="S28" s="1060">
        <f>IF(Cdlac[[#This Row],[Quantity]]&gt;0,MAX(0,Cdlac[[#This Row],[Fair Market Rent]]-IF(AND($G$37,$G$38,$G$38&lt;&gt;"",NOT(Cdlac[[#This Row],[Federal]]),Cdlac[[#This Row],[Preservation Rent]]&lt;&gt;""),Cdlac[[#This Row],[Preservation Rent]],Cdlac[[#This Row],[Restricted Rent]])),"")</f>
        <v>1761.2</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49" t="s">
        <v>1575</v>
      </c>
      <c r="D29" s="2650"/>
      <c r="E29" s="1084">
        <f>SUM(E24:E28)</f>
        <v>188</v>
      </c>
      <c r="F29" s="1084">
        <f>SUM(F24:F28)</f>
        <v>188</v>
      </c>
      <c r="G29" s="1085">
        <f>SUMPRODUCT(D24:D28,F24:F28)</f>
        <v>187.9</v>
      </c>
      <c r="H29" s="1069"/>
      <c r="I29" s="1069"/>
      <c r="L29" s="1039">
        <f>IFERROR(MIN(4,MATCH(Application!B735,UnitSizes,0)-1),"")</f>
        <v>2</v>
      </c>
      <c r="M29" s="1060">
        <f>Application!G735</f>
        <v>2</v>
      </c>
      <c r="N29" s="1066">
        <f>Application!AC735</f>
        <v>0.6</v>
      </c>
      <c r="O29" s="1066">
        <f>IF(Cdlac[[#This Row],[Quantity]]&gt;0,IF(Cdlac[[#This Row],[Federal]],30%,IF(AND(OR(NOT($G$38),$G$38=""),$G$43),40%,Cdlac[[#This Row],[iAMI]])),"")</f>
        <v>0.6</v>
      </c>
      <c r="P29" s="1060" cm="1">
        <f t="array" ref="P29">IF(Cdlac[[#This Row],[Quantity]]&gt;0,INDEX(TcacRents,$P$18,Cdlac[[#This Row],[Bedrooms]]+1)*Cdlac[[#This Row],[AMI]],"")</f>
        <v>2283.6</v>
      </c>
      <c r="Q29" s="1157"/>
      <c r="R29" s="1060" cm="1">
        <f t="array" ref="R29">IF(Cdlac[[#This Row],[Quantity]]&gt;0,INDEX(HudFmrs,$P$18,Cdlac[[#This Row],[Bedrooms]]+1),"")</f>
        <v>2903</v>
      </c>
      <c r="S29" s="1060">
        <f>IF(Cdlac[[#This Row],[Quantity]]&gt;0,MAX(0,Cdlac[[#This Row],[Fair Market Rent]]-IF(AND($G$37,$G$38,$G$38&lt;&gt;"",NOT(Cdlac[[#This Row],[Federal]]),Cdlac[[#This Row],[Preservation Rent]]&lt;&gt;""),Cdlac[[#This Row],[Preservation Rent]],Cdlac[[#This Row],[Restricted Rent]])),"")</f>
        <v>619.40000000000009</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f>IFERROR(MIN(4,MATCH(Application!B736,UnitSizes,0)-1),"")</f>
        <v>2</v>
      </c>
      <c r="M30" s="1060">
        <f>Application!G736</f>
        <v>3</v>
      </c>
      <c r="N30" s="1066">
        <f>Application!AC736</f>
        <v>0.7</v>
      </c>
      <c r="O30" s="1066">
        <f>IF(Cdlac[[#This Row],[Quantity]]&gt;0,IF(Cdlac[[#This Row],[Federal]],30%,IF(AND(OR(NOT($G$38),$G$38=""),$G$43),40%,Cdlac[[#This Row],[iAMI]])),"")</f>
        <v>0.7</v>
      </c>
      <c r="P30" s="1060" cm="1">
        <f t="array" ref="P30">IF(Cdlac[[#This Row],[Quantity]]&gt;0,INDEX(TcacRents,$P$18,Cdlac[[#This Row],[Bedrooms]]+1)*Cdlac[[#This Row],[AMI]],"")</f>
        <v>2664.2</v>
      </c>
      <c r="Q30" s="1157"/>
      <c r="R30" s="1060" cm="1">
        <f t="array" ref="R30">IF(Cdlac[[#This Row],[Quantity]]&gt;0,INDEX(HudFmrs,$P$18,Cdlac[[#This Row],[Bedrooms]]+1),"")</f>
        <v>2903</v>
      </c>
      <c r="S30" s="1060">
        <f>IF(Cdlac[[#This Row],[Quantity]]&gt;0,MAX(0,Cdlac[[#This Row],[Fair Market Rent]]-IF(AND($G$37,$G$38,$G$38&lt;&gt;"",NOT(Cdlac[[#This Row],[Federal]]),Cdlac[[#This Row],[Preservation Rent]]&lt;&gt;""),Cdlac[[#This Row],[Preservation Rent]],Cdlac[[#This Row],[Restricted Rent]])),"")</f>
        <v>238.80000000000018</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0</v>
      </c>
    </row>
    <row r="31" spans="1:21" ht="15" customHeight="1">
      <c r="A31" s="1069"/>
      <c r="E31" s="1111" t="s">
        <v>1959</v>
      </c>
      <c r="G31" s="1108">
        <f>G29</f>
        <v>187.9</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1918</v>
      </c>
      <c r="F32" s="1107" t="s">
        <v>1966</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1952</v>
      </c>
      <c r="F33" s="1041"/>
      <c r="G33" s="1113">
        <f>G32*G31</f>
        <v>9395000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2574</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2209</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2" t="str">
        <f>IF(AND(G37,G38,G38&lt;&gt;""),"Enter the average rent charged for each unit type over the last three years, as documented with rent rolls or property audits, in cells Q20:Q44","")</f>
        <v/>
      </c>
      <c r="D39" s="2652"/>
      <c r="E39" s="2652"/>
      <c r="F39" s="2652"/>
      <c r="G39" s="2652"/>
      <c r="H39" s="2652"/>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2"/>
      <c r="D40" s="2652"/>
      <c r="E40" s="2652"/>
      <c r="F40" s="2652"/>
      <c r="G40" s="2652"/>
      <c r="H40" s="2652"/>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2"/>
      <c r="D41" s="2652"/>
      <c r="E41" s="2652"/>
      <c r="F41" s="2652"/>
      <c r="G41" s="2652"/>
      <c r="H41" s="2652"/>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1977</v>
      </c>
      <c r="G42" s="1114" cm="1">
        <f t="array" ref="G42">SUMPRODUCT(Cdlac[Quantity],Cdlac[iAMI],IF(Cdlac[Federal],0,1))/SUMIFS(Cdlac[Quantity],Cdlac[Federal],FALSE)</f>
        <v>0.59946808510638294</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1972</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1922</v>
      </c>
      <c r="G45" s="1073">
        <f>IFERROR(SUMPRODUCT(Cdlac[Quantity],Cdlac[Delta]),0)</f>
        <v>104621.20000000003</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1978</v>
      </c>
      <c r="F46" s="1107" t="s">
        <v>1966</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1917</v>
      </c>
      <c r="F47" s="1041"/>
      <c r="G47" s="1117">
        <f>G45*G46</f>
        <v>18831816.000000004</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1969</v>
      </c>
      <c r="G51" s="1074">
        <f>SUMIFS(Cdlac[Quantity],Cdlac[iAMI],"&lt;=30%")</f>
        <v>20</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1968</v>
      </c>
      <c r="G52" s="1074">
        <f>ROUNDDOWN(E29*50%,0)</f>
        <v>94</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1928</v>
      </c>
      <c r="G54" s="1108">
        <f>MIN(G51:G52)</f>
        <v>20</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1918</v>
      </c>
      <c r="F55" s="1107" t="s">
        <v>1966</v>
      </c>
      <c r="G55" s="1118">
        <v>20000</v>
      </c>
      <c r="M55" s="1060"/>
      <c r="N55" s="1066"/>
      <c r="O55" s="1066"/>
      <c r="P55" s="1060"/>
      <c r="Q55" s="1157"/>
      <c r="R55" s="1060"/>
      <c r="S55" s="1060"/>
    </row>
    <row r="56" spans="2:21" ht="15" customHeight="1">
      <c r="E56" s="1112" t="s">
        <v>1950</v>
      </c>
      <c r="F56" s="1041"/>
      <c r="G56" s="1117">
        <f>G54*G55</f>
        <v>400000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1967</v>
      </c>
      <c r="G60" s="1202">
        <f>T18</f>
        <v>0</v>
      </c>
    </row>
    <row r="61" spans="2:21" ht="15" customHeight="1">
      <c r="E61" s="1111" t="s">
        <v>1968</v>
      </c>
      <c r="G61" s="1108">
        <f>ROUNDDOWN(E29*50%,0)</f>
        <v>94</v>
      </c>
    </row>
    <row r="62" spans="2:21" ht="15" customHeight="1">
      <c r="E62" s="1111"/>
      <c r="G62" s="1119"/>
    </row>
    <row r="63" spans="2:21" ht="15" customHeight="1">
      <c r="E63" s="1111" t="s">
        <v>1928</v>
      </c>
      <c r="G63" s="1108">
        <f>MIN(G60:G61)</f>
        <v>0</v>
      </c>
    </row>
    <row r="64" spans="2:21" ht="15" customHeight="1">
      <c r="E64" s="1111" t="s">
        <v>1918</v>
      </c>
      <c r="F64" s="1107" t="s">
        <v>1966</v>
      </c>
      <c r="G64" s="1118">
        <v>10000</v>
      </c>
    </row>
    <row r="65" spans="5:7" ht="15" customHeight="1">
      <c r="E65" s="1112" t="s">
        <v>1951</v>
      </c>
      <c r="F65" s="1041"/>
      <c r="G65" s="1117">
        <f>G63*G64</f>
        <v>0</v>
      </c>
    </row>
    <row r="66" spans="5:7" ht="15" customHeight="1">
      <c r="E66" s="1112"/>
      <c r="F66" s="1041"/>
      <c r="G66" s="1117"/>
    </row>
    <row r="67" spans="5:7" ht="15" customHeight="1">
      <c r="E67" s="1079" t="s">
        <v>2579</v>
      </c>
      <c r="G67" s="1039" t="b">
        <f>Application!V227="Yes"</f>
        <v>0</v>
      </c>
    </row>
    <row r="68" spans="5:7" ht="15" customHeight="1">
      <c r="E68" s="1079" t="s">
        <v>2580</v>
      </c>
      <c r="G68" s="1202">
        <f>SUMIF(Application!AK726:AK760,"Homeless",Application!G726:G760)</f>
        <v>0</v>
      </c>
    </row>
    <row r="69" spans="5:7" ht="15" customHeight="1">
      <c r="E69" s="1079"/>
    </row>
    <row r="70" spans="5:7" ht="15" customHeight="1">
      <c r="E70" s="1079" t="s">
        <v>2581</v>
      </c>
      <c r="G70" s="1203"/>
    </row>
    <row r="71" spans="5:7" ht="15" customHeight="1">
      <c r="E71" s="1079" t="s">
        <v>2582</v>
      </c>
      <c r="G71" s="1203"/>
    </row>
    <row r="72" spans="5:7" ht="15" customHeight="1">
      <c r="E72" s="1079" t="s">
        <v>2583</v>
      </c>
      <c r="G72" s="1202">
        <f>IF(G71=0,0,(G70/G71)*100000)</f>
        <v>0</v>
      </c>
    </row>
    <row r="73" spans="5:7" ht="15" customHeight="1">
      <c r="E73" s="1079" t="s">
        <v>2584</v>
      </c>
      <c r="G73" s="1203"/>
    </row>
    <row r="74" spans="5:7" ht="15" customHeight="1">
      <c r="E74" s="1079" t="s">
        <v>2585</v>
      </c>
      <c r="G74" s="1203"/>
    </row>
    <row r="75" spans="5:7" ht="15" customHeight="1">
      <c r="E75" s="1079" t="s">
        <v>2586</v>
      </c>
      <c r="G75" s="1202">
        <f>IF(G74=0,0,(G73/G74)*100000)</f>
        <v>0</v>
      </c>
    </row>
    <row r="76" spans="5:7" ht="15" customHeight="1">
      <c r="E76" s="1112"/>
      <c r="F76" s="1041"/>
      <c r="G76" s="1117"/>
    </row>
    <row r="77" spans="5:7" ht="15" customHeight="1">
      <c r="E77" s="1111" t="s">
        <v>1928</v>
      </c>
      <c r="G77" s="1108">
        <f>IF(OR(G75&gt;G72,G71&lt;100000),G75*G68,G72*G68)</f>
        <v>0</v>
      </c>
    </row>
    <row r="78" spans="5:7" ht="15" customHeight="1">
      <c r="E78" s="1111" t="s">
        <v>1918</v>
      </c>
      <c r="F78" s="1107" t="s">
        <v>1966</v>
      </c>
      <c r="G78" s="1118">
        <v>100</v>
      </c>
    </row>
    <row r="79" spans="5:7" ht="15" customHeight="1">
      <c r="E79" s="1112" t="s">
        <v>1951</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1954</v>
      </c>
      <c r="G83" s="1038" t="s">
        <v>545</v>
      </c>
      <c r="L83" s="2673" t="s">
        <v>1943</v>
      </c>
      <c r="M83" s="2674"/>
      <c r="N83" s="1125">
        <v>30000</v>
      </c>
    </row>
    <row r="84" spans="2:14" ht="15" customHeight="1">
      <c r="C84" s="1072" t="s">
        <v>1955</v>
      </c>
      <c r="G84" s="1076" t="str">
        <f>IF(Application!D211="Large Family","Yes","No")</f>
        <v>No</v>
      </c>
      <c r="L84" s="2677" t="s">
        <v>1911</v>
      </c>
      <c r="M84" s="2678"/>
      <c r="N84" s="1126">
        <v>20000</v>
      </c>
    </row>
    <row r="85" spans="2:14" ht="15" customHeight="1" thickBot="1">
      <c r="C85" s="1072" t="s">
        <v>1941</v>
      </c>
      <c r="G85" s="1038" t="s">
        <v>669</v>
      </c>
      <c r="L85" s="2679" t="s">
        <v>1944</v>
      </c>
      <c r="M85" s="2680"/>
      <c r="N85" s="1127">
        <v>10000</v>
      </c>
    </row>
    <row r="86" spans="2:14" ht="15" customHeight="1" thickBot="1">
      <c r="C86" s="1072" t="s">
        <v>1942</v>
      </c>
      <c r="G86" s="1039" t="str">
        <f>Application!T193</f>
        <v>Low Resource</v>
      </c>
    </row>
    <row r="87" spans="2:14" ht="15" customHeight="1">
      <c r="C87" s="2655" t="s">
        <v>2211</v>
      </c>
      <c r="D87" s="2655"/>
      <c r="E87" s="2655"/>
      <c r="F87" s="2655"/>
      <c r="G87" s="1038" t="s">
        <v>669</v>
      </c>
      <c r="L87" s="1121" t="str">
        <f>'Points System'!H651</f>
        <v>(i)</v>
      </c>
      <c r="M87" s="2675" t="s">
        <v>1397</v>
      </c>
      <c r="N87" s="2676"/>
    </row>
    <row r="88" spans="2:14" ht="15" customHeight="1">
      <c r="C88" s="2655"/>
      <c r="D88" s="2655"/>
      <c r="E88" s="2655"/>
      <c r="F88" s="2655"/>
      <c r="L88" s="1122" t="str">
        <f>'Points System'!H663</f>
        <v>(i)</v>
      </c>
      <c r="M88" s="2669" t="s">
        <v>1930</v>
      </c>
      <c r="N88" s="2670"/>
    </row>
    <row r="89" spans="2:14" ht="15" customHeight="1">
      <c r="C89" s="1072"/>
      <c r="L89" s="1122" t="str">
        <f>'Points System'!H698</f>
        <v>(i)</v>
      </c>
      <c r="M89" s="2669" t="s">
        <v>1931</v>
      </c>
      <c r="N89" s="2670"/>
    </row>
    <row r="90" spans="2:14" ht="15" customHeight="1">
      <c r="E90" s="1079" t="s">
        <v>1973</v>
      </c>
      <c r="G90" s="1074" t="b">
        <f>OR(AND(COUNTIFS(G84:G85,"Yes")&gt;=1,G83="Yes"),G87="Yes")</f>
        <v>0</v>
      </c>
      <c r="L90" s="1122" t="str">
        <f>IF(OR('Points System'!H722="(ii)",'Points System'!H722="(i)"),"(i)","N/A")</f>
        <v>(i)</v>
      </c>
      <c r="M90" s="2669" t="s">
        <v>1932</v>
      </c>
      <c r="N90" s="2670"/>
    </row>
    <row r="91" spans="2:14" ht="15" customHeight="1">
      <c r="E91" s="1079"/>
      <c r="G91" s="1074"/>
      <c r="L91" s="1123" t="str">
        <f>'Points System'!H736</f>
        <v>N/A</v>
      </c>
      <c r="M91" s="2669" t="s">
        <v>1423</v>
      </c>
      <c r="N91" s="2670"/>
    </row>
    <row r="92" spans="2:14" ht="15" customHeight="1">
      <c r="E92" s="1079" t="s">
        <v>1918</v>
      </c>
      <c r="G92" s="1073">
        <f>IFERROR(IF($G$87="Yes",30000,INDEX(N83:N85,MATCH(LEFT(G86,17),L83:L85,0))),0)</f>
        <v>0</v>
      </c>
      <c r="L92" s="1122" t="str">
        <f>'Points System'!H748</f>
        <v>N/A</v>
      </c>
      <c r="M92" s="2669" t="s">
        <v>1933</v>
      </c>
      <c r="N92" s="2670"/>
    </row>
    <row r="93" spans="2:14" ht="15" customHeight="1">
      <c r="E93" s="1079" t="str">
        <f>E110</f>
        <v>Bedroom-Adjusted Low-Income Units</v>
      </c>
      <c r="F93" s="1107" t="s">
        <v>1966</v>
      </c>
      <c r="G93" s="1108">
        <f>G29</f>
        <v>187.9</v>
      </c>
      <c r="L93" s="1122" t="str">
        <f>'Points System'!H764</f>
        <v>(i)</v>
      </c>
      <c r="M93" s="2669" t="s">
        <v>1934</v>
      </c>
      <c r="N93" s="2670"/>
    </row>
    <row r="94" spans="2:14" ht="15" customHeight="1" thickBot="1">
      <c r="D94" s="1041"/>
      <c r="E94" s="1112" t="s">
        <v>2214</v>
      </c>
      <c r="F94" s="1041"/>
      <c r="G94" s="1117">
        <f>G93*G92*G90</f>
        <v>0</v>
      </c>
      <c r="L94" s="1124" t="str">
        <f>'Points System'!H776</f>
        <v>(i)</v>
      </c>
      <c r="M94" s="2671" t="s">
        <v>1426</v>
      </c>
      <c r="N94" s="2672"/>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1949</v>
      </c>
      <c r="G98" s="1038" t="s">
        <v>545</v>
      </c>
    </row>
    <row r="99" spans="2:9" ht="15" customHeight="1">
      <c r="F99" s="1110"/>
    </row>
    <row r="100" spans="2:9" ht="15" customHeight="1">
      <c r="E100" s="1079" t="s">
        <v>1973</v>
      </c>
      <c r="G100" s="1074" t="b">
        <f>G98="Yes"</f>
        <v>1</v>
      </c>
    </row>
    <row r="101" spans="2:9" ht="15" customHeight="1"/>
    <row r="102" spans="2:9" ht="15" customHeight="1">
      <c r="E102" s="1079" t="str">
        <f>E110</f>
        <v>Bedroom-Adjusted Low-Income Units</v>
      </c>
      <c r="G102" s="1108">
        <f>G29</f>
        <v>187.9</v>
      </c>
    </row>
    <row r="103" spans="2:9" ht="15" customHeight="1">
      <c r="E103" s="1079" t="s">
        <v>1918</v>
      </c>
      <c r="F103" s="1107" t="s">
        <v>1966</v>
      </c>
      <c r="G103" s="1045">
        <v>20000</v>
      </c>
    </row>
    <row r="104" spans="2:9" ht="15" customHeight="1">
      <c r="E104" s="1112" t="s">
        <v>2215</v>
      </c>
      <c r="F104" s="1041"/>
      <c r="G104" s="1117">
        <f>G100*G103*G102</f>
        <v>3758000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1929</v>
      </c>
      <c r="G108" s="1108">
        <f>VLOOKUP('Points System'!$H$619,'Points System'!$AO$599:$AP$604,2,FALSE)</f>
        <v>7</v>
      </c>
    </row>
    <row r="109" spans="2:9" ht="15" customHeight="1">
      <c r="E109" s="1079" t="s">
        <v>1918</v>
      </c>
      <c r="F109" s="1107" t="s">
        <v>1966</v>
      </c>
      <c r="G109" s="1071">
        <v>4000</v>
      </c>
    </row>
    <row r="110" spans="2:9" ht="15" customHeight="1">
      <c r="E110" s="1079" t="s">
        <v>1970</v>
      </c>
      <c r="F110" s="1107" t="s">
        <v>1966</v>
      </c>
      <c r="G110" s="1120">
        <f>G29</f>
        <v>187.9</v>
      </c>
    </row>
    <row r="111" spans="2:9" ht="15" customHeight="1">
      <c r="E111" s="1112" t="s">
        <v>1935</v>
      </c>
      <c r="F111" s="1041"/>
      <c r="G111" s="1117">
        <f>G108*G109*G110</f>
        <v>5261200</v>
      </c>
    </row>
    <row r="112" spans="2:9" ht="15" customHeight="1">
      <c r="C112" s="1072"/>
      <c r="G112" s="1108"/>
    </row>
    <row r="113" spans="2:7" ht="15" customHeight="1">
      <c r="E113" s="1079" t="s">
        <v>1971</v>
      </c>
      <c r="G113" s="1108">
        <f>COUNTIFS(L87:L94,"(i)")</f>
        <v>6</v>
      </c>
    </row>
    <row r="114" spans="2:7" ht="15" customHeight="1">
      <c r="E114" s="1079" t="s">
        <v>1918</v>
      </c>
      <c r="F114" s="1107" t="s">
        <v>1966</v>
      </c>
      <c r="G114" s="1118">
        <v>4000</v>
      </c>
    </row>
    <row r="115" spans="2:7" ht="15" customHeight="1">
      <c r="E115" s="1112" t="s">
        <v>1936</v>
      </c>
      <c r="F115" s="1041"/>
      <c r="G115" s="1117">
        <f>G110*G113*G114</f>
        <v>4509600</v>
      </c>
    </row>
    <row r="116" spans="2:7" ht="15" customHeight="1"/>
    <row r="117" spans="2:7" ht="15" customHeight="1">
      <c r="C117" s="1075" t="s">
        <v>1938</v>
      </c>
    </row>
    <row r="118" spans="2:7" ht="15" customHeight="1">
      <c r="C118" s="1072" t="s">
        <v>1939</v>
      </c>
      <c r="G118" s="1038"/>
    </row>
    <row r="119" spans="2:7" ht="15" customHeight="1">
      <c r="C119" s="1072" t="s">
        <v>1940</v>
      </c>
      <c r="G119" s="1038"/>
    </row>
    <row r="120" spans="2:7" ht="15" customHeight="1">
      <c r="C120" s="1072" t="s">
        <v>2096</v>
      </c>
      <c r="G120" s="1038" t="s">
        <v>545</v>
      </c>
    </row>
    <row r="121" spans="2:7">
      <c r="C121" s="1072" t="s">
        <v>2097</v>
      </c>
      <c r="G121" s="1038"/>
    </row>
    <row r="123" spans="2:7">
      <c r="B123" s="1073"/>
      <c r="C123" s="1072"/>
      <c r="E123" s="1079" t="s">
        <v>1973</v>
      </c>
      <c r="G123" s="1074" t="b">
        <f>COUNTIFS(G118:G121,"Yes")&gt;=1</f>
        <v>1</v>
      </c>
    </row>
    <row r="124" spans="2:7">
      <c r="E124" s="1072"/>
    </row>
    <row r="125" spans="2:7" ht="15">
      <c r="E125" s="1079" t="s">
        <v>1970</v>
      </c>
      <c r="F125" s="1107" t="s">
        <v>1966</v>
      </c>
      <c r="G125" s="1108">
        <f>G29</f>
        <v>187.9</v>
      </c>
    </row>
    <row r="126" spans="2:7" ht="15">
      <c r="E126" s="1079" t="s">
        <v>1918</v>
      </c>
      <c r="F126" s="1107" t="s">
        <v>1966</v>
      </c>
      <c r="G126" s="1118">
        <v>25000</v>
      </c>
    </row>
    <row r="127" spans="2:7" ht="15">
      <c r="E127" s="1112" t="s">
        <v>1937</v>
      </c>
      <c r="F127" s="1041"/>
      <c r="G127" s="1117">
        <f>G123*G126*G110</f>
        <v>4697500</v>
      </c>
    </row>
    <row r="128" spans="2:7">
      <c r="C128" s="1072"/>
      <c r="E128" s="1072"/>
    </row>
    <row r="129" spans="2:9" ht="15">
      <c r="E129" s="1112" t="s">
        <v>2216</v>
      </c>
      <c r="G129" s="1117">
        <f>G127+G115+G111</f>
        <v>14468300</v>
      </c>
    </row>
    <row r="131" spans="2:9" ht="15">
      <c r="B131" s="1061" t="s">
        <v>139</v>
      </c>
      <c r="C131" s="1062"/>
      <c r="D131" s="1062"/>
      <c r="E131" s="1062"/>
      <c r="F131" s="1062"/>
      <c r="G131" s="1062"/>
      <c r="H131" s="1062"/>
      <c r="I131" s="1063"/>
    </row>
    <row r="133" spans="2:9">
      <c r="C133" s="2651" t="s">
        <v>2182</v>
      </c>
      <c r="D133" s="2651"/>
      <c r="E133" s="2651"/>
      <c r="F133" s="2651"/>
    </row>
    <row r="134" spans="2:9">
      <c r="C134" s="2651"/>
      <c r="D134" s="2651"/>
      <c r="E134" s="2651"/>
      <c r="F134" s="2651"/>
      <c r="G134" s="1038"/>
    </row>
    <row r="135" spans="2:9" ht="14.25" customHeight="1"/>
    <row r="136" spans="2:9">
      <c r="C136" s="1039" t="s">
        <v>2184</v>
      </c>
      <c r="G136" s="2653"/>
      <c r="H136" s="2653"/>
    </row>
    <row r="137" spans="2:9">
      <c r="G137" s="2653"/>
      <c r="H137" s="2653"/>
    </row>
    <row r="138" spans="2:9">
      <c r="G138" s="2654"/>
      <c r="H138" s="2654"/>
    </row>
    <row r="140" spans="2:9">
      <c r="C140" s="2651" t="s">
        <v>2594</v>
      </c>
      <c r="D140" s="2651"/>
      <c r="E140" s="2651"/>
      <c r="F140" s="2651"/>
    </row>
    <row r="141" spans="2:9">
      <c r="C141" s="2651"/>
      <c r="D141" s="2651"/>
      <c r="E141" s="2651"/>
      <c r="F141" s="2651"/>
      <c r="G141" s="1038"/>
    </row>
    <row r="142" spans="2:9">
      <c r="C142" s="2651"/>
      <c r="D142" s="2651"/>
      <c r="E142" s="2651"/>
      <c r="F142" s="2651"/>
    </row>
    <row r="144" spans="2:9">
      <c r="C144" s="2651" t="s">
        <v>2593</v>
      </c>
      <c r="D144" s="2651"/>
      <c r="E144" s="2651"/>
      <c r="F144" s="2651"/>
    </row>
    <row r="145" spans="2:9">
      <c r="C145" s="2651"/>
      <c r="D145" s="2651"/>
      <c r="E145" s="2651"/>
      <c r="F145" s="2651"/>
      <c r="G145" s="1038"/>
    </row>
    <row r="146" spans="2:9">
      <c r="C146" s="2651"/>
      <c r="D146" s="2651"/>
      <c r="E146" s="2651"/>
      <c r="F146" s="2651"/>
    </row>
    <row r="147" spans="2:9">
      <c r="C147" s="2651"/>
      <c r="D147" s="2651"/>
      <c r="E147" s="2651"/>
      <c r="F147" s="2651"/>
    </row>
    <row r="149" spans="2:9" ht="15">
      <c r="B149" s="1061" t="s">
        <v>1975</v>
      </c>
      <c r="C149" s="1062"/>
      <c r="D149" s="1062"/>
      <c r="E149" s="1062"/>
      <c r="F149" s="1062"/>
      <c r="G149" s="1062"/>
      <c r="H149" s="1062"/>
      <c r="I149" s="1063"/>
    </row>
    <row r="151" spans="2:9">
      <c r="E151" s="1079" t="s">
        <v>582</v>
      </c>
      <c r="G151" s="1039" t="str">
        <f>IF(Application!T189="","",Application!T189)</f>
        <v>Orange</v>
      </c>
    </row>
    <row r="152" spans="2:9">
      <c r="E152" s="1079"/>
      <c r="G152" s="1073"/>
    </row>
    <row r="153" spans="2:9">
      <c r="E153" s="1079" t="str">
        <f>"2-Bedroom "&amp;G151&amp;" County Basis Limit"</f>
        <v>2-Bedroom Orange County Basis Limit</v>
      </c>
      <c r="G153" s="1073">
        <f>Application!R997</f>
        <v>559200</v>
      </c>
    </row>
    <row r="154" spans="2:9">
      <c r="E154" s="1079" t="s">
        <v>1974</v>
      </c>
      <c r="G154" s="1073">
        <f>MEDIAN((Application!CU160:CU217))</f>
        <v>560000</v>
      </c>
    </row>
    <row r="155" spans="2:9" ht="15">
      <c r="D155" s="1041"/>
      <c r="E155" s="1112" t="s">
        <v>1976</v>
      </c>
      <c r="F155" s="1128"/>
      <c r="G155" s="1129">
        <f>((G153-G154)/G154)*0.25</f>
        <v>-3.5714285714285714E-4</v>
      </c>
      <c r="H155" s="1037"/>
      <c r="I155" s="1037"/>
    </row>
    <row r="156" spans="2:9">
      <c r="D156" s="1040"/>
      <c r="E156" s="1040"/>
    </row>
    <row r="157" spans="2:9" ht="15">
      <c r="B157" s="1061" t="s">
        <v>2217</v>
      </c>
      <c r="C157" s="1062"/>
      <c r="D157" s="1062"/>
      <c r="E157" s="1062"/>
      <c r="F157" s="1062"/>
      <c r="G157" s="1062"/>
      <c r="H157" s="1062"/>
      <c r="I157" s="1063"/>
    </row>
    <row r="159" spans="2:9">
      <c r="E159" s="1079" t="s">
        <v>2574</v>
      </c>
      <c r="G159" s="1039" t="b">
        <f>G37</f>
        <v>0</v>
      </c>
    </row>
    <row r="160" spans="2:9">
      <c r="C160" s="2646" t="s">
        <v>2218</v>
      </c>
      <c r="D160" s="2646"/>
      <c r="E160" s="2646"/>
      <c r="F160" s="2646"/>
    </row>
    <row r="161" spans="2:7">
      <c r="B161" s="1040"/>
      <c r="C161" s="2646"/>
      <c r="D161" s="2646"/>
      <c r="E161" s="2646"/>
      <c r="F161" s="2646"/>
      <c r="G161" s="1038"/>
    </row>
    <row r="162" spans="2:7">
      <c r="B162" s="1040"/>
      <c r="C162" s="1040"/>
      <c r="D162" s="1040"/>
      <c r="E162" s="1040"/>
      <c r="F162" s="1040"/>
    </row>
    <row r="163" spans="2:7">
      <c r="E163" s="1079" t="s">
        <v>2220</v>
      </c>
      <c r="G163" s="1162"/>
    </row>
    <row r="165" spans="2:7">
      <c r="E165" s="1079" t="s">
        <v>2222</v>
      </c>
      <c r="G165" s="1161">
        <f>IF(I9=0,0,G163/I9)</f>
        <v>0</v>
      </c>
    </row>
    <row r="166" spans="2:7">
      <c r="E166" s="1079" t="s">
        <v>2219</v>
      </c>
      <c r="G166" s="1159">
        <f>I9*0.15</f>
        <v>2728825.8525</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7"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N3" sqref="N3"/>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1" t="s">
        <v>909</v>
      </c>
      <c r="B1" s="2681"/>
      <c r="C1" s="2681"/>
      <c r="D1" s="2681"/>
      <c r="E1" s="2681"/>
      <c r="F1" s="2681"/>
      <c r="G1" s="2681"/>
      <c r="H1" s="2681"/>
      <c r="I1" s="2681"/>
      <c r="J1" s="2681"/>
      <c r="K1" s="204"/>
      <c r="L1" s="204"/>
    </row>
    <row r="2" spans="1:12">
      <c r="A2" s="210"/>
      <c r="B2" s="210"/>
      <c r="C2" s="210"/>
      <c r="D2" s="210"/>
      <c r="E2" s="210"/>
      <c r="F2" s="210"/>
      <c r="G2" s="210"/>
      <c r="H2" s="210"/>
      <c r="I2" s="210"/>
      <c r="J2" s="210"/>
    </row>
    <row r="3" spans="1:12" ht="100.5">
      <c r="A3" s="426" t="s">
        <v>910</v>
      </c>
      <c r="B3" s="426" t="s">
        <v>2204</v>
      </c>
      <c r="C3" s="426" t="s">
        <v>2205</v>
      </c>
      <c r="D3" s="1140" t="s">
        <v>2206</v>
      </c>
      <c r="E3" s="204"/>
      <c r="F3" s="1140" t="s">
        <v>911</v>
      </c>
      <c r="G3" s="426" t="s">
        <v>912</v>
      </c>
      <c r="H3" s="427"/>
      <c r="I3" s="426" t="s">
        <v>913</v>
      </c>
      <c r="J3" s="426" t="s">
        <v>914</v>
      </c>
      <c r="K3" s="204"/>
      <c r="L3" s="305"/>
    </row>
    <row r="4" spans="1:12">
      <c r="A4" s="428" t="str">
        <f>Application!B726</f>
        <v>SRO/Studio</v>
      </c>
      <c r="B4" s="1077">
        <f>Application!G726</f>
        <v>2</v>
      </c>
      <c r="C4" s="1155"/>
      <c r="D4" s="428">
        <f>Application!O726</f>
        <v>820.4</v>
      </c>
      <c r="E4" s="429"/>
      <c r="F4" s="1078"/>
      <c r="G4" s="428">
        <f>F4*B4</f>
        <v>0</v>
      </c>
      <c r="H4" s="429"/>
      <c r="I4" s="428" t="str">
        <f t="shared" ref="I4:I27" si="0">IF(F4=0,"",(F4-D4))</f>
        <v/>
      </c>
      <c r="J4" s="428" t="str">
        <f t="shared" ref="J4:J27" si="1">IF(F4=0,"",(I4*B4))</f>
        <v/>
      </c>
      <c r="K4" s="204"/>
      <c r="L4" s="305"/>
    </row>
    <row r="5" spans="1:12">
      <c r="A5" s="428" t="str">
        <f>Application!B727</f>
        <v>SRO/Studio</v>
      </c>
      <c r="B5" s="1077">
        <f>Application!G727</f>
        <v>2</v>
      </c>
      <c r="C5" s="1155"/>
      <c r="D5" s="428">
        <f>Application!O727</f>
        <v>1413.2</v>
      </c>
      <c r="E5" s="429"/>
      <c r="F5" s="1078"/>
      <c r="G5" s="428">
        <f t="shared" ref="G5:G38" si="2">F5*B5</f>
        <v>0</v>
      </c>
      <c r="H5" s="429"/>
      <c r="I5" s="428" t="str">
        <f t="shared" si="0"/>
        <v/>
      </c>
      <c r="J5" s="428" t="str">
        <f t="shared" si="1"/>
        <v/>
      </c>
      <c r="K5" s="204"/>
      <c r="L5" s="305"/>
    </row>
    <row r="6" spans="1:12">
      <c r="A6" s="428" t="str">
        <f>Application!B728</f>
        <v>SRO/Studio</v>
      </c>
      <c r="B6" s="1077">
        <f>Application!G728</f>
        <v>6</v>
      </c>
      <c r="C6" s="1155"/>
      <c r="D6" s="428">
        <f>Application!O728</f>
        <v>1709.2</v>
      </c>
      <c r="E6" s="429"/>
      <c r="F6" s="1078"/>
      <c r="G6" s="428">
        <f t="shared" si="2"/>
        <v>0</v>
      </c>
      <c r="H6" s="429"/>
      <c r="I6" s="428" t="str">
        <f t="shared" si="0"/>
        <v/>
      </c>
      <c r="J6" s="428" t="str">
        <f t="shared" si="1"/>
        <v/>
      </c>
      <c r="K6" s="204"/>
      <c r="L6" s="305"/>
    </row>
    <row r="7" spans="1:12">
      <c r="A7" s="428" t="str">
        <f>Application!B729</f>
        <v>SRO/Studio</v>
      </c>
      <c r="B7" s="1077">
        <f>Application!G729</f>
        <v>6</v>
      </c>
      <c r="C7" s="1155"/>
      <c r="D7" s="428">
        <f>Application!O729</f>
        <v>2005.4</v>
      </c>
      <c r="E7" s="429"/>
      <c r="F7" s="1078"/>
      <c r="G7" s="428">
        <f t="shared" si="2"/>
        <v>0</v>
      </c>
      <c r="H7" s="429"/>
      <c r="I7" s="428" t="str">
        <f t="shared" si="0"/>
        <v/>
      </c>
      <c r="J7" s="428" t="str">
        <f t="shared" si="1"/>
        <v/>
      </c>
      <c r="K7" s="204"/>
      <c r="L7" s="305"/>
    </row>
    <row r="8" spans="1:12">
      <c r="A8" s="428" t="str">
        <f>Application!B730</f>
        <v>1 Bedroom</v>
      </c>
      <c r="B8" s="1077">
        <f>Application!G730</f>
        <v>17</v>
      </c>
      <c r="C8" s="1155"/>
      <c r="D8" s="428">
        <f>Application!O730</f>
        <v>868.6</v>
      </c>
      <c r="E8" s="429"/>
      <c r="F8" s="1078"/>
      <c r="G8" s="428">
        <f t="shared" si="2"/>
        <v>0</v>
      </c>
      <c r="H8" s="429"/>
      <c r="I8" s="428" t="str">
        <f t="shared" si="0"/>
        <v/>
      </c>
      <c r="J8" s="428" t="str">
        <f t="shared" si="1"/>
        <v/>
      </c>
      <c r="K8" s="204"/>
      <c r="L8" s="305"/>
    </row>
    <row r="9" spans="1:12">
      <c r="A9" s="428" t="str">
        <f>Application!B731</f>
        <v>1 Bedroom</v>
      </c>
      <c r="B9" s="1077">
        <f>Application!G731</f>
        <v>17</v>
      </c>
      <c r="C9" s="1155"/>
      <c r="D9" s="428">
        <f>Application!O731</f>
        <v>1503</v>
      </c>
      <c r="E9" s="429"/>
      <c r="F9" s="1078"/>
      <c r="G9" s="428">
        <f t="shared" si="2"/>
        <v>0</v>
      </c>
      <c r="H9" s="429"/>
      <c r="I9" s="428" t="str">
        <f t="shared" si="0"/>
        <v/>
      </c>
      <c r="J9" s="428" t="str">
        <f t="shared" si="1"/>
        <v/>
      </c>
      <c r="K9" s="204"/>
      <c r="L9" s="305"/>
    </row>
    <row r="10" spans="1:12">
      <c r="A10" s="428" t="str">
        <f>Application!B732</f>
        <v>1 Bedroom</v>
      </c>
      <c r="B10" s="1077">
        <f>Application!G732</f>
        <v>63</v>
      </c>
      <c r="C10" s="1155"/>
      <c r="D10" s="428">
        <f>Application!O732</f>
        <v>1820.2</v>
      </c>
      <c r="E10" s="429"/>
      <c r="F10" s="1078"/>
      <c r="G10" s="428">
        <f t="shared" si="2"/>
        <v>0</v>
      </c>
      <c r="H10" s="429"/>
      <c r="I10" s="428" t="str">
        <f t="shared" si="0"/>
        <v/>
      </c>
      <c r="J10" s="428" t="str">
        <f t="shared" si="1"/>
        <v/>
      </c>
      <c r="K10" s="204"/>
      <c r="L10" s="305"/>
    </row>
    <row r="11" spans="1:12">
      <c r="A11" s="428" t="str">
        <f>Application!B733</f>
        <v>1 Bedroom</v>
      </c>
      <c r="B11" s="1077">
        <f>Application!G733</f>
        <v>69</v>
      </c>
      <c r="C11" s="1155"/>
      <c r="D11" s="428">
        <f>Application!O733</f>
        <v>2137.4</v>
      </c>
      <c r="E11" s="429"/>
      <c r="F11" s="1078"/>
      <c r="G11" s="428">
        <f t="shared" si="2"/>
        <v>0</v>
      </c>
      <c r="H11" s="429"/>
      <c r="I11" s="428" t="str">
        <f t="shared" si="0"/>
        <v/>
      </c>
      <c r="J11" s="428" t="str">
        <f t="shared" si="1"/>
        <v/>
      </c>
      <c r="K11" s="204"/>
      <c r="L11" s="305"/>
    </row>
    <row r="12" spans="1:12">
      <c r="A12" s="428" t="str">
        <f>Application!B734</f>
        <v>2 Bedrooms</v>
      </c>
      <c r="B12" s="1077">
        <f>Application!G734</f>
        <v>1</v>
      </c>
      <c r="C12" s="1155"/>
      <c r="D12" s="428">
        <f>Application!O734</f>
        <v>1025.8</v>
      </c>
      <c r="E12" s="429"/>
      <c r="F12" s="1078"/>
      <c r="G12" s="428">
        <f t="shared" si="2"/>
        <v>0</v>
      </c>
      <c r="H12" s="429"/>
      <c r="I12" s="428" t="str">
        <f t="shared" si="0"/>
        <v/>
      </c>
      <c r="J12" s="428" t="str">
        <f t="shared" si="1"/>
        <v/>
      </c>
      <c r="K12" s="204"/>
      <c r="L12" s="305"/>
    </row>
    <row r="13" spans="1:12">
      <c r="A13" s="428" t="str">
        <f>Application!B735</f>
        <v>2 Bedrooms</v>
      </c>
      <c r="B13" s="1077">
        <f>Application!G735</f>
        <v>2</v>
      </c>
      <c r="C13" s="1155"/>
      <c r="D13" s="428">
        <f>Application!O735</f>
        <v>2167.6</v>
      </c>
      <c r="E13" s="429"/>
      <c r="F13" s="1078"/>
      <c r="G13" s="428">
        <f t="shared" si="2"/>
        <v>0</v>
      </c>
      <c r="H13" s="429"/>
      <c r="I13" s="428" t="str">
        <f t="shared" si="0"/>
        <v/>
      </c>
      <c r="J13" s="428" t="str">
        <f t="shared" si="1"/>
        <v/>
      </c>
      <c r="K13" s="204"/>
      <c r="L13" s="305"/>
    </row>
    <row r="14" spans="1:12">
      <c r="A14" s="428" t="str">
        <f>Application!B736</f>
        <v>2 Bedrooms</v>
      </c>
      <c r="B14" s="1077">
        <f>Application!G736</f>
        <v>3</v>
      </c>
      <c r="C14" s="1155"/>
      <c r="D14" s="428">
        <f>Application!O736</f>
        <v>2548.1999999999998</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Application!O761</f>
        <v>342230.8</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2207</v>
      </c>
    </row>
    <row r="43" spans="1:12">
      <c r="A43" s="2682" t="s">
        <v>2428</v>
      </c>
      <c r="B43" s="2682"/>
      <c r="C43" s="2682"/>
      <c r="D43" s="2682"/>
      <c r="E43" s="2682"/>
      <c r="F43" s="2682"/>
      <c r="G43" s="2682"/>
      <c r="H43" s="2682"/>
      <c r="I43" s="2682"/>
      <c r="J43" s="2682"/>
    </row>
    <row r="44" spans="1:12">
      <c r="A44" s="2682"/>
      <c r="B44" s="2682"/>
      <c r="C44" s="2682"/>
      <c r="D44" s="2682"/>
      <c r="E44" s="2682"/>
      <c r="F44" s="2682"/>
      <c r="G44" s="2682"/>
      <c r="H44" s="2682"/>
      <c r="I44" s="2682"/>
      <c r="J44" s="2682"/>
    </row>
    <row r="45" spans="1:12">
      <c r="A45" s="2682" t="s">
        <v>2208</v>
      </c>
      <c r="B45" s="2682"/>
      <c r="C45" s="2682"/>
      <c r="D45" s="2682"/>
      <c r="E45" s="2682"/>
      <c r="F45" s="2682"/>
      <c r="G45" s="2682"/>
      <c r="H45" s="2682"/>
      <c r="I45" s="2682"/>
      <c r="J45" s="2682"/>
    </row>
    <row r="46" spans="1:12">
      <c r="A46" s="2682"/>
      <c r="B46" s="2682"/>
      <c r="C46" s="2682"/>
      <c r="D46" s="2682"/>
      <c r="E46" s="2682"/>
      <c r="F46" s="2682"/>
      <c r="G46" s="2682"/>
      <c r="H46" s="2682"/>
      <c r="I46" s="2682"/>
      <c r="J46" s="2682"/>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27" workbookViewId="0">
      <selection activeCell="U56" sqref="U56"/>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2050</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Application!Y809</f>
        <v>4162689.5999999996</v>
      </c>
      <c r="G4" s="219">
        <f>E4*$C$4</f>
        <v>4266756.8399999989</v>
      </c>
      <c r="I4" s="219">
        <f>G4*$C$4</f>
        <v>4373425.7609999981</v>
      </c>
      <c r="K4" s="219">
        <f>I4*$C$4</f>
        <v>4482761.4050249979</v>
      </c>
      <c r="M4" s="219">
        <f>K4*$C$4</f>
        <v>4594830.4401506223</v>
      </c>
      <c r="O4" s="219">
        <f>M4*$C$4</f>
        <v>4709701.2011543876</v>
      </c>
      <c r="Q4" s="219">
        <f>O4*$C$4</f>
        <v>4827443.7311832467</v>
      </c>
      <c r="S4" s="219">
        <f>Q4*$C$4</f>
        <v>4948129.8244628273</v>
      </c>
      <c r="U4" s="219">
        <f>S4*$C$4</f>
        <v>5071833.0700743971</v>
      </c>
      <c r="W4" s="219">
        <f>U4*$C$4</f>
        <v>5198628.896826257</v>
      </c>
      <c r="Y4" s="219">
        <f>W4*$C$4</f>
        <v>5328594.6192469131</v>
      </c>
      <c r="AA4" s="219">
        <f>Y4*$C$4</f>
        <v>5461809.4847280858</v>
      </c>
      <c r="AC4" s="219">
        <f>AA4*$C$4</f>
        <v>5598354.7218462871</v>
      </c>
      <c r="AE4" s="219">
        <f>AC4*$C$4</f>
        <v>5738313.5898924442</v>
      </c>
      <c r="AG4" s="219">
        <f>AE4*$C$4</f>
        <v>5881771.4296397548</v>
      </c>
    </row>
    <row r="5" spans="1:34" s="210" customFormat="1" ht="14.25">
      <c r="B5" s="210" t="s">
        <v>838</v>
      </c>
      <c r="C5" s="238">
        <f>IF(Application!$D$211="Special Needs",(((0.1*Application!$T$212)+(0.05*(1-Application!$T$212)))),0.05)</f>
        <v>0.05</v>
      </c>
      <c r="E5" s="221">
        <f>-E4*$C$5</f>
        <v>-208134.47999999998</v>
      </c>
      <c r="F5" s="221"/>
      <c r="G5" s="221">
        <f>-G4*$C$5</f>
        <v>-213337.84199999995</v>
      </c>
      <c r="H5" s="221"/>
      <c r="I5" s="221">
        <f>-I4*$C$5</f>
        <v>-218671.28804999992</v>
      </c>
      <c r="J5" s="221"/>
      <c r="K5" s="221">
        <f>-K4*$C$5</f>
        <v>-224138.07025124991</v>
      </c>
      <c r="L5" s="221"/>
      <c r="M5" s="221">
        <f>-M4*$C$5</f>
        <v>-229741.52200753114</v>
      </c>
      <c r="N5" s="221"/>
      <c r="O5" s="221">
        <f>-O4*$C$5</f>
        <v>-235485.06005771938</v>
      </c>
      <c r="P5" s="221"/>
      <c r="Q5" s="221">
        <f>-Q4*$C$5</f>
        <v>-241372.18655916234</v>
      </c>
      <c r="R5" s="221"/>
      <c r="S5" s="221">
        <f>-S4*$C$5</f>
        <v>-247406.49122314138</v>
      </c>
      <c r="T5" s="221"/>
      <c r="U5" s="221">
        <f>-U4*$C$5</f>
        <v>-253591.65350371986</v>
      </c>
      <c r="V5" s="221"/>
      <c r="W5" s="221">
        <f>-W4*$C$5</f>
        <v>-259931.44484131286</v>
      </c>
      <c r="X5" s="221"/>
      <c r="Y5" s="221">
        <f>-Y4*$C$5</f>
        <v>-266429.73096234567</v>
      </c>
      <c r="Z5" s="221"/>
      <c r="AA5" s="221">
        <f>-AA4*$C$5</f>
        <v>-273090.47423640429</v>
      </c>
      <c r="AB5" s="221"/>
      <c r="AC5" s="221">
        <f>-AC4*$C$5</f>
        <v>-279917.73609231436</v>
      </c>
      <c r="AD5" s="221"/>
      <c r="AE5" s="221">
        <f>-AE4*$C$5</f>
        <v>-286915.67949462222</v>
      </c>
      <c r="AF5" s="221"/>
      <c r="AG5" s="221">
        <f>-AG4*$C$5</f>
        <v>-294088.57148198778</v>
      </c>
    </row>
    <row r="6" spans="1:34" s="210" customFormat="1" ht="14.25">
      <c r="A6" s="210" t="s">
        <v>836</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Application!Z825</f>
        <v>378000</v>
      </c>
      <c r="F8" s="222"/>
      <c r="G8" s="222">
        <f>E8*$C$8</f>
        <v>387449.99999999994</v>
      </c>
      <c r="H8" s="222"/>
      <c r="I8" s="222">
        <f>G8*$C$8</f>
        <v>397136.24999999988</v>
      </c>
      <c r="J8" s="222"/>
      <c r="K8" s="222">
        <f>I8*$C$8</f>
        <v>407064.65624999983</v>
      </c>
      <c r="L8" s="222"/>
      <c r="M8" s="222">
        <f>K8*$C$8</f>
        <v>417241.27265624981</v>
      </c>
      <c r="N8" s="222"/>
      <c r="O8" s="222">
        <f>M8*$C$8</f>
        <v>427672.30447265605</v>
      </c>
      <c r="P8" s="222"/>
      <c r="Q8" s="222">
        <f>O8*$C$8</f>
        <v>438364.11208447244</v>
      </c>
      <c r="R8" s="222"/>
      <c r="S8" s="222">
        <f>Q8*$C$8</f>
        <v>449323.2148865842</v>
      </c>
      <c r="T8" s="222"/>
      <c r="U8" s="222">
        <f>S8*$C$8</f>
        <v>460556.29525874875</v>
      </c>
      <c r="V8" s="222"/>
      <c r="W8" s="222">
        <f>U8*$C$8</f>
        <v>472070.20264021744</v>
      </c>
      <c r="X8" s="222"/>
      <c r="Y8" s="222">
        <f>W8*$C$8</f>
        <v>483871.95770622283</v>
      </c>
      <c r="Z8" s="222"/>
      <c r="AA8" s="222">
        <f>Y8*$C$8</f>
        <v>495968.75664887833</v>
      </c>
      <c r="AB8" s="222"/>
      <c r="AC8" s="222">
        <f>AA8*$C$8</f>
        <v>508367.97556510026</v>
      </c>
      <c r="AD8" s="222"/>
      <c r="AE8" s="222">
        <f>AC8*$C$8</f>
        <v>521077.1749542277</v>
      </c>
      <c r="AF8" s="222"/>
      <c r="AG8" s="222">
        <f>AE8*$C$8</f>
        <v>534104.10432808334</v>
      </c>
    </row>
    <row r="9" spans="1:34" s="210" customFormat="1" ht="14.25">
      <c r="B9" s="210" t="s">
        <v>838</v>
      </c>
      <c r="C9" s="238">
        <f>IF(Application!$D$211="Special Needs",(((0.1*Application!$T$212)+(0.05*(1-Application!$T$212)))),0.05)</f>
        <v>0.05</v>
      </c>
      <c r="E9" s="221">
        <f>-E8*$C$9</f>
        <v>-18900</v>
      </c>
      <c r="F9" s="221"/>
      <c r="G9" s="221">
        <f>-G8*$C$9</f>
        <v>-19372.499999999996</v>
      </c>
      <c r="H9" s="221"/>
      <c r="I9" s="221">
        <f>-I8*$C$9</f>
        <v>-19856.812499999996</v>
      </c>
      <c r="J9" s="221"/>
      <c r="K9" s="221">
        <f>-K8*$C$9</f>
        <v>-20353.232812499991</v>
      </c>
      <c r="L9" s="221"/>
      <c r="M9" s="221">
        <f>-M8*$C$9</f>
        <v>-20862.063632812493</v>
      </c>
      <c r="N9" s="221"/>
      <c r="O9" s="221">
        <f>-O8*$C$9</f>
        <v>-21383.615223632805</v>
      </c>
      <c r="P9" s="221"/>
      <c r="Q9" s="221">
        <f>-Q8*$C$9</f>
        <v>-21918.205604223622</v>
      </c>
      <c r="R9" s="221"/>
      <c r="S9" s="221">
        <f>-S8*$C$9</f>
        <v>-22466.160744329212</v>
      </c>
      <c r="T9" s="221"/>
      <c r="U9" s="221">
        <f>-U8*$C$9</f>
        <v>-23027.81476293744</v>
      </c>
      <c r="V9" s="221"/>
      <c r="W9" s="221">
        <f>-W8*$C$9</f>
        <v>-23603.510132010873</v>
      </c>
      <c r="X9" s="221"/>
      <c r="Y9" s="221">
        <f>-Y8*$C$9</f>
        <v>-24193.597885311145</v>
      </c>
      <c r="Z9" s="221"/>
      <c r="AA9" s="221">
        <f>-AA8*$C$9</f>
        <v>-24798.437832443917</v>
      </c>
      <c r="AB9" s="221"/>
      <c r="AC9" s="221">
        <f>-AC8*$C$9</f>
        <v>-25418.398778255014</v>
      </c>
      <c r="AD9" s="221"/>
      <c r="AE9" s="221">
        <f>-AE8*$C$9</f>
        <v>-26053.858747711387</v>
      </c>
      <c r="AF9" s="221"/>
      <c r="AG9" s="221">
        <f>-AG8*$C$9</f>
        <v>-26705.205216404167</v>
      </c>
    </row>
    <row r="10" spans="1:34" s="210" customFormat="1" ht="14.25">
      <c r="A10" s="1137" t="s">
        <v>2178</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859</v>
      </c>
      <c r="C11" s="216"/>
      <c r="E11" s="223">
        <f>SUM(E4:E10)</f>
        <v>4313655.1199999992</v>
      </c>
      <c r="G11" s="223">
        <f>SUM(G4:G10)</f>
        <v>4421496.4979999987</v>
      </c>
      <c r="I11" s="223">
        <f>SUM(I4:I10)</f>
        <v>4532033.9104499975</v>
      </c>
      <c r="K11" s="223">
        <f>SUM(K4:K10)</f>
        <v>4645334.7582112486</v>
      </c>
      <c r="M11" s="223">
        <f>SUM(M4:M10)</f>
        <v>4761468.1271665283</v>
      </c>
      <c r="O11" s="223">
        <f>SUM(O4:O10)</f>
        <v>4880504.8303456912</v>
      </c>
      <c r="Q11" s="223">
        <f>SUM(Q4:Q10)</f>
        <v>5002517.4511043336</v>
      </c>
      <c r="S11" s="223">
        <f>SUM(S4:S10)</f>
        <v>5127580.3873819411</v>
      </c>
      <c r="U11" s="223">
        <f>SUM(U4:U10)</f>
        <v>5255769.8970664879</v>
      </c>
      <c r="W11" s="223">
        <f>SUM(W4:W10)</f>
        <v>5387164.1444931505</v>
      </c>
      <c r="Y11" s="223">
        <f>SUM(Y4:Y10)</f>
        <v>5521843.2481054794</v>
      </c>
      <c r="AA11" s="223">
        <f>SUM(AA4:AA10)</f>
        <v>5659889.3293081159</v>
      </c>
      <c r="AC11" s="223">
        <f>SUM(AC4:AC10)</f>
        <v>5801386.562540818</v>
      </c>
      <c r="AE11" s="223">
        <f>SUM(AE4:AE10)</f>
        <v>5946421.2266043387</v>
      </c>
      <c r="AG11" s="223">
        <f>SUM(AG4:AG10)</f>
        <v>6095081.7572694458</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Application!W855</f>
        <v>203260</v>
      </c>
      <c r="G15" s="219">
        <f>E15*$C$14</f>
        <v>210374.09999999998</v>
      </c>
      <c r="I15" s="219">
        <f>G15*$C$14</f>
        <v>217737.19349999996</v>
      </c>
      <c r="K15" s="219">
        <f>I15*$C$14</f>
        <v>225357.99527249995</v>
      </c>
      <c r="M15" s="219">
        <f>K15*$C$14</f>
        <v>233245.52510703742</v>
      </c>
      <c r="O15" s="219">
        <f>M15*$C$14</f>
        <v>241409.11848578372</v>
      </c>
      <c r="Q15" s="219">
        <f>O15*$C$14</f>
        <v>249858.43763278614</v>
      </c>
      <c r="S15" s="219">
        <f>Q15*$C$14</f>
        <v>258603.48294993365</v>
      </c>
      <c r="U15" s="219">
        <f>S15*$C$14</f>
        <v>267654.60485318128</v>
      </c>
      <c r="W15" s="219">
        <f>U15*$C$14</f>
        <v>277022.51602304261</v>
      </c>
      <c r="Y15" s="219">
        <f>W15*$C$14</f>
        <v>286718.30408384907</v>
      </c>
      <c r="AA15" s="219">
        <f>Y15*$C$14</f>
        <v>296753.44472678378</v>
      </c>
      <c r="AC15" s="219">
        <f>AA15*$C$14</f>
        <v>307139.8152922212</v>
      </c>
      <c r="AE15" s="219">
        <f>AC15*$C$14</f>
        <v>317889.70882744889</v>
      </c>
      <c r="AG15" s="219">
        <f>AE15*$C$14</f>
        <v>329015.84863640956</v>
      </c>
    </row>
    <row r="16" spans="1:34" s="210" customFormat="1" ht="14.25">
      <c r="A16" s="210" t="s">
        <v>344</v>
      </c>
      <c r="C16" s="233"/>
      <c r="E16" s="222">
        <f>Application!W857</f>
        <v>162680</v>
      </c>
      <c r="F16" s="222"/>
      <c r="G16" s="222">
        <f t="shared" ref="G16:AG21" si="0">E16*$C$14</f>
        <v>168373.8</v>
      </c>
      <c r="H16" s="222"/>
      <c r="I16" s="222">
        <f t="shared" si="0"/>
        <v>174266.88299999997</v>
      </c>
      <c r="J16" s="222"/>
      <c r="K16" s="222">
        <f t="shared" si="0"/>
        <v>180366.22390499996</v>
      </c>
      <c r="L16" s="222"/>
      <c r="M16" s="222">
        <f t="shared" si="0"/>
        <v>186679.04174167494</v>
      </c>
      <c r="N16" s="222"/>
      <c r="O16" s="222">
        <f t="shared" si="0"/>
        <v>193212.80820263355</v>
      </c>
      <c r="P16" s="222"/>
      <c r="Q16" s="222">
        <f t="shared" si="0"/>
        <v>199975.2564897257</v>
      </c>
      <c r="R16" s="222"/>
      <c r="S16" s="222">
        <f t="shared" si="0"/>
        <v>206974.39046686608</v>
      </c>
      <c r="T16" s="222"/>
      <c r="U16" s="222">
        <f t="shared" si="0"/>
        <v>214218.49413320638</v>
      </c>
      <c r="V16" s="222"/>
      <c r="W16" s="222">
        <f t="shared" si="0"/>
        <v>221716.14142786857</v>
      </c>
      <c r="X16" s="222"/>
      <c r="Y16" s="222">
        <f t="shared" si="0"/>
        <v>229476.20637784395</v>
      </c>
      <c r="Z16" s="222"/>
      <c r="AA16" s="222">
        <f t="shared" si="0"/>
        <v>237507.87360106848</v>
      </c>
      <c r="AB16" s="222"/>
      <c r="AC16" s="222">
        <f t="shared" si="0"/>
        <v>245820.64917710586</v>
      </c>
      <c r="AD16" s="222"/>
      <c r="AE16" s="222">
        <f t="shared" si="0"/>
        <v>254424.37189830455</v>
      </c>
      <c r="AF16" s="222"/>
      <c r="AG16" s="222">
        <f t="shared" si="0"/>
        <v>263329.22491474519</v>
      </c>
    </row>
    <row r="17" spans="1:33" s="210" customFormat="1" ht="14.25">
      <c r="A17" s="210" t="s">
        <v>561</v>
      </c>
      <c r="C17" s="233"/>
      <c r="E17" s="222">
        <f>Application!W863</f>
        <v>192401</v>
      </c>
      <c r="F17" s="222"/>
      <c r="G17" s="222">
        <f t="shared" si="0"/>
        <v>199135.03499999997</v>
      </c>
      <c r="H17" s="222"/>
      <c r="I17" s="222">
        <f t="shared" si="0"/>
        <v>206104.76122499997</v>
      </c>
      <c r="J17" s="222"/>
      <c r="K17" s="222">
        <f t="shared" si="0"/>
        <v>213318.42786787494</v>
      </c>
      <c r="L17" s="222"/>
      <c r="M17" s="222">
        <f t="shared" si="0"/>
        <v>220784.57284325056</v>
      </c>
      <c r="N17" s="222"/>
      <c r="O17" s="222">
        <f t="shared" si="0"/>
        <v>228512.03289276431</v>
      </c>
      <c r="P17" s="222"/>
      <c r="Q17" s="222">
        <f t="shared" si="0"/>
        <v>236509.95404401104</v>
      </c>
      <c r="R17" s="222"/>
      <c r="S17" s="222">
        <f t="shared" si="0"/>
        <v>244787.80243555142</v>
      </c>
      <c r="T17" s="222"/>
      <c r="U17" s="222">
        <f t="shared" si="0"/>
        <v>253355.3755207957</v>
      </c>
      <c r="V17" s="222"/>
      <c r="W17" s="222">
        <f t="shared" si="0"/>
        <v>262222.81366402353</v>
      </c>
      <c r="X17" s="222"/>
      <c r="Y17" s="222">
        <f t="shared" si="0"/>
        <v>271400.61214226432</v>
      </c>
      <c r="Z17" s="222"/>
      <c r="AA17" s="222">
        <f t="shared" si="0"/>
        <v>280899.63356724352</v>
      </c>
      <c r="AB17" s="222"/>
      <c r="AC17" s="222">
        <f t="shared" si="0"/>
        <v>290731.12074209703</v>
      </c>
      <c r="AD17" s="222"/>
      <c r="AE17" s="222">
        <f t="shared" si="0"/>
        <v>300906.70996807038</v>
      </c>
      <c r="AF17" s="222"/>
      <c r="AG17" s="222">
        <f t="shared" si="0"/>
        <v>311438.4448169528</v>
      </c>
    </row>
    <row r="18" spans="1:33" s="210" customFormat="1" ht="14.25">
      <c r="A18" s="210" t="s">
        <v>842</v>
      </c>
      <c r="C18" s="233"/>
      <c r="E18" s="222">
        <f>Application!W870</f>
        <v>326361</v>
      </c>
      <c r="F18" s="222"/>
      <c r="G18" s="222">
        <f t="shared" si="0"/>
        <v>337783.63499999995</v>
      </c>
      <c r="H18" s="222"/>
      <c r="I18" s="222">
        <f t="shared" si="0"/>
        <v>349606.06222499994</v>
      </c>
      <c r="J18" s="222"/>
      <c r="K18" s="222">
        <f t="shared" si="0"/>
        <v>361842.27440287493</v>
      </c>
      <c r="L18" s="222"/>
      <c r="M18" s="222">
        <f t="shared" si="0"/>
        <v>374506.75400697551</v>
      </c>
      <c r="N18" s="222"/>
      <c r="O18" s="222">
        <f t="shared" si="0"/>
        <v>387614.4903972196</v>
      </c>
      <c r="P18" s="222"/>
      <c r="Q18" s="222">
        <f t="shared" si="0"/>
        <v>401180.99756112223</v>
      </c>
      <c r="R18" s="222"/>
      <c r="S18" s="222">
        <f t="shared" si="0"/>
        <v>415222.33247576148</v>
      </c>
      <c r="T18" s="222"/>
      <c r="U18" s="222">
        <f t="shared" si="0"/>
        <v>429755.11411241308</v>
      </c>
      <c r="V18" s="222"/>
      <c r="W18" s="222">
        <f t="shared" si="0"/>
        <v>444796.5431063475</v>
      </c>
      <c r="X18" s="222"/>
      <c r="Y18" s="222">
        <f t="shared" si="0"/>
        <v>460364.42211506964</v>
      </c>
      <c r="Z18" s="222"/>
      <c r="AA18" s="222">
        <f t="shared" si="0"/>
        <v>476477.17688909703</v>
      </c>
      <c r="AB18" s="222"/>
      <c r="AC18" s="222">
        <f t="shared" si="0"/>
        <v>493153.87808021536</v>
      </c>
      <c r="AD18" s="222"/>
      <c r="AE18" s="222">
        <f t="shared" si="0"/>
        <v>510414.26381302287</v>
      </c>
      <c r="AF18" s="222"/>
      <c r="AG18" s="222">
        <f t="shared" si="0"/>
        <v>528278.76304647862</v>
      </c>
    </row>
    <row r="19" spans="1:33" s="210" customFormat="1" ht="14.25">
      <c r="A19" s="210" t="s">
        <v>155</v>
      </c>
      <c r="C19" s="233"/>
      <c r="E19" s="222">
        <f>Application!W872</f>
        <v>122213</v>
      </c>
      <c r="F19" s="222"/>
      <c r="G19" s="222">
        <f t="shared" si="0"/>
        <v>126490.45499999999</v>
      </c>
      <c r="H19" s="222"/>
      <c r="I19" s="222">
        <f t="shared" si="0"/>
        <v>130917.62092499998</v>
      </c>
      <c r="J19" s="222"/>
      <c r="K19" s="222">
        <f t="shared" si="0"/>
        <v>135499.73765737496</v>
      </c>
      <c r="L19" s="222"/>
      <c r="M19" s="222">
        <f t="shared" si="0"/>
        <v>140242.22847538308</v>
      </c>
      <c r="N19" s="222"/>
      <c r="O19" s="222">
        <f t="shared" si="0"/>
        <v>145150.70647202147</v>
      </c>
      <c r="P19" s="222"/>
      <c r="Q19" s="222">
        <f t="shared" si="0"/>
        <v>150230.9811985422</v>
      </c>
      <c r="R19" s="222"/>
      <c r="S19" s="222">
        <f t="shared" si="0"/>
        <v>155489.06554049117</v>
      </c>
      <c r="T19" s="222"/>
      <c r="U19" s="222">
        <f t="shared" si="0"/>
        <v>160931.18283440833</v>
      </c>
      <c r="V19" s="222"/>
      <c r="W19" s="222">
        <f t="shared" si="0"/>
        <v>166563.77423361261</v>
      </c>
      <c r="X19" s="222"/>
      <c r="Y19" s="222">
        <f t="shared" si="0"/>
        <v>172393.50633178905</v>
      </c>
      <c r="Z19" s="222"/>
      <c r="AA19" s="222">
        <f t="shared" si="0"/>
        <v>178427.27905340164</v>
      </c>
      <c r="AB19" s="222"/>
      <c r="AC19" s="222">
        <f t="shared" si="0"/>
        <v>184672.23382027069</v>
      </c>
      <c r="AD19" s="222"/>
      <c r="AE19" s="222">
        <f t="shared" si="0"/>
        <v>191135.76200398014</v>
      </c>
      <c r="AF19" s="222"/>
      <c r="AG19" s="222">
        <f t="shared" si="0"/>
        <v>197825.51367411943</v>
      </c>
    </row>
    <row r="20" spans="1:33" s="210" customFormat="1" ht="14.25">
      <c r="A20" s="210" t="s">
        <v>390</v>
      </c>
      <c r="C20" s="233"/>
      <c r="E20" s="222">
        <f>Application!W881</f>
        <v>180630</v>
      </c>
      <c r="F20" s="222"/>
      <c r="G20" s="222">
        <f t="shared" si="0"/>
        <v>186952.05</v>
      </c>
      <c r="H20" s="222"/>
      <c r="I20" s="222">
        <f t="shared" si="0"/>
        <v>193495.37174999996</v>
      </c>
      <c r="J20" s="222"/>
      <c r="K20" s="222">
        <f t="shared" si="0"/>
        <v>200267.70976124995</v>
      </c>
      <c r="L20" s="222"/>
      <c r="M20" s="222">
        <f t="shared" si="0"/>
        <v>207277.07960289367</v>
      </c>
      <c r="N20" s="222"/>
      <c r="O20" s="222">
        <f t="shared" si="0"/>
        <v>214531.77738899493</v>
      </c>
      <c r="P20" s="222"/>
      <c r="Q20" s="222">
        <f t="shared" si="0"/>
        <v>222040.38959760973</v>
      </c>
      <c r="R20" s="222"/>
      <c r="S20" s="222">
        <f t="shared" si="0"/>
        <v>229811.80323352604</v>
      </c>
      <c r="T20" s="222"/>
      <c r="U20" s="222">
        <f t="shared" si="0"/>
        <v>237855.21634669942</v>
      </c>
      <c r="V20" s="222"/>
      <c r="W20" s="222">
        <f t="shared" si="0"/>
        <v>246180.14891883387</v>
      </c>
      <c r="X20" s="222"/>
      <c r="Y20" s="222">
        <f t="shared" si="0"/>
        <v>254796.45413099305</v>
      </c>
      <c r="Z20" s="222"/>
      <c r="AA20" s="222">
        <f t="shared" si="0"/>
        <v>263714.3300255778</v>
      </c>
      <c r="AB20" s="222"/>
      <c r="AC20" s="222">
        <f t="shared" si="0"/>
        <v>272944.33157647302</v>
      </c>
      <c r="AD20" s="222"/>
      <c r="AE20" s="222">
        <f t="shared" si="0"/>
        <v>282497.38318164955</v>
      </c>
      <c r="AF20" s="222"/>
      <c r="AG20" s="222">
        <f t="shared" si="0"/>
        <v>292384.79159300728</v>
      </c>
    </row>
    <row r="21" spans="1:33" s="210" customFormat="1" ht="14.25">
      <c r="A21" s="226" t="s">
        <v>962</v>
      </c>
      <c r="B21" s="226"/>
      <c r="C21" s="233"/>
      <c r="E21" s="232">
        <f>Application!W888</f>
        <v>9455</v>
      </c>
      <c r="F21" s="222"/>
      <c r="G21" s="232">
        <f t="shared" si="0"/>
        <v>9785.9249999999993</v>
      </c>
      <c r="H21" s="222"/>
      <c r="I21" s="232">
        <f t="shared" si="0"/>
        <v>10128.432374999999</v>
      </c>
      <c r="J21" s="222"/>
      <c r="K21" s="232">
        <f t="shared" si="0"/>
        <v>10482.927508124998</v>
      </c>
      <c r="L21" s="222"/>
      <c r="M21" s="232">
        <f t="shared" si="0"/>
        <v>10849.829970909372</v>
      </c>
      <c r="N21" s="222"/>
      <c r="O21" s="232">
        <f t="shared" si="0"/>
        <v>11229.574019891199</v>
      </c>
      <c r="P21" s="222"/>
      <c r="Q21" s="232">
        <f t="shared" si="0"/>
        <v>11622.609110587389</v>
      </c>
      <c r="R21" s="222"/>
      <c r="S21" s="232">
        <f t="shared" si="0"/>
        <v>12029.400429457946</v>
      </c>
      <c r="T21" s="222"/>
      <c r="U21" s="232">
        <f t="shared" si="0"/>
        <v>12450.429444488973</v>
      </c>
      <c r="V21" s="222"/>
      <c r="W21" s="232">
        <f t="shared" si="0"/>
        <v>12886.194475046086</v>
      </c>
      <c r="X21" s="222"/>
      <c r="Y21" s="232">
        <f t="shared" si="0"/>
        <v>13337.211281672699</v>
      </c>
      <c r="Z21" s="222"/>
      <c r="AA21" s="232">
        <f t="shared" si="0"/>
        <v>13804.013676531242</v>
      </c>
      <c r="AB21" s="222"/>
      <c r="AC21" s="232">
        <f t="shared" si="0"/>
        <v>14287.154155209833</v>
      </c>
      <c r="AD21" s="222"/>
      <c r="AE21" s="232">
        <f t="shared" si="0"/>
        <v>14787.204550642176</v>
      </c>
      <c r="AF21" s="222"/>
      <c r="AG21" s="232">
        <f t="shared" si="0"/>
        <v>15304.756709914651</v>
      </c>
    </row>
    <row r="22" spans="1:33" s="223" customFormat="1" ht="15">
      <c r="A22" s="223" t="s">
        <v>843</v>
      </c>
      <c r="C22" s="233"/>
      <c r="E22" s="223">
        <f>SUM(E15:E21)</f>
        <v>1197000</v>
      </c>
      <c r="G22" s="223">
        <f>SUM(G15:G21)</f>
        <v>1238894.9999999998</v>
      </c>
      <c r="I22" s="223">
        <f>SUM(I15:I21)</f>
        <v>1282256.325</v>
      </c>
      <c r="K22" s="223">
        <f>SUM(K15:K21)</f>
        <v>1327135.2963749999</v>
      </c>
      <c r="M22" s="223">
        <f>SUM(M15:M21)</f>
        <v>1373585.0317481244</v>
      </c>
      <c r="O22" s="223">
        <f>SUM(O15:O21)</f>
        <v>1421660.5078593087</v>
      </c>
      <c r="Q22" s="223">
        <f>SUM(Q15:Q21)</f>
        <v>1471418.6256343843</v>
      </c>
      <c r="S22" s="223">
        <f>SUM(S15:S21)</f>
        <v>1522918.2775315875</v>
      </c>
      <c r="U22" s="223">
        <f>SUM(U15:U21)</f>
        <v>1576220.4172451932</v>
      </c>
      <c r="W22" s="223">
        <f>SUM(W15:W21)</f>
        <v>1631388.1318487749</v>
      </c>
      <c r="Y22" s="223">
        <f>SUM(Y15:Y21)</f>
        <v>1688486.7164634815</v>
      </c>
      <c r="AA22" s="223">
        <f>SUM(AA15:AA21)</f>
        <v>1747583.7515397035</v>
      </c>
      <c r="AC22" s="223">
        <f>SUM(AC15:AC21)</f>
        <v>1808749.1828435932</v>
      </c>
      <c r="AE22" s="223">
        <f>SUM(AE15:AE21)</f>
        <v>1872055.4042431186</v>
      </c>
      <c r="AG22" s="223">
        <f>SUM(AG15:AG21)</f>
        <v>1937577.3433916275</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1671</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Application!AC897</f>
        <v>25200</v>
      </c>
      <c r="F27" s="222"/>
      <c r="G27" s="222">
        <f>E27*$C$27</f>
        <v>26081.999999999996</v>
      </c>
      <c r="H27" s="222"/>
      <c r="I27" s="222">
        <f>G27*$C$27</f>
        <v>26994.869999999995</v>
      </c>
      <c r="J27" s="222"/>
      <c r="K27" s="222">
        <f>I27*$C$27</f>
        <v>27939.690449999995</v>
      </c>
      <c r="L27" s="222"/>
      <c r="M27" s="222">
        <f>K27*$C$27</f>
        <v>28917.579615749994</v>
      </c>
      <c r="N27" s="222"/>
      <c r="O27" s="222">
        <f>M27*$C$27</f>
        <v>29929.694902301242</v>
      </c>
      <c r="P27" s="222"/>
      <c r="Q27" s="222">
        <f>O27*$C$27</f>
        <v>30977.234223881784</v>
      </c>
      <c r="R27" s="222"/>
      <c r="S27" s="222">
        <f>Q27*$C$27</f>
        <v>32061.437421717645</v>
      </c>
      <c r="T27" s="222"/>
      <c r="U27" s="222">
        <f>S27*$C$27</f>
        <v>33183.587731477761</v>
      </c>
      <c r="V27" s="222"/>
      <c r="W27" s="222">
        <f>U27*$C$27</f>
        <v>34345.013302079482</v>
      </c>
      <c r="X27" s="222"/>
      <c r="Y27" s="222">
        <f>W27*$C$27</f>
        <v>35547.088767652262</v>
      </c>
      <c r="Z27" s="222"/>
      <c r="AA27" s="222">
        <f>Y27*$C$27</f>
        <v>36791.236874520087</v>
      </c>
      <c r="AB27" s="222"/>
      <c r="AC27" s="222">
        <f>AA27*$C$27</f>
        <v>38078.930165128288</v>
      </c>
      <c r="AD27" s="222"/>
      <c r="AE27" s="222">
        <f>AC27*$C$27</f>
        <v>39411.692720907777</v>
      </c>
      <c r="AF27" s="222"/>
      <c r="AG27" s="222">
        <f>AE27*$C$27</f>
        <v>40791.101966139548</v>
      </c>
    </row>
    <row r="28" spans="1:33" s="210" customFormat="1" ht="14.25">
      <c r="A28" s="210" t="s">
        <v>846</v>
      </c>
      <c r="C28" s="237"/>
      <c r="E28" s="222">
        <f>Application!AC898</f>
        <v>57000</v>
      </c>
      <c r="F28" s="222"/>
      <c r="G28" s="222">
        <f>$E$28</f>
        <v>57000</v>
      </c>
      <c r="H28" s="222"/>
      <c r="I28" s="222">
        <f>$E$28</f>
        <v>57000</v>
      </c>
      <c r="J28" s="222"/>
      <c r="K28" s="222">
        <f>$E$28</f>
        <v>57000</v>
      </c>
      <c r="L28" s="222"/>
      <c r="M28" s="222">
        <f>$E$28</f>
        <v>57000</v>
      </c>
      <c r="N28" s="222"/>
      <c r="O28" s="222">
        <f>$E$28</f>
        <v>57000</v>
      </c>
      <c r="P28" s="222"/>
      <c r="Q28" s="222">
        <f>$E$28</f>
        <v>57000</v>
      </c>
      <c r="R28" s="222"/>
      <c r="S28" s="222">
        <f>$E$28</f>
        <v>57000</v>
      </c>
      <c r="T28" s="222"/>
      <c r="U28" s="222">
        <f>$E$28</f>
        <v>57000</v>
      </c>
      <c r="V28" s="222"/>
      <c r="W28" s="222">
        <f>$E$28</f>
        <v>57000</v>
      </c>
      <c r="X28" s="222"/>
      <c r="Y28" s="222">
        <f>$E$28</f>
        <v>57000</v>
      </c>
      <c r="Z28" s="222"/>
      <c r="AA28" s="222">
        <f>$E$28</f>
        <v>57000</v>
      </c>
      <c r="AB28" s="222"/>
      <c r="AC28" s="222">
        <f>$E$28</f>
        <v>57000</v>
      </c>
      <c r="AD28" s="222"/>
      <c r="AE28" s="222">
        <f>$E$28</f>
        <v>57000</v>
      </c>
      <c r="AF28" s="222"/>
      <c r="AG28" s="222">
        <f>$E$28</f>
        <v>57000</v>
      </c>
    </row>
    <row r="29" spans="1:33" s="210" customFormat="1" ht="14.25">
      <c r="A29" s="210" t="s">
        <v>1669</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844</v>
      </c>
      <c r="C30" s="237">
        <v>1.02</v>
      </c>
      <c r="E30" s="222">
        <f>Application!AC900</f>
        <v>25000</v>
      </c>
      <c r="F30" s="222"/>
      <c r="G30" s="222">
        <f>E30*$C$30</f>
        <v>25500</v>
      </c>
      <c r="H30" s="222"/>
      <c r="I30" s="222">
        <f>G30*$C$30</f>
        <v>26010</v>
      </c>
      <c r="J30" s="222"/>
      <c r="K30" s="222">
        <f>I30*$C$30</f>
        <v>26530.2</v>
      </c>
      <c r="L30" s="222"/>
      <c r="M30" s="222">
        <f>K30*$C$30</f>
        <v>27060.804</v>
      </c>
      <c r="N30" s="222"/>
      <c r="O30" s="222">
        <f>M30*$C$30</f>
        <v>27602.020080000002</v>
      </c>
      <c r="P30" s="222"/>
      <c r="Q30" s="222">
        <f>O30*$C$30</f>
        <v>28154.060481600001</v>
      </c>
      <c r="R30" s="222"/>
      <c r="S30" s="222">
        <f>Q30*$C$30</f>
        <v>28717.141691232002</v>
      </c>
      <c r="T30" s="222"/>
      <c r="U30" s="222">
        <f>S30*$C$30</f>
        <v>29291.484525056643</v>
      </c>
      <c r="V30" s="222"/>
      <c r="W30" s="222">
        <f>U30*$C$30</f>
        <v>29877.314215557777</v>
      </c>
      <c r="X30" s="222"/>
      <c r="Y30" s="222">
        <f>W30*$C$30</f>
        <v>30474.860499868933</v>
      </c>
      <c r="Z30" s="222"/>
      <c r="AA30" s="222">
        <f>Y30*$C$30</f>
        <v>31084.357709866312</v>
      </c>
      <c r="AB30" s="222"/>
      <c r="AC30" s="222">
        <f>AA30*$C$30</f>
        <v>31706.044864063639</v>
      </c>
      <c r="AD30" s="222"/>
      <c r="AE30" s="222">
        <f>AC30*$C$30</f>
        <v>32340.165761344913</v>
      </c>
      <c r="AF30" s="222"/>
      <c r="AG30" s="222">
        <f>AE30*$C$30</f>
        <v>32986.969076571811</v>
      </c>
    </row>
    <row r="31" spans="1:33" s="210" customFormat="1" ht="14.25">
      <c r="A31" s="210" t="s">
        <v>1670</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Bond Issuer Fees</v>
      </c>
      <c r="C32" s="316">
        <v>1.0349999999999999</v>
      </c>
      <c r="E32" s="222">
        <f>Application!AC903</f>
        <v>9096</v>
      </c>
      <c r="F32" s="222"/>
      <c r="G32" s="222">
        <f>E32*$C$32</f>
        <v>9414.3599999999988</v>
      </c>
      <c r="H32" s="222"/>
      <c r="I32" s="222">
        <f>G32*$C$32</f>
        <v>9743.8625999999986</v>
      </c>
      <c r="J32" s="222"/>
      <c r="K32" s="222">
        <f>I32*$C$32</f>
        <v>10084.897790999998</v>
      </c>
      <c r="L32" s="222"/>
      <c r="M32" s="222">
        <f>K32*$C$32</f>
        <v>10437.869213684997</v>
      </c>
      <c r="N32" s="222"/>
      <c r="O32" s="222">
        <f>M32*$C$32</f>
        <v>10803.194636163971</v>
      </c>
      <c r="P32" s="222"/>
      <c r="Q32" s="222">
        <f>O32*$C$32</f>
        <v>11181.30644842971</v>
      </c>
      <c r="R32" s="222"/>
      <c r="S32" s="222">
        <f>Q32*$C$32</f>
        <v>11572.652174124749</v>
      </c>
      <c r="T32" s="222"/>
      <c r="U32" s="222">
        <f>S32*$C$32</f>
        <v>11977.695000219113</v>
      </c>
      <c r="V32" s="222"/>
      <c r="W32" s="222">
        <f>U32*$C$32</f>
        <v>12396.914325226782</v>
      </c>
      <c r="X32" s="222"/>
      <c r="Y32" s="222">
        <f>W32*$C$32</f>
        <v>12830.806326609718</v>
      </c>
      <c r="Z32" s="222"/>
      <c r="AA32" s="222">
        <f>Y32*$C$32</f>
        <v>13279.884548041056</v>
      </c>
      <c r="AB32" s="222"/>
      <c r="AC32" s="222">
        <f>AA32*$C$32</f>
        <v>13744.680507222492</v>
      </c>
      <c r="AD32" s="222"/>
      <c r="AE32" s="222">
        <f>AC32*$C$32</f>
        <v>14225.744324975278</v>
      </c>
      <c r="AF32" s="222"/>
      <c r="AG32" s="222">
        <f>AE32*$C$32</f>
        <v>14723.645376349412</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1313296</v>
      </c>
      <c r="G35" s="223">
        <f>SUM(G22:G33)</f>
        <v>1356891.3599999999</v>
      </c>
      <c r="I35" s="223">
        <f>SUM(I22:I33)</f>
        <v>1402005.0575999999</v>
      </c>
      <c r="K35" s="223">
        <f>SUM(K22:K33)</f>
        <v>1448690.0846160001</v>
      </c>
      <c r="M35" s="223">
        <f>SUM(M22:M33)</f>
        <v>1497001.2845775592</v>
      </c>
      <c r="O35" s="223">
        <f>SUM(O22:O33)</f>
        <v>1546995.417477774</v>
      </c>
      <c r="Q35" s="223">
        <f>SUM(Q22:Q33)</f>
        <v>1598731.2267882959</v>
      </c>
      <c r="S35" s="223">
        <f>SUM(S22:S33)</f>
        <v>1652269.508818662</v>
      </c>
      <c r="U35" s="223">
        <f>SUM(U22:U33)</f>
        <v>1707673.1845019467</v>
      </c>
      <c r="W35" s="223">
        <f>SUM(W22:W33)</f>
        <v>1765007.3736916389</v>
      </c>
      <c r="Y35" s="223">
        <f>SUM(Y22:Y33)</f>
        <v>1824339.4720576124</v>
      </c>
      <c r="AA35" s="223">
        <f>SUM(AA22:AA33)</f>
        <v>1885739.2306721308</v>
      </c>
      <c r="AC35" s="223">
        <f>SUM(AC22:AC33)</f>
        <v>1949278.8383800075</v>
      </c>
      <c r="AE35" s="223">
        <f>SUM(AE22:AE33)</f>
        <v>2015033.0070503464</v>
      </c>
      <c r="AG35" s="223">
        <f>SUM(AG22:AG33)</f>
        <v>2083079.0598106883</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3000359.1199999992</v>
      </c>
      <c r="G37" s="223">
        <f>G11-G35</f>
        <v>3064605.1379999989</v>
      </c>
      <c r="I37" s="223">
        <f>I11-I35</f>
        <v>3130028.8528499976</v>
      </c>
      <c r="K37" s="223">
        <f>K11-K35</f>
        <v>3196644.6735952487</v>
      </c>
      <c r="M37" s="223">
        <f>M11-M35</f>
        <v>3264466.842588969</v>
      </c>
      <c r="O37" s="223">
        <f>O11-O35</f>
        <v>3333509.4128679172</v>
      </c>
      <c r="Q37" s="223">
        <f>Q11-Q35</f>
        <v>3403786.2243160377</v>
      </c>
      <c r="S37" s="223">
        <f>S11-S35</f>
        <v>3475310.8785632793</v>
      </c>
      <c r="U37" s="223">
        <f>U11-U35</f>
        <v>3548096.712564541</v>
      </c>
      <c r="W37" s="223">
        <f>W11-W35</f>
        <v>3622156.7708015116</v>
      </c>
      <c r="Y37" s="223">
        <f>Y11-Y35</f>
        <v>3697503.7760478668</v>
      </c>
      <c r="AA37" s="223">
        <f>AA11-AA35</f>
        <v>3774150.0986359851</v>
      </c>
      <c r="AC37" s="223">
        <f>AC11-AC35</f>
        <v>3852107.7241608105</v>
      </c>
      <c r="AE37" s="223">
        <f>AE11-AE35</f>
        <v>3931388.2195539922</v>
      </c>
      <c r="AG37" s="223">
        <f>AG11-AG35</f>
        <v>4012002.6974587576</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Citibank</v>
      </c>
      <c r="B40" s="226"/>
      <c r="C40" s="220"/>
      <c r="E40" s="222">
        <f>Application!AF635</f>
        <v>2612152.3000180451</v>
      </c>
      <c r="F40" s="222"/>
      <c r="G40" s="222">
        <f>$E$40</f>
        <v>2612152.3000180451</v>
      </c>
      <c r="H40" s="222"/>
      <c r="I40" s="222">
        <f>$E$40</f>
        <v>2612152.3000180451</v>
      </c>
      <c r="J40" s="222"/>
      <c r="K40" s="222">
        <f>$E$40</f>
        <v>2612152.3000180451</v>
      </c>
      <c r="L40" s="222"/>
      <c r="M40" s="222">
        <f>$E$40</f>
        <v>2612152.3000180451</v>
      </c>
      <c r="N40" s="222"/>
      <c r="O40" s="222">
        <f>$E$40</f>
        <v>2612152.3000180451</v>
      </c>
      <c r="P40" s="222"/>
      <c r="Q40" s="222">
        <f>$E$40</f>
        <v>2612152.3000180451</v>
      </c>
      <c r="R40" s="222"/>
      <c r="S40" s="222">
        <f>$E$40</f>
        <v>2612152.3000180451</v>
      </c>
      <c r="T40" s="222"/>
      <c r="U40" s="222">
        <f>$E$40</f>
        <v>2612152.3000180451</v>
      </c>
      <c r="V40" s="222"/>
      <c r="W40" s="222">
        <f>$E$40</f>
        <v>2612152.3000180451</v>
      </c>
      <c r="X40" s="222"/>
      <c r="Y40" s="222">
        <f>$E$40</f>
        <v>2612152.3000180451</v>
      </c>
      <c r="Z40" s="222"/>
      <c r="AA40" s="222">
        <f>$E$40</f>
        <v>2612152.3000180451</v>
      </c>
      <c r="AB40" s="222"/>
      <c r="AC40" s="222">
        <f>$E$40</f>
        <v>2612152.3000180451</v>
      </c>
      <c r="AD40" s="222"/>
      <c r="AE40" s="222">
        <f>$E$40</f>
        <v>2612152.3000180451</v>
      </c>
      <c r="AF40" s="222"/>
      <c r="AG40" s="222">
        <f>$E$40</f>
        <v>2612152.3000180451</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2612152.3000180451</v>
      </c>
      <c r="G43" s="223">
        <f>SUM(G40:G42)</f>
        <v>2612152.3000180451</v>
      </c>
      <c r="I43" s="223">
        <f>SUM(I40:I42)</f>
        <v>2612152.3000180451</v>
      </c>
      <c r="K43" s="223">
        <f>SUM(K40:K42)</f>
        <v>2612152.3000180451</v>
      </c>
      <c r="M43" s="223">
        <f>SUM(M40:M42)</f>
        <v>2612152.3000180451</v>
      </c>
      <c r="O43" s="223">
        <f>SUM(O40:O42)</f>
        <v>2612152.3000180451</v>
      </c>
      <c r="Q43" s="223">
        <f>SUM(Q40:Q42)</f>
        <v>2612152.3000180451</v>
      </c>
      <c r="S43" s="223">
        <f>SUM(S40:S42)</f>
        <v>2612152.3000180451</v>
      </c>
      <c r="U43" s="223">
        <f>SUM(U40:U42)</f>
        <v>2612152.3000180451</v>
      </c>
      <c r="W43" s="223">
        <f>SUM(W40:W42)</f>
        <v>2612152.3000180451</v>
      </c>
      <c r="Y43" s="223">
        <f>SUM(Y40:Y42)</f>
        <v>2612152.3000180451</v>
      </c>
      <c r="AA43" s="223">
        <f>SUM(AA40:AA42)</f>
        <v>2612152.3000180451</v>
      </c>
      <c r="AC43" s="223">
        <f>SUM(AC40:AC42)</f>
        <v>2612152.3000180451</v>
      </c>
      <c r="AE43" s="223">
        <f>SUM(AE40:AE42)</f>
        <v>2612152.3000180451</v>
      </c>
      <c r="AG43" s="223">
        <f>SUM(AG40:AG42)</f>
        <v>2612152.3000180451</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388206.81998195406</v>
      </c>
      <c r="G45" s="223">
        <f>G37-G43</f>
        <v>452452.83798195375</v>
      </c>
      <c r="I45" s="223">
        <f>I37-I43</f>
        <v>517876.55283195246</v>
      </c>
      <c r="K45" s="223">
        <f>K37-K43</f>
        <v>584492.3735772036</v>
      </c>
      <c r="M45" s="223">
        <f>M37-M43</f>
        <v>652314.54257092392</v>
      </c>
      <c r="O45" s="223">
        <f>O37-O43</f>
        <v>721357.11284987209</v>
      </c>
      <c r="Q45" s="223">
        <f>Q37-Q43</f>
        <v>791633.92429799261</v>
      </c>
      <c r="S45" s="223">
        <f>S37-S43</f>
        <v>863158.57854523417</v>
      </c>
      <c r="U45" s="223">
        <f>U37-U43</f>
        <v>935944.41254649591</v>
      </c>
      <c r="W45" s="223">
        <f>W37-W43</f>
        <v>1010004.4707834665</v>
      </c>
      <c r="Y45" s="223">
        <f>Y37-Y43</f>
        <v>1085351.4760298217</v>
      </c>
      <c r="AA45" s="223">
        <f>AA37-AA43</f>
        <v>1161997.7986179399</v>
      </c>
      <c r="AC45" s="223">
        <f>AC37-AC43</f>
        <v>1239955.4241427653</v>
      </c>
      <c r="AE45" s="223">
        <f>AE37-AE43</f>
        <v>1319235.919535947</v>
      </c>
      <c r="AG45" s="223">
        <f>AG37-AG43</f>
        <v>1399850.3974407124</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8.5495123908481671E-2</v>
      </c>
      <c r="G47" s="227">
        <f>G45/(G4+G6+G8)</f>
        <v>9.7213736633577255E-2</v>
      </c>
      <c r="I47" s="227">
        <f>I45/(I4+I6+I8)</f>
        <v>0.10855671756028509</v>
      </c>
      <c r="K47" s="227">
        <f>K45/(K4+K6+K8)</f>
        <v>0.11953234455640332</v>
      </c>
      <c r="M47" s="227">
        <f>M45/(M4+M6+M8)</f>
        <v>0.13014868500467108</v>
      </c>
      <c r="O47" s="227">
        <f>O45/(O4+O6+O8)</f>
        <v>0.14041360085260662</v>
      </c>
      <c r="Q47" s="227">
        <f>Q45/(Q4+Q6+Q8)</f>
        <v>0.15033475353835563</v>
      </c>
      <c r="S47" s="227">
        <f>S45/(S4+S6+S8)</f>
        <v>0.15991960879557296</v>
      </c>
      <c r="U47" s="227">
        <f>U45/(U4+U6+U8)</f>
        <v>0.16917544134027809</v>
      </c>
      <c r="W47" s="227">
        <f>W45/(W4+W6+W8)</f>
        <v>0.17810933944255519</v>
      </c>
      <c r="Y47" s="227">
        <f>Y45/(Y4+Y6+Y8)</f>
        <v>0.18672820938589502</v>
      </c>
      <c r="AA47" s="227">
        <f>AA45/(AA4+AA6+AA8)</f>
        <v>0.19503877981691686</v>
      </c>
      <c r="AC47" s="227">
        <f>AC45/(AC4+AC6+AC8)</f>
        <v>0.20304760598813124</v>
      </c>
      <c r="AE47" s="227">
        <f>AE45/(AE4+AE6+AE8)</f>
        <v>0.21076107389634469</v>
      </c>
      <c r="AG47" s="227">
        <f>AG45/(AG4+AG6+AG8)</f>
        <v>0.2181854043192431</v>
      </c>
    </row>
    <row r="48" spans="1:33" s="227" customFormat="1" ht="14.25">
      <c r="A48" s="227" t="s">
        <v>852</v>
      </c>
      <c r="C48" s="220"/>
      <c r="E48" s="227">
        <f>E45/E43</f>
        <v>0.14861569135125555</v>
      </c>
      <c r="G48" s="227">
        <f>G45/G43</f>
        <v>0.17321074195360972</v>
      </c>
      <c r="I48" s="227">
        <f>I45/I43</f>
        <v>0.19825664561303524</v>
      </c>
      <c r="K48" s="227">
        <f>K45/K43</f>
        <v>0.22375891848770296</v>
      </c>
      <c r="M48" s="227">
        <f>M45/M43</f>
        <v>0.24972301292172652</v>
      </c>
      <c r="O48" s="227">
        <f>O45/O43</f>
        <v>0.27615430878394376</v>
      </c>
      <c r="Q48" s="227">
        <f>Q45/Q43</f>
        <v>0.30305810434273833</v>
      </c>
      <c r="S48" s="227">
        <f>S45/S43</f>
        <v>0.33043960665665295</v>
      </c>
      <c r="U48" s="227">
        <f>U45/U43</f>
        <v>0.35830392145972129</v>
      </c>
      <c r="W48" s="227">
        <f>W45/W43</f>
        <v>0.386656042519607</v>
      </c>
      <c r="Y48" s="227">
        <f>Y45/Y43</f>
        <v>0.41550084044575958</v>
      </c>
      <c r="AA48" s="227">
        <f>AA45/AA43</f>
        <v>0.44484305092391158</v>
      </c>
      <c r="AC48" s="227">
        <f>AC45/AC43</f>
        <v>0.47468726235227537</v>
      </c>
      <c r="AE48" s="227">
        <f>AE45/AE43</f>
        <v>0.50503790285383954</v>
      </c>
      <c r="AG48" s="227">
        <f>AG45/AG43</f>
        <v>0.53589922663814127</v>
      </c>
    </row>
    <row r="49" spans="1:34" s="228" customFormat="1" ht="14.25">
      <c r="A49" s="228" t="s">
        <v>850</v>
      </c>
      <c r="C49" s="229"/>
      <c r="E49" s="228">
        <f>E37/E43</f>
        <v>1.1486156913512555</v>
      </c>
      <c r="G49" s="228">
        <f>G37/G43</f>
        <v>1.1732107419536097</v>
      </c>
      <c r="I49" s="228">
        <f>I37/I43</f>
        <v>1.1982566456130352</v>
      </c>
      <c r="K49" s="228">
        <f>K37/K43</f>
        <v>1.2237589184877029</v>
      </c>
      <c r="M49" s="228">
        <f>M37/M43</f>
        <v>1.2497230129217265</v>
      </c>
      <c r="O49" s="228">
        <f>O37/O43</f>
        <v>1.2761543087839438</v>
      </c>
      <c r="Q49" s="228">
        <f>Q37/Q43</f>
        <v>1.3030581043427383</v>
      </c>
      <c r="S49" s="228">
        <f>S37/S43</f>
        <v>1.3304396066566531</v>
      </c>
      <c r="U49" s="228">
        <f>U37/U43</f>
        <v>1.3583039214597212</v>
      </c>
      <c r="W49" s="228">
        <f>W37/W43</f>
        <v>1.3866560425196071</v>
      </c>
      <c r="Y49" s="228">
        <f>Y37/Y43</f>
        <v>1.4155008404457596</v>
      </c>
      <c r="AA49" s="228">
        <f>AA37/AA43</f>
        <v>1.4448430509239116</v>
      </c>
      <c r="AC49" s="228">
        <f>AC37/AC43</f>
        <v>1.4746872623522753</v>
      </c>
      <c r="AE49" s="228">
        <f>AE37/AE43</f>
        <v>1.5050379028538396</v>
      </c>
      <c r="AG49" s="228">
        <f>AG37/AG43</f>
        <v>1.5358992266381413</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5" t="s">
        <v>1184</v>
      </c>
      <c r="B52" s="2685"/>
      <c r="C52" s="2685"/>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855</v>
      </c>
      <c r="C54" s="954"/>
      <c r="E54" s="961"/>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856</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0</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388206.81998195406</v>
      </c>
      <c r="G60" s="958">
        <f>G45-G58</f>
        <v>452452.83798195375</v>
      </c>
      <c r="I60" s="958">
        <f>I45-I58</f>
        <v>517876.55283195246</v>
      </c>
      <c r="K60" s="958">
        <f>K45-K58</f>
        <v>584492.3735772036</v>
      </c>
      <c r="M60" s="958">
        <f>M45-M58</f>
        <v>652314.54257092392</v>
      </c>
      <c r="O60" s="958">
        <f>O45-O58</f>
        <v>721357.11284987209</v>
      </c>
      <c r="Q60" s="958">
        <f>Q45-Q58</f>
        <v>791633.92429799261</v>
      </c>
      <c r="S60" s="958">
        <f>S45-S58</f>
        <v>863158.57854523417</v>
      </c>
      <c r="U60" s="958">
        <f>U45-U58</f>
        <v>935944.41254649591</v>
      </c>
      <c r="W60" s="958">
        <f>W45-W58</f>
        <v>1010004.4707834665</v>
      </c>
      <c r="Y60" s="958">
        <f>Y45-Y58</f>
        <v>1085351.4760298217</v>
      </c>
      <c r="AA60" s="958">
        <f>AA45-AA58</f>
        <v>1161997.7986179399</v>
      </c>
      <c r="AC60" s="958">
        <f>AC45-AC58</f>
        <v>1239955.4241427653</v>
      </c>
      <c r="AE60" s="958">
        <f>AE45-AE58</f>
        <v>1319235.919535947</v>
      </c>
      <c r="AG60" s="958">
        <f>AG45-AG58</f>
        <v>1399850.3974407124</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1</v>
      </c>
      <c r="E62" s="960">
        <f>E60*$C$62</f>
        <v>388206.81998195406</v>
      </c>
      <c r="G62" s="958">
        <f>G60*$C$62</f>
        <v>452452.83798195375</v>
      </c>
      <c r="I62" s="958">
        <f>I60*$C$62</f>
        <v>517876.55283195246</v>
      </c>
      <c r="K62" s="958">
        <f>K60*$C$62</f>
        <v>584492.3735772036</v>
      </c>
      <c r="M62" s="958">
        <f>M60*$C$62</f>
        <v>652314.54257092392</v>
      </c>
      <c r="O62" s="958">
        <f>O60*$C$62</f>
        <v>721357.11284987209</v>
      </c>
      <c r="Q62" s="958">
        <f>Q60*$C$62</f>
        <v>791633.92429799261</v>
      </c>
      <c r="S62" s="958">
        <f>S60*$C$62</f>
        <v>863158.57854523417</v>
      </c>
      <c r="U62" s="958">
        <f>U60*$C$62</f>
        <v>935944.41254649591</v>
      </c>
      <c r="W62" s="958">
        <v>378206</v>
      </c>
    </row>
    <row r="63" spans="1:34" s="958" customFormat="1">
      <c r="A63" s="2685" t="s">
        <v>1184</v>
      </c>
      <c r="B63" s="2685"/>
      <c r="C63" s="2685"/>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v>0</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0</v>
      </c>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c r="B67" s="961"/>
      <c r="C67" s="966"/>
      <c r="E67" s="960">
        <f>$E60*$C$65</f>
        <v>0</v>
      </c>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853</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1712</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631798.47078346647</v>
      </c>
      <c r="Y72" s="958">
        <f>Y60-Y62-Y70</f>
        <v>1085351.4760298217</v>
      </c>
      <c r="AA72" s="958">
        <f>AA60-AA62-AA70</f>
        <v>1161997.7986179399</v>
      </c>
      <c r="AC72" s="958">
        <f>AC60-AC62-AC70</f>
        <v>1239955.4241427653</v>
      </c>
      <c r="AE72" s="958">
        <f>AE60-AE62-AE70</f>
        <v>1319235.919535947</v>
      </c>
      <c r="AG72" s="958">
        <f>AG60-AG62-AG70</f>
        <v>1399850.3974407124</v>
      </c>
    </row>
    <row r="73" spans="1:34" s="956" customFormat="1">
      <c r="A73" s="529"/>
      <c r="C73" s="966"/>
    </row>
    <row r="74" spans="1:34" s="217" customFormat="1">
      <c r="A74" s="529"/>
      <c r="C74" s="183"/>
    </row>
    <row r="75" spans="1:34" s="217" customFormat="1">
      <c r="A75" s="956" t="s">
        <v>1711</v>
      </c>
      <c r="C75" s="183"/>
    </row>
    <row r="76" spans="1:34" s="217" customFormat="1">
      <c r="C76" s="183"/>
    </row>
    <row r="77" spans="1:34" s="234" customFormat="1" ht="30" customHeight="1">
      <c r="A77" s="2683" t="s">
        <v>1710</v>
      </c>
      <c r="B77" s="2684"/>
      <c r="C77" s="2684"/>
      <c r="D77" s="2684"/>
      <c r="E77" s="2684"/>
      <c r="F77" s="2684"/>
      <c r="G77" s="2684"/>
      <c r="H77" s="2684"/>
      <c r="I77" s="2684"/>
      <c r="J77" s="2684"/>
      <c r="K77" s="2684"/>
      <c r="L77" s="2684"/>
      <c r="M77" s="2684"/>
      <c r="N77" s="2684"/>
      <c r="O77" s="2684"/>
      <c r="P77" s="2684"/>
      <c r="Q77" s="2684"/>
      <c r="R77" s="2684"/>
      <c r="S77" s="2684"/>
      <c r="T77" s="2684"/>
      <c r="U77" s="2684"/>
      <c r="V77" s="2684"/>
      <c r="W77" s="2684"/>
      <c r="X77" s="2684"/>
      <c r="Y77" s="2684"/>
      <c r="Z77" s="2684"/>
      <c r="AA77" s="2684"/>
      <c r="AB77" s="2684"/>
      <c r="AC77" s="2684"/>
      <c r="AD77" s="2684"/>
      <c r="AE77" s="2684"/>
      <c r="AF77" s="2684"/>
      <c r="AG77" s="268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11000000</v>
      </c>
      <c r="C5" s="266">
        <f>'Sources and Uses Budget'!$C4</f>
        <v>11000000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11000000</v>
      </c>
      <c r="C9" s="270">
        <f>SUM(C5:C8)</f>
        <v>11000000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11000000</v>
      </c>
      <c r="C13" s="270">
        <f>SUM(C9+C12)</f>
        <v>11000000</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0</v>
      </c>
      <c r="C30" s="266">
        <f>'Sources and Uses Budget'!$C29</f>
        <v>0</v>
      </c>
      <c r="D30" s="270">
        <f t="shared" si="0"/>
        <v>0</v>
      </c>
      <c r="E30" s="268"/>
      <c r="F30" s="267"/>
    </row>
    <row r="31" spans="1:6" s="352" customFormat="1">
      <c r="A31" s="145" t="s">
        <v>599</v>
      </c>
      <c r="B31" s="266">
        <f>'Sources and Uses Budget'!$C30</f>
        <v>31400000</v>
      </c>
      <c r="C31" s="266">
        <f>'Sources and Uses Budget'!$C30</f>
        <v>31400000</v>
      </c>
      <c r="D31" s="270">
        <f t="shared" si="0"/>
        <v>0</v>
      </c>
      <c r="E31" s="268"/>
      <c r="F31" s="267"/>
    </row>
    <row r="32" spans="1:6" s="352" customFormat="1">
      <c r="A32" s="145" t="s">
        <v>600</v>
      </c>
      <c r="B32" s="266">
        <f>'Sources and Uses Budget'!$C31</f>
        <v>1752120</v>
      </c>
      <c r="C32" s="266">
        <f>'Sources and Uses Budget'!$C31</f>
        <v>1752120</v>
      </c>
      <c r="D32" s="270">
        <f t="shared" si="0"/>
        <v>0</v>
      </c>
      <c r="E32" s="268"/>
      <c r="F32" s="267"/>
    </row>
    <row r="33" spans="1:6" s="352" customFormat="1">
      <c r="A33" s="145" t="s">
        <v>137</v>
      </c>
      <c r="B33" s="266">
        <f>'Sources and Uses Budget'!$C32</f>
        <v>1326085</v>
      </c>
      <c r="C33" s="266">
        <f>'Sources and Uses Budget'!$C32</f>
        <v>1326085</v>
      </c>
      <c r="D33" s="270">
        <f t="shared" si="0"/>
        <v>0</v>
      </c>
      <c r="E33" s="268"/>
      <c r="F33" s="267"/>
    </row>
    <row r="34" spans="1:6" s="352" customFormat="1">
      <c r="A34" s="145" t="s">
        <v>138</v>
      </c>
      <c r="B34" s="266">
        <f>'Sources and Uses Budget'!$C33</f>
        <v>1326085</v>
      </c>
      <c r="C34" s="266">
        <f>'Sources and Uses Budget'!$C33</f>
        <v>1326085</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900000</v>
      </c>
      <c r="C36" s="266">
        <f>'Sources and Uses Budget'!$C35</f>
        <v>900000</v>
      </c>
      <c r="D36" s="270">
        <f t="shared" si="0"/>
        <v>0</v>
      </c>
      <c r="E36" s="268"/>
      <c r="F36" s="267"/>
    </row>
    <row r="37" spans="1:6" s="352" customFormat="1">
      <c r="A37" s="283" t="s">
        <v>1629</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36704290</v>
      </c>
      <c r="C39" s="270">
        <f>SUM(C30:C38)</f>
        <v>36704290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894625</v>
      </c>
      <c r="C41" s="266">
        <f>'Sources and Uses Budget'!$C40</f>
        <v>894625</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894625</v>
      </c>
      <c r="C43" s="270">
        <f>SUM(C41:C42)</f>
        <v>894625</v>
      </c>
      <c r="D43" s="270">
        <f t="shared" si="0"/>
        <v>0</v>
      </c>
      <c r="E43" s="268"/>
      <c r="F43" s="267"/>
    </row>
    <row r="44" spans="1:6" s="352" customFormat="1">
      <c r="A44" s="271" t="s">
        <v>148</v>
      </c>
      <c r="B44" s="266">
        <f>'Sources and Uses Budget'!$C43</f>
        <v>894625</v>
      </c>
      <c r="C44" s="266">
        <f>'Sources and Uses Budget'!$C43</f>
        <v>894625</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4479905</v>
      </c>
      <c r="C46" s="266">
        <f>'Sources and Uses Budget'!$C45</f>
        <v>4479905</v>
      </c>
      <c r="D46" s="270">
        <f t="shared" si="0"/>
        <v>0</v>
      </c>
      <c r="E46" s="268"/>
      <c r="F46" s="267"/>
    </row>
    <row r="47" spans="1:6" s="352" customFormat="1">
      <c r="A47" s="145" t="s">
        <v>151</v>
      </c>
      <c r="B47" s="266">
        <f>'Sources and Uses Budget'!$C46</f>
        <v>561634</v>
      </c>
      <c r="C47" s="266">
        <f>'Sources and Uses Budget'!$C46</f>
        <v>561634</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1485000</v>
      </c>
      <c r="C50" s="266">
        <f>'Sources and Uses Budget'!$C49</f>
        <v>1485000</v>
      </c>
      <c r="D50" s="270">
        <f t="shared" si="0"/>
        <v>0</v>
      </c>
      <c r="E50" s="268"/>
      <c r="F50" s="267"/>
    </row>
    <row r="51" spans="1:6" s="352" customFormat="1">
      <c r="A51" s="145" t="s">
        <v>156</v>
      </c>
      <c r="B51" s="266">
        <f>'Sources and Uses Budget'!$C50</f>
        <v>150000</v>
      </c>
      <c r="C51" s="266">
        <f>'Sources and Uses Budget'!$C50</f>
        <v>150000</v>
      </c>
      <c r="D51" s="270">
        <f t="shared" si="0"/>
        <v>0</v>
      </c>
      <c r="E51" s="268"/>
      <c r="F51" s="267"/>
    </row>
    <row r="52" spans="1:6" s="352" customFormat="1">
      <c r="A52" s="283" t="s">
        <v>154</v>
      </c>
      <c r="B52" s="266">
        <f>'Sources and Uses Budget'!$C51</f>
        <v>560837</v>
      </c>
      <c r="C52" s="266">
        <f>'Sources and Uses Budget'!$C51</f>
        <v>560837</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7237376</v>
      </c>
      <c r="C55" s="273">
        <f>SUM(C46:C54)</f>
        <v>7237376</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400692</v>
      </c>
      <c r="C57" s="266">
        <f>'Sources and Uses Budget'!$C56</f>
        <v>400692</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400692</v>
      </c>
      <c r="C63" s="270">
        <f>SUM(C57:C62)</f>
        <v>400692</v>
      </c>
      <c r="D63" s="270">
        <f t="shared" si="0"/>
        <v>0</v>
      </c>
      <c r="E63" s="268"/>
      <c r="F63" s="267"/>
    </row>
    <row r="64" spans="1:6" s="352" customFormat="1">
      <c r="A64" s="274" t="s">
        <v>302</v>
      </c>
      <c r="B64" s="270">
        <f>SUM(B9+B12+B14+B15+B17+B26+B28+B39+B43+B44+B55+B63)</f>
        <v>57131608</v>
      </c>
      <c r="C64" s="270">
        <f>SUM(C9+C12+C14+C15+C17+C26+C28+C39+C43+C44+C55+C63)</f>
        <v>57131608</v>
      </c>
      <c r="D64" s="270">
        <f t="shared" si="0"/>
        <v>0</v>
      </c>
      <c r="E64" s="268"/>
      <c r="F64" s="267"/>
    </row>
    <row r="65" spans="1:6" s="352" customFormat="1" ht="24">
      <c r="A65" s="141" t="s">
        <v>1633</v>
      </c>
      <c r="B65" s="264"/>
      <c r="C65" s="264"/>
      <c r="D65" s="264"/>
      <c r="E65" s="282"/>
      <c r="F65" s="264"/>
    </row>
    <row r="66" spans="1:6" s="352" customFormat="1">
      <c r="A66" s="145" t="s">
        <v>171</v>
      </c>
      <c r="B66" s="266">
        <f>'Sources and Uses Budget'!$C65</f>
        <v>325000</v>
      </c>
      <c r="C66" s="266">
        <f>'Sources and Uses Budget'!$C65</f>
        <v>325000</v>
      </c>
      <c r="D66" s="270">
        <f t="shared" si="0"/>
        <v>0</v>
      </c>
      <c r="E66" s="268"/>
      <c r="F66" s="267"/>
    </row>
    <row r="67" spans="1:6" s="352" customFormat="1" ht="24">
      <c r="A67" s="283" t="s">
        <v>1630</v>
      </c>
      <c r="B67" s="266">
        <f>'Sources and Uses Budget'!$C66</f>
        <v>500000</v>
      </c>
      <c r="C67" s="266">
        <f>'Sources and Uses Budget'!$C66</f>
        <v>500000</v>
      </c>
      <c r="D67" s="270"/>
      <c r="E67" s="268"/>
      <c r="F67" s="267"/>
    </row>
    <row r="68" spans="1:6" s="352" customFormat="1" ht="24">
      <c r="A68" s="283" t="s">
        <v>1631</v>
      </c>
      <c r="B68" s="266">
        <f>'Sources and Uses Budget'!$C67</f>
        <v>0</v>
      </c>
      <c r="C68" s="266">
        <f>'Sources and Uses Budget'!$C67</f>
        <v>0</v>
      </c>
      <c r="D68" s="270"/>
      <c r="E68" s="268"/>
      <c r="F68" s="267"/>
    </row>
    <row r="69" spans="1:6" s="352" customFormat="1">
      <c r="A69" s="283" t="s">
        <v>1637</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1634</v>
      </c>
      <c r="B71" s="270">
        <f>SUM(B66:B70)</f>
        <v>825000</v>
      </c>
      <c r="C71" s="270">
        <f>SUM(C66:C70)</f>
        <v>825000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981362</v>
      </c>
      <c r="C76" s="266">
        <f>'Sources and Uses Budget'!$C75</f>
        <v>981362</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981362</v>
      </c>
      <c r="C78" s="270">
        <f>SUM(C73:C77)</f>
        <v>981362</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1790214</v>
      </c>
      <c r="C80" s="266">
        <f>'Sources and Uses Budget'!$C79</f>
        <v>1790214</v>
      </c>
      <c r="D80" s="270">
        <f t="shared" si="1"/>
        <v>0</v>
      </c>
      <c r="E80" s="268"/>
      <c r="F80" s="267"/>
    </row>
    <row r="81" spans="1:6" s="352" customFormat="1">
      <c r="A81" s="510" t="s">
        <v>58</v>
      </c>
      <c r="B81" s="266">
        <f>'Sources and Uses Budget'!$C80</f>
        <v>450000</v>
      </c>
      <c r="C81" s="266">
        <f>'Sources and Uses Budget'!$C80</f>
        <v>450000</v>
      </c>
      <c r="D81" s="270">
        <f>C81-B81</f>
        <v>0</v>
      </c>
      <c r="E81" s="268"/>
      <c r="F81" s="267"/>
    </row>
    <row r="82" spans="1:6" s="352" customFormat="1">
      <c r="A82" s="271" t="s">
        <v>1209</v>
      </c>
      <c r="B82" s="270">
        <f>SUM(B80:B81)</f>
        <v>2240214</v>
      </c>
      <c r="C82" s="270">
        <f>SUM(C80:C81)</f>
        <v>2240214</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259108</v>
      </c>
      <c r="C84" s="266">
        <f>'Sources and Uses Budget'!$C83</f>
        <v>259108</v>
      </c>
      <c r="D84" s="270">
        <f t="shared" si="1"/>
        <v>0</v>
      </c>
      <c r="E84" s="268"/>
      <c r="F84" s="267"/>
    </row>
    <row r="85" spans="1:6" s="352" customFormat="1">
      <c r="A85" s="269" t="s">
        <v>767</v>
      </c>
      <c r="B85" s="266">
        <f>'Sources and Uses Budget'!$C84</f>
        <v>0</v>
      </c>
      <c r="C85" s="266">
        <f>'Sources and Uses Budget'!$C84</f>
        <v>0</v>
      </c>
      <c r="D85" s="270">
        <f t="shared" si="1"/>
        <v>0</v>
      </c>
      <c r="E85" s="268"/>
      <c r="F85" s="267"/>
    </row>
    <row r="86" spans="1:6" s="352" customFormat="1">
      <c r="A86" s="269" t="s">
        <v>768</v>
      </c>
      <c r="B86" s="266">
        <f>'Sources and Uses Budget'!$C85</f>
        <v>0</v>
      </c>
      <c r="C86" s="266">
        <f>'Sources and Uses Budget'!$C85</f>
        <v>0</v>
      </c>
      <c r="D86" s="270">
        <f t="shared" si="1"/>
        <v>0</v>
      </c>
      <c r="E86" s="268"/>
      <c r="F86" s="267"/>
    </row>
    <row r="87" spans="1:6" s="352" customFormat="1">
      <c r="A87" s="269" t="s">
        <v>769</v>
      </c>
      <c r="B87" s="266">
        <f>'Sources and Uses Budget'!$C86</f>
        <v>2300000</v>
      </c>
      <c r="C87" s="266">
        <f>'Sources and Uses Budget'!$C86</f>
        <v>2300000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50000</v>
      </c>
      <c r="C89" s="266">
        <f>'Sources and Uses Budget'!$C88</f>
        <v>50000</v>
      </c>
      <c r="D89" s="270">
        <f t="shared" si="1"/>
        <v>0</v>
      </c>
      <c r="E89" s="268"/>
      <c r="F89" s="267"/>
    </row>
    <row r="90" spans="1:6" s="352" customFormat="1">
      <c r="A90" s="269" t="s">
        <v>772</v>
      </c>
      <c r="B90" s="266">
        <f>'Sources and Uses Budget'!$C89</f>
        <v>250000</v>
      </c>
      <c r="C90" s="266">
        <f>'Sources and Uses Budget'!$C89</f>
        <v>250000</v>
      </c>
      <c r="D90" s="270">
        <f t="shared" si="1"/>
        <v>0</v>
      </c>
      <c r="E90" s="268"/>
      <c r="F90" s="267"/>
    </row>
    <row r="91" spans="1:6" s="352" customFormat="1">
      <c r="A91" s="269" t="s">
        <v>773</v>
      </c>
      <c r="B91" s="266">
        <f>'Sources and Uses Budget'!$C90</f>
        <v>10000</v>
      </c>
      <c r="C91" s="266">
        <f>'Sources and Uses Budget'!$C90</f>
        <v>10000</v>
      </c>
      <c r="D91" s="270">
        <f t="shared" si="1"/>
        <v>0</v>
      </c>
      <c r="E91" s="268"/>
      <c r="F91" s="267"/>
    </row>
    <row r="92" spans="1:6" s="352" customFormat="1">
      <c r="A92" s="269" t="s">
        <v>372</v>
      </c>
      <c r="B92" s="266">
        <f>'Sources and Uses Budget'!$C91</f>
        <v>52500</v>
      </c>
      <c r="C92" s="266">
        <f>'Sources and Uses Budget'!$C91</f>
        <v>52500</v>
      </c>
      <c r="D92" s="270">
        <f t="shared" si="1"/>
        <v>0</v>
      </c>
      <c r="E92" s="268"/>
      <c r="F92" s="267"/>
    </row>
    <row r="93" spans="1:6" s="352" customFormat="1">
      <c r="A93" s="510" t="s">
        <v>1211</v>
      </c>
      <c r="B93" s="266">
        <f>'Sources and Uses Budget'!$C92</f>
        <v>10000</v>
      </c>
      <c r="C93" s="266">
        <f>'Sources and Uses Budget'!$C92</f>
        <v>10000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2931608</v>
      </c>
      <c r="C97" s="270">
        <f>SUM(C84:C96)</f>
        <v>2931608</v>
      </c>
      <c r="D97" s="270">
        <f t="shared" si="1"/>
        <v>0</v>
      </c>
      <c r="E97" s="268"/>
      <c r="F97" s="267"/>
    </row>
    <row r="98" spans="1:6" s="352" customFormat="1">
      <c r="A98" s="271" t="s">
        <v>775</v>
      </c>
      <c r="B98" s="270">
        <f>SUM(B64+B71+B78+B82+B97)</f>
        <v>64109792</v>
      </c>
      <c r="C98" s="270">
        <f>SUM(C64+C71+C78+C82+C97)</f>
        <v>64109792</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7193915</v>
      </c>
      <c r="C100" s="266">
        <f>'Sources and Uses Budget'!$C99</f>
        <v>7193915</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7193915</v>
      </c>
      <c r="C105" s="270">
        <f>SUM(C100:C104)</f>
        <v>7193915</v>
      </c>
      <c r="D105" s="270">
        <f t="shared" si="1"/>
        <v>0</v>
      </c>
      <c r="E105" s="268"/>
      <c r="F105" s="267"/>
    </row>
    <row r="106" spans="1:6" s="352" customFormat="1">
      <c r="A106" s="271" t="s">
        <v>780</v>
      </c>
      <c r="B106" s="273">
        <f>SUM(B98+B105)</f>
        <v>71303707</v>
      </c>
      <c r="C106" s="273">
        <f>SUM(C98+C105)</f>
        <v>71303707</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topLeftCell="A93"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280" t="s">
        <v>1843</v>
      </c>
      <c r="B1" s="1281"/>
      <c r="C1" s="1281"/>
      <c r="D1" s="1281"/>
      <c r="E1" s="1281"/>
      <c r="F1" s="1281"/>
      <c r="G1" s="1281"/>
      <c r="H1" s="1281"/>
      <c r="I1" s="1281"/>
      <c r="J1" s="1281"/>
    </row>
    <row r="2" spans="1:10" ht="15">
      <c r="A2" s="1284" t="s">
        <v>1268</v>
      </c>
      <c r="B2" s="1285"/>
      <c r="C2" s="1285"/>
      <c r="D2" s="1285"/>
      <c r="E2" s="1285"/>
      <c r="F2" s="1285"/>
      <c r="G2" s="1285"/>
      <c r="H2" s="1285"/>
      <c r="I2" s="1285"/>
      <c r="J2" s="1285"/>
    </row>
    <row r="3" spans="1:10" ht="12.75"/>
    <row r="4" spans="1:10" ht="12.75" customHeight="1">
      <c r="A4" s="1282" t="s">
        <v>2007</v>
      </c>
      <c r="B4" s="1282"/>
      <c r="C4" s="1282"/>
      <c r="D4" s="1282"/>
      <c r="E4" s="1282"/>
      <c r="F4" s="1282"/>
      <c r="G4" s="1282"/>
      <c r="H4" s="1282"/>
      <c r="I4" s="1282"/>
      <c r="J4" s="1282"/>
    </row>
    <row r="5" spans="1:10" ht="12.75">
      <c r="A5" s="1282"/>
      <c r="B5" s="1282"/>
      <c r="C5" s="1282"/>
      <c r="D5" s="1282"/>
      <c r="E5" s="1282"/>
      <c r="F5" s="1282"/>
      <c r="G5" s="1282"/>
      <c r="H5" s="1282"/>
      <c r="I5" s="1282"/>
      <c r="J5" s="1282"/>
    </row>
    <row r="6" spans="1:10" ht="30" customHeight="1">
      <c r="A6" s="1282"/>
      <c r="B6" s="1282"/>
      <c r="C6" s="1282"/>
      <c r="D6" s="1282"/>
      <c r="E6" s="1282"/>
      <c r="F6" s="1282"/>
      <c r="G6" s="1282"/>
      <c r="H6" s="1282"/>
      <c r="I6" s="1282"/>
      <c r="J6" s="1282"/>
    </row>
    <row r="7" spans="1:10" ht="12.75">
      <c r="A7" s="416"/>
      <c r="B7" s="416"/>
      <c r="C7" s="416"/>
      <c r="D7" s="416"/>
      <c r="E7" s="416"/>
      <c r="F7" s="416"/>
      <c r="G7" s="416"/>
      <c r="H7" s="416"/>
      <c r="I7" s="416"/>
      <c r="J7" s="416"/>
    </row>
    <row r="8" spans="1:10" ht="12.75" customHeight="1">
      <c r="A8" s="402" t="s">
        <v>1846</v>
      </c>
      <c r="B8" s="416"/>
      <c r="C8" s="416"/>
      <c r="D8" s="416"/>
      <c r="E8" s="416"/>
      <c r="F8" s="416"/>
      <c r="G8" s="416"/>
      <c r="H8" s="416"/>
      <c r="I8" s="416"/>
      <c r="J8" s="416"/>
    </row>
    <row r="9" spans="1:10" ht="12.75"/>
    <row r="10" spans="1:10" ht="12.75" customHeight="1">
      <c r="A10" s="1286" t="s">
        <v>1848</v>
      </c>
      <c r="B10" s="1286"/>
      <c r="C10" s="1286"/>
      <c r="D10" s="1286"/>
      <c r="E10" s="1286"/>
      <c r="F10" s="1286"/>
      <c r="G10" s="1286"/>
      <c r="H10" s="1286"/>
      <c r="I10" s="1286"/>
      <c r="J10" s="1286"/>
    </row>
    <row r="11" spans="1:10" ht="12.75">
      <c r="A11" s="1286"/>
      <c r="B11" s="1286"/>
      <c r="C11" s="1286"/>
      <c r="D11" s="1286"/>
      <c r="E11" s="1286"/>
      <c r="F11" s="1286"/>
      <c r="G11" s="1286"/>
      <c r="H11" s="1286"/>
      <c r="I11" s="1286"/>
      <c r="J11" s="1286"/>
    </row>
    <row r="12" spans="1:10" ht="12.75">
      <c r="A12" s="1286"/>
      <c r="B12" s="1286"/>
      <c r="C12" s="1286"/>
      <c r="D12" s="1286"/>
      <c r="E12" s="1286"/>
      <c r="F12" s="1286"/>
      <c r="G12" s="1286"/>
      <c r="H12" s="1286"/>
      <c r="I12" s="1286"/>
      <c r="J12" s="1286"/>
    </row>
    <row r="13" spans="1:10" ht="12.75">
      <c r="A13" s="1286"/>
      <c r="B13" s="1286"/>
      <c r="C13" s="1286"/>
      <c r="D13" s="1286"/>
      <c r="E13" s="1286"/>
      <c r="F13" s="1286"/>
      <c r="G13" s="1286"/>
      <c r="H13" s="1286"/>
      <c r="I13" s="1286"/>
      <c r="J13" s="1286"/>
    </row>
    <row r="14" spans="1:10" ht="12.75">
      <c r="A14" s="1286"/>
      <c r="B14" s="1286"/>
      <c r="C14" s="1286"/>
      <c r="D14" s="1286"/>
      <c r="E14" s="1286"/>
      <c r="F14" s="1286"/>
      <c r="G14" s="1286"/>
      <c r="H14" s="1286"/>
      <c r="I14" s="1286"/>
      <c r="J14" s="1286"/>
    </row>
    <row r="15" spans="1:10" ht="12.75">
      <c r="A15" s="1286"/>
      <c r="B15" s="1286"/>
      <c r="C15" s="1286"/>
      <c r="D15" s="1286"/>
      <c r="E15" s="1286"/>
      <c r="F15" s="1286"/>
      <c r="G15" s="1286"/>
      <c r="H15" s="1286"/>
      <c r="I15" s="1286"/>
      <c r="J15" s="1286"/>
    </row>
    <row r="16" spans="1:10" ht="12.75">
      <c r="A16" s="524"/>
      <c r="B16" s="524"/>
      <c r="C16" s="524"/>
      <c r="D16" s="524"/>
      <c r="E16" s="524"/>
      <c r="F16" s="524"/>
      <c r="G16" s="524"/>
      <c r="H16" s="524"/>
      <c r="I16" s="524"/>
      <c r="J16" s="524"/>
    </row>
    <row r="17" spans="1:10" ht="12.75">
      <c r="A17" s="476" t="s">
        <v>1847</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5" t="s">
        <v>1189</v>
      </c>
      <c r="B19" s="1285"/>
      <c r="C19" s="1285"/>
      <c r="D19" s="1285"/>
      <c r="E19" s="1285"/>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82" t="s">
        <v>1190</v>
      </c>
      <c r="B76" s="1282"/>
      <c r="C76" s="1282"/>
      <c r="D76" s="1282"/>
      <c r="E76" s="1282"/>
      <c r="F76" s="1282"/>
      <c r="G76" s="1282"/>
      <c r="H76" s="1282"/>
      <c r="I76" s="1282"/>
      <c r="J76" s="1282"/>
    </row>
    <row r="77" spans="1:10" ht="12.75">
      <c r="A77" s="1282"/>
      <c r="B77" s="1282"/>
      <c r="C77" s="1282"/>
      <c r="D77" s="1282"/>
      <c r="E77" s="1282"/>
      <c r="F77" s="1282"/>
      <c r="G77" s="1282"/>
      <c r="H77" s="1282"/>
      <c r="I77" s="1282"/>
      <c r="J77" s="1282"/>
    </row>
    <row r="78" spans="1:10" ht="12.75">
      <c r="A78" s="1282"/>
      <c r="B78" s="1282"/>
      <c r="C78" s="1282"/>
      <c r="D78" s="1282"/>
      <c r="E78" s="1282"/>
      <c r="F78" s="1282"/>
      <c r="G78" s="1282"/>
      <c r="H78" s="1282"/>
      <c r="I78" s="1282"/>
      <c r="J78" s="1282"/>
    </row>
    <row r="79" spans="1:10" ht="12.75"/>
    <row r="80" spans="1:10" ht="12.75">
      <c r="A80" s="402" t="s">
        <v>1189</v>
      </c>
    </row>
    <row r="81" spans="1:9" ht="12.75"/>
    <row r="82" spans="1:9" ht="12.75"/>
    <row r="83" spans="1:9" ht="12.75"/>
    <row r="84" spans="1:9" ht="12.75"/>
    <row r="85" spans="1:9" ht="12.75"/>
    <row r="86" spans="1:9" ht="12.75"/>
    <row r="87" spans="1:9" ht="12.75"/>
    <row r="88" spans="1:9" ht="12.75"/>
    <row r="89" spans="1:9" ht="12.75">
      <c r="A89" s="1283" t="s">
        <v>1844</v>
      </c>
      <c r="B89" s="1283"/>
      <c r="C89" s="1283"/>
      <c r="D89" s="1283"/>
      <c r="E89" s="1283"/>
      <c r="F89" s="1283"/>
      <c r="G89" s="1283"/>
      <c r="H89" s="1283"/>
      <c r="I89" s="1283"/>
    </row>
    <row r="90" spans="1:9" ht="12.75">
      <c r="A90" s="1273" t="s">
        <v>2005</v>
      </c>
      <c r="B90" s="1273"/>
      <c r="C90" s="1273"/>
      <c r="D90" s="1273"/>
      <c r="E90" s="1273"/>
    </row>
    <row r="91" spans="1:9" ht="12.75">
      <c r="A91" s="1273" t="s">
        <v>2006</v>
      </c>
      <c r="B91" s="1273"/>
      <c r="C91" s="1273"/>
      <c r="D91" s="1273"/>
      <c r="E91" s="1273"/>
    </row>
    <row r="92" spans="1:9" ht="12.75">
      <c r="A92" s="1273" t="s">
        <v>1845</v>
      </c>
      <c r="B92" s="1273"/>
      <c r="C92" s="1273"/>
      <c r="D92" s="1273"/>
      <c r="E92" s="1273"/>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1034" zoomScaleNormal="100" workbookViewId="0">
      <selection activeCell="B1125" sqref="B1125"/>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288" t="s">
        <v>2607</v>
      </c>
      <c r="B2" s="1288"/>
      <c r="C2" s="1288"/>
      <c r="D2" s="1288"/>
      <c r="E2" s="1288"/>
      <c r="F2" s="1288"/>
      <c r="G2" s="1288"/>
      <c r="H2" s="1288"/>
      <c r="I2" s="1288"/>
    </row>
    <row r="3" spans="1:13">
      <c r="A3" s="1289" t="s">
        <v>2174</v>
      </c>
      <c r="B3" s="1289"/>
      <c r="C3" s="1289"/>
      <c r="D3" s="1289"/>
      <c r="E3" s="1289"/>
      <c r="F3" s="1289"/>
      <c r="G3" s="1289"/>
      <c r="H3" s="1289"/>
      <c r="I3" s="1289"/>
    </row>
    <row r="4" spans="1:13">
      <c r="A4" s="1289"/>
      <c r="B4" s="1289"/>
      <c r="C4" s="1285"/>
      <c r="D4" s="1285"/>
      <c r="E4" s="1285"/>
      <c r="F4" s="1285"/>
      <c r="G4" s="1285"/>
    </row>
    <row r="5" spans="1:13">
      <c r="A5" s="1289"/>
      <c r="B5" s="1289"/>
      <c r="C5" s="1285"/>
      <c r="D5" s="1285"/>
      <c r="E5" s="1285"/>
      <c r="F5" s="1285"/>
      <c r="G5" s="1285"/>
    </row>
    <row r="6" spans="1:13" ht="12.75" customHeight="1">
      <c r="A6" s="1311" t="s">
        <v>2173</v>
      </c>
      <c r="B6" s="1311"/>
      <c r="C6" s="1311"/>
      <c r="D6" s="1311"/>
      <c r="E6" s="1311"/>
      <c r="F6" s="1311"/>
      <c r="G6" s="1311"/>
      <c r="I6" s="490"/>
    </row>
    <row r="7" spans="1:13">
      <c r="A7" s="1311"/>
      <c r="B7" s="1311"/>
      <c r="C7" s="1311"/>
      <c r="D7" s="1311"/>
      <c r="E7" s="1311"/>
      <c r="F7" s="1311"/>
      <c r="G7" s="1311"/>
      <c r="I7" s="490"/>
    </row>
    <row r="8" spans="1:13">
      <c r="A8" s="481"/>
      <c r="B8" s="481"/>
      <c r="C8" s="482"/>
      <c r="D8" s="482"/>
      <c r="E8" s="482"/>
      <c r="F8" s="482"/>
    </row>
    <row r="9" spans="1:13">
      <c r="A9" s="1293" t="s">
        <v>1101</v>
      </c>
      <c r="B9" s="1293"/>
      <c r="C9" s="1293"/>
      <c r="D9" s="1293"/>
      <c r="E9" s="1293"/>
      <c r="F9" s="1293"/>
      <c r="G9" s="1293"/>
      <c r="H9" s="1023"/>
      <c r="I9" s="1024"/>
    </row>
    <row r="10" spans="1:13">
      <c r="A10" s="482"/>
      <c r="B10" s="482"/>
      <c r="E10" s="404"/>
    </row>
    <row r="11" spans="1:13" ht="13.7" customHeight="1">
      <c r="C11" s="482"/>
      <c r="D11" s="1310" t="s">
        <v>1100</v>
      </c>
      <c r="E11" s="1310"/>
      <c r="F11" s="1310"/>
    </row>
    <row r="12" spans="1:13">
      <c r="C12" s="482"/>
      <c r="D12" s="1310"/>
      <c r="E12" s="1310"/>
      <c r="F12" s="1310"/>
    </row>
    <row r="13" spans="1:13">
      <c r="A13" s="483"/>
      <c r="B13" s="483"/>
      <c r="C13" s="483"/>
      <c r="D13" s="1291" t="s">
        <v>1090</v>
      </c>
      <c r="E13" s="1291"/>
      <c r="F13" s="1291"/>
      <c r="M13" s="96"/>
    </row>
    <row r="14" spans="1:13">
      <c r="A14" s="483"/>
      <c r="B14" s="483"/>
      <c r="C14" s="483"/>
      <c r="D14" s="476"/>
      <c r="L14" s="312"/>
    </row>
    <row r="15" spans="1:13" ht="14.25">
      <c r="A15" s="484"/>
      <c r="B15" s="485" t="s">
        <v>2744</v>
      </c>
      <c r="C15" s="483"/>
      <c r="D15" s="1290" t="s">
        <v>1895</v>
      </c>
      <c r="E15" s="1290"/>
      <c r="F15" s="1290"/>
      <c r="I15" s="490"/>
    </row>
    <row r="16" spans="1:13">
      <c r="A16" s="483"/>
      <c r="B16" s="483"/>
      <c r="C16" s="483"/>
      <c r="D16" s="1290"/>
      <c r="E16" s="1290"/>
      <c r="F16" s="1290"/>
      <c r="I16" s="490"/>
    </row>
    <row r="17" spans="1:9">
      <c r="A17" s="483"/>
      <c r="B17" s="483"/>
      <c r="C17" s="483"/>
      <c r="D17" s="1290"/>
      <c r="E17" s="1290"/>
      <c r="F17" s="1290"/>
      <c r="I17" s="490"/>
    </row>
    <row r="18" spans="1:9">
      <c r="A18" s="483"/>
      <c r="B18" s="483"/>
      <c r="C18" s="483"/>
      <c r="D18" s="445"/>
      <c r="E18" s="312" t="s">
        <v>1893</v>
      </c>
      <c r="F18" s="445"/>
      <c r="I18" s="490"/>
    </row>
    <row r="19" spans="1:9">
      <c r="A19" s="483"/>
      <c r="B19" s="483"/>
      <c r="C19" s="483"/>
      <c r="I19" s="490"/>
    </row>
    <row r="20" spans="1:9" ht="14.25">
      <c r="A20" s="484"/>
      <c r="B20" s="485" t="s">
        <v>2744</v>
      </c>
      <c r="D20" s="1290" t="s">
        <v>1896</v>
      </c>
      <c r="E20" s="1290"/>
      <c r="F20" s="1290"/>
      <c r="I20" s="490"/>
    </row>
    <row r="21" spans="1:9" ht="14.25">
      <c r="A21" s="484"/>
      <c r="D21" s="1290"/>
      <c r="E21" s="1290"/>
      <c r="F21" s="1290"/>
      <c r="I21" s="490"/>
    </row>
    <row r="22" spans="1:9" ht="14.25">
      <c r="A22" s="484"/>
      <c r="D22" s="392"/>
      <c r="E22" s="96" t="s">
        <v>1892</v>
      </c>
      <c r="F22" s="392"/>
      <c r="I22" s="490"/>
    </row>
    <row r="23" spans="1:9" ht="14.25">
      <c r="A23" s="484"/>
      <c r="B23" s="484"/>
      <c r="D23" s="446"/>
      <c r="I23" s="490"/>
    </row>
    <row r="24" spans="1:9" ht="14.25">
      <c r="A24" s="484"/>
      <c r="B24" s="485" t="s">
        <v>2741</v>
      </c>
      <c r="D24" s="1290" t="s">
        <v>1091</v>
      </c>
      <c r="E24" s="1290"/>
      <c r="F24" s="1290"/>
      <c r="I24" s="490"/>
    </row>
    <row r="25" spans="1:9" ht="14.25">
      <c r="A25" s="484"/>
      <c r="B25" s="484"/>
      <c r="D25" s="1290"/>
      <c r="E25" s="1290"/>
      <c r="F25" s="1290"/>
      <c r="I25" s="490"/>
    </row>
    <row r="26" spans="1:9">
      <c r="I26" s="490"/>
    </row>
    <row r="27" spans="1:9" ht="14.25">
      <c r="A27" s="484"/>
      <c r="B27" s="485" t="s">
        <v>2744</v>
      </c>
      <c r="D27" s="1290" t="s">
        <v>2008</v>
      </c>
      <c r="E27" s="1290"/>
      <c r="F27" s="1290"/>
      <c r="I27" s="490"/>
    </row>
    <row r="28" spans="1:9">
      <c r="D28" s="1290"/>
      <c r="E28" s="1290"/>
      <c r="F28" s="1290"/>
      <c r="I28" s="490"/>
    </row>
    <row r="29" spans="1:9">
      <c r="D29" s="1290"/>
      <c r="E29" s="1290"/>
      <c r="F29" s="1290"/>
      <c r="I29" s="490"/>
    </row>
    <row r="30" spans="1:9">
      <c r="D30" s="1290"/>
      <c r="E30" s="1290"/>
      <c r="F30" s="1290"/>
      <c r="I30" s="490"/>
    </row>
    <row r="31" spans="1:9">
      <c r="D31" s="1290"/>
      <c r="E31" s="1290"/>
      <c r="F31" s="1290"/>
      <c r="I31" s="490"/>
    </row>
    <row r="32" spans="1:9">
      <c r="D32" s="447"/>
      <c r="I32" s="490"/>
    </row>
    <row r="33" spans="1:9">
      <c r="B33" s="485" t="s">
        <v>2744</v>
      </c>
      <c r="D33" s="1290" t="s">
        <v>2009</v>
      </c>
      <c r="E33" s="1290"/>
      <c r="F33" s="1290"/>
      <c r="I33" s="490"/>
    </row>
    <row r="34" spans="1:9">
      <c r="D34" s="1290"/>
      <c r="E34" s="1290"/>
      <c r="F34" s="1290"/>
      <c r="I34" s="490"/>
    </row>
    <row r="35" spans="1:9" ht="14.25">
      <c r="A35" s="484"/>
      <c r="B35" s="484"/>
      <c r="D35" s="447"/>
      <c r="I35" s="490"/>
    </row>
    <row r="36" spans="1:9" ht="14.45" customHeight="1">
      <c r="A36" s="484"/>
      <c r="B36" s="485" t="s">
        <v>2744</v>
      </c>
      <c r="D36" s="1290" t="s">
        <v>1214</v>
      </c>
      <c r="E36" s="1290"/>
      <c r="F36" s="1290"/>
      <c r="I36" s="490"/>
    </row>
    <row r="37" spans="1:9" ht="14.25">
      <c r="A37" s="484"/>
      <c r="B37" s="484"/>
      <c r="D37" s="1290"/>
      <c r="E37" s="1290"/>
      <c r="F37" s="1290"/>
      <c r="I37" s="490"/>
    </row>
    <row r="38" spans="1:9" ht="14.25">
      <c r="A38" s="484"/>
      <c r="B38" s="484"/>
      <c r="D38" s="1290"/>
      <c r="E38" s="1290"/>
      <c r="F38" s="1290"/>
      <c r="I38" s="490"/>
    </row>
    <row r="39" spans="1:9" ht="14.25">
      <c r="A39" s="484"/>
      <c r="B39" s="484"/>
      <c r="D39" s="1290"/>
      <c r="E39" s="1290"/>
      <c r="F39" s="1290"/>
      <c r="I39" s="490"/>
    </row>
    <row r="40" spans="1:9" ht="14.25">
      <c r="A40" s="484"/>
      <c r="B40" s="484"/>
      <c r="I40" s="490"/>
    </row>
    <row r="41" spans="1:9" ht="14.25">
      <c r="A41" s="484"/>
      <c r="B41" s="485" t="s">
        <v>2741</v>
      </c>
      <c r="D41" s="1290" t="s">
        <v>1092</v>
      </c>
      <c r="E41" s="1290"/>
      <c r="F41" s="1290"/>
      <c r="I41" s="490"/>
    </row>
    <row r="42" spans="1:9" ht="14.25">
      <c r="A42" s="484"/>
      <c r="B42" s="484"/>
      <c r="D42" s="1290"/>
      <c r="E42" s="1290"/>
      <c r="F42" s="1290"/>
      <c r="I42" s="490"/>
    </row>
    <row r="43" spans="1:9" ht="14.25">
      <c r="A43" s="484"/>
      <c r="B43" s="484"/>
      <c r="D43" s="1290"/>
      <c r="E43" s="1290"/>
      <c r="F43" s="1290"/>
      <c r="I43" s="490"/>
    </row>
    <row r="44" spans="1:9" ht="14.25">
      <c r="A44" s="484"/>
      <c r="B44" s="484"/>
      <c r="D44" s="1290"/>
      <c r="E44" s="1290"/>
      <c r="F44" s="1290"/>
      <c r="I44" s="490"/>
    </row>
    <row r="45" spans="1:9" ht="14.25">
      <c r="A45" s="484"/>
      <c r="B45" s="484"/>
      <c r="D45" s="1290"/>
      <c r="E45" s="1290"/>
      <c r="F45" s="1290"/>
      <c r="I45" s="490"/>
    </row>
    <row r="46" spans="1:9" ht="14.25">
      <c r="A46" s="484"/>
      <c r="B46" s="484"/>
      <c r="D46" s="445"/>
      <c r="E46" s="445"/>
      <c r="F46" s="445"/>
      <c r="I46" s="490"/>
    </row>
    <row r="47" spans="1:9" ht="14.25">
      <c r="A47" s="484"/>
      <c r="B47" s="485" t="s">
        <v>2744</v>
      </c>
      <c r="D47" s="1290" t="s">
        <v>1093</v>
      </c>
      <c r="E47" s="1290"/>
      <c r="F47" s="1290"/>
      <c r="I47" s="490"/>
    </row>
    <row r="48" spans="1:9" ht="14.25">
      <c r="A48" s="484"/>
      <c r="B48" s="484"/>
      <c r="D48" s="1290"/>
      <c r="E48" s="1290"/>
      <c r="F48" s="1290"/>
      <c r="I48" s="490"/>
    </row>
    <row r="49" spans="1:9" ht="14.25">
      <c r="A49" s="484"/>
      <c r="B49" s="484"/>
      <c r="D49" s="1290"/>
      <c r="E49" s="1290"/>
      <c r="F49" s="1290"/>
      <c r="I49" s="490"/>
    </row>
    <row r="50" spans="1:9" ht="23.25" customHeight="1">
      <c r="A50" s="484"/>
      <c r="B50" s="484"/>
      <c r="D50" s="1290"/>
      <c r="E50" s="1290"/>
      <c r="F50" s="1290"/>
      <c r="I50" s="490"/>
    </row>
    <row r="51" spans="1:9" ht="14.25">
      <c r="A51" s="484"/>
      <c r="B51" s="484"/>
      <c r="D51" s="446"/>
      <c r="I51" s="490"/>
    </row>
    <row r="52" spans="1:9" ht="14.45" customHeight="1">
      <c r="A52" s="484"/>
      <c r="B52" s="485" t="s">
        <v>2741</v>
      </c>
      <c r="D52" s="1290" t="s">
        <v>1094</v>
      </c>
      <c r="E52" s="1290"/>
      <c r="F52" s="1290"/>
      <c r="I52" s="490"/>
    </row>
    <row r="53" spans="1:9" ht="14.25">
      <c r="A53" s="484"/>
      <c r="B53" s="484"/>
      <c r="D53" s="1290"/>
      <c r="E53" s="1290"/>
      <c r="F53" s="1290"/>
      <c r="I53" s="490"/>
    </row>
    <row r="54" spans="1:9" ht="14.25">
      <c r="A54" s="484"/>
      <c r="B54" s="484"/>
      <c r="D54" s="1290"/>
      <c r="E54" s="1290"/>
      <c r="F54" s="1290"/>
      <c r="I54" s="490"/>
    </row>
    <row r="55" spans="1:9" ht="14.25">
      <c r="A55" s="484"/>
      <c r="B55" s="484"/>
      <c r="I55" s="490"/>
    </row>
    <row r="56" spans="1:9" ht="14.25">
      <c r="A56" s="484"/>
      <c r="B56" s="485" t="s">
        <v>2744</v>
      </c>
      <c r="D56" s="1312" t="s">
        <v>1095</v>
      </c>
      <c r="E56" s="1312"/>
      <c r="F56" s="1312"/>
      <c r="I56" s="490"/>
    </row>
    <row r="57" spans="1:9" ht="14.25">
      <c r="A57" s="484"/>
      <c r="B57" s="484"/>
      <c r="D57" s="1312"/>
      <c r="E57" s="1312"/>
      <c r="F57" s="1312"/>
      <c r="I57" s="490"/>
    </row>
    <row r="58" spans="1:9" ht="14.25">
      <c r="A58" s="484"/>
      <c r="B58" s="484"/>
      <c r="D58" s="392" t="s">
        <v>1894</v>
      </c>
      <c r="E58" s="445"/>
      <c r="F58" s="445"/>
      <c r="I58" s="490"/>
    </row>
    <row r="59" spans="1:9" ht="14.25">
      <c r="A59" s="484"/>
      <c r="B59" s="484"/>
      <c r="D59" s="445"/>
      <c r="E59" s="312" t="s">
        <v>1893</v>
      </c>
      <c r="F59" s="445"/>
      <c r="I59" s="490"/>
    </row>
    <row r="60" spans="1:9">
      <c r="D60" s="447"/>
      <c r="I60" s="490"/>
    </row>
    <row r="61" spans="1:9" ht="14.25">
      <c r="A61" s="484"/>
      <c r="B61" s="485" t="s">
        <v>2744</v>
      </c>
      <c r="D61" s="1290" t="s">
        <v>1096</v>
      </c>
      <c r="E61" s="1290"/>
      <c r="F61" s="1290"/>
      <c r="I61" s="490"/>
    </row>
    <row r="62" spans="1:9">
      <c r="D62" s="1290"/>
      <c r="E62" s="1290"/>
      <c r="F62" s="1290"/>
      <c r="I62" s="490"/>
    </row>
    <row r="63" spans="1:9">
      <c r="D63" s="1290"/>
      <c r="E63" s="1290"/>
      <c r="F63" s="1290"/>
      <c r="I63" s="490"/>
    </row>
    <row r="64" spans="1:9">
      <c r="I64" s="490"/>
    </row>
    <row r="65" spans="1:9" ht="14.25">
      <c r="A65" s="484"/>
      <c r="B65" s="485" t="s">
        <v>2741</v>
      </c>
      <c r="D65" s="1290" t="s">
        <v>1097</v>
      </c>
      <c r="E65" s="1290"/>
      <c r="F65" s="1290"/>
      <c r="I65" s="490"/>
    </row>
    <row r="66" spans="1:9">
      <c r="D66" s="1290"/>
      <c r="E66" s="1290"/>
      <c r="F66" s="1290"/>
      <c r="I66" s="490"/>
    </row>
    <row r="67" spans="1:9">
      <c r="I67" s="490"/>
    </row>
    <row r="68" spans="1:9" ht="14.25">
      <c r="A68" s="484"/>
      <c r="B68" s="485" t="s">
        <v>2744</v>
      </c>
      <c r="D68" s="1290" t="s">
        <v>1098</v>
      </c>
      <c r="E68" s="1290"/>
      <c r="F68" s="1290"/>
      <c r="I68" s="490"/>
    </row>
    <row r="69" spans="1:9">
      <c r="D69" s="1290"/>
      <c r="E69" s="1290"/>
      <c r="F69" s="1290"/>
      <c r="I69" s="490"/>
    </row>
    <row r="70" spans="1:9">
      <c r="D70" s="1290"/>
      <c r="E70" s="1290"/>
      <c r="F70" s="1290"/>
      <c r="I70" s="490"/>
    </row>
    <row r="71" spans="1:9">
      <c r="I71" s="490"/>
    </row>
    <row r="72" spans="1:9" ht="14.25">
      <c r="A72" s="484"/>
      <c r="B72" s="485" t="s">
        <v>2744</v>
      </c>
      <c r="D72" s="1290" t="s">
        <v>1099</v>
      </c>
      <c r="E72" s="1290"/>
      <c r="F72" s="1290"/>
      <c r="I72" s="490"/>
    </row>
    <row r="73" spans="1:9">
      <c r="D73" s="1290"/>
      <c r="E73" s="1290"/>
      <c r="F73" s="1290"/>
      <c r="I73" s="490"/>
    </row>
    <row r="74" spans="1:9" ht="14.25">
      <c r="A74" s="484"/>
      <c r="B74" s="484"/>
      <c r="D74" s="446"/>
      <c r="I74" s="490"/>
    </row>
    <row r="75" spans="1:9">
      <c r="A75" s="1293" t="s">
        <v>1044</v>
      </c>
      <c r="B75" s="1293"/>
      <c r="C75" s="1293"/>
      <c r="D75" s="1293"/>
      <c r="E75" s="1293"/>
      <c r="F75" s="1293"/>
      <c r="G75" s="1293"/>
      <c r="H75" s="1023"/>
      <c r="I75" s="1147"/>
    </row>
    <row r="76" spans="1:9">
      <c r="I76" s="490"/>
    </row>
    <row r="77" spans="1:9">
      <c r="C77" s="486"/>
      <c r="D77" s="1292" t="s">
        <v>1102</v>
      </c>
      <c r="E77" s="1292"/>
      <c r="F77" s="1292"/>
      <c r="I77" s="490"/>
    </row>
    <row r="78" spans="1:9">
      <c r="A78" s="446"/>
      <c r="B78" s="446"/>
      <c r="D78" s="1290" t="s">
        <v>1117</v>
      </c>
      <c r="E78" s="1290"/>
      <c r="F78" s="1290"/>
      <c r="I78" s="490"/>
    </row>
    <row r="79" spans="1:9">
      <c r="A79" s="446"/>
      <c r="B79" s="446"/>
      <c r="I79" s="490"/>
    </row>
    <row r="80" spans="1:9" ht="13.7" customHeight="1">
      <c r="A80" s="484"/>
      <c r="B80" s="485" t="s">
        <v>2740</v>
      </c>
      <c r="D80" s="1290" t="s">
        <v>1245</v>
      </c>
      <c r="E80" s="1290"/>
      <c r="F80" s="1290"/>
      <c r="I80" s="490"/>
    </row>
    <row r="81" spans="1:9" ht="14.25">
      <c r="A81" s="484"/>
      <c r="B81" s="484"/>
      <c r="D81" s="1290"/>
      <c r="E81" s="1290"/>
      <c r="F81" s="1290"/>
      <c r="I81" s="490"/>
    </row>
    <row r="82" spans="1:9" ht="14.25">
      <c r="A82" s="484"/>
      <c r="B82" s="484"/>
      <c r="D82" s="1290"/>
      <c r="E82" s="1290"/>
      <c r="F82" s="1290"/>
      <c r="I82" s="490"/>
    </row>
    <row r="83" spans="1:9" ht="14.25">
      <c r="A83" s="484"/>
      <c r="B83" s="484"/>
      <c r="D83" s="1290"/>
      <c r="E83" s="1290"/>
      <c r="F83" s="1290"/>
      <c r="I83" s="490"/>
    </row>
    <row r="84" spans="1:9" ht="14.25">
      <c r="A84" s="484"/>
      <c r="B84" s="484"/>
      <c r="D84" s="1290"/>
      <c r="E84" s="1290"/>
      <c r="F84" s="1290"/>
      <c r="I84" s="490"/>
    </row>
    <row r="85" spans="1:9" ht="14.25">
      <c r="A85" s="484"/>
      <c r="B85" s="484"/>
      <c r="D85" s="1290"/>
      <c r="E85" s="1290"/>
      <c r="F85" s="1290"/>
      <c r="I85" s="490"/>
    </row>
    <row r="86" spans="1:9" ht="14.25">
      <c r="A86" s="484"/>
      <c r="B86" s="484"/>
      <c r="D86" s="1290"/>
      <c r="E86" s="1290"/>
      <c r="F86" s="1290"/>
      <c r="I86" s="490"/>
    </row>
    <row r="87" spans="1:9" ht="14.25">
      <c r="A87" s="484"/>
      <c r="B87" s="484"/>
      <c r="D87" s="1290"/>
      <c r="E87" s="1290"/>
      <c r="F87" s="1290"/>
      <c r="I87" s="490"/>
    </row>
    <row r="88" spans="1:9" ht="14.25">
      <c r="A88" s="484"/>
      <c r="B88" s="484"/>
      <c r="D88" s="385"/>
      <c r="E88" s="385"/>
      <c r="F88" s="385"/>
      <c r="I88" s="490"/>
    </row>
    <row r="89" spans="1:9" ht="15" customHeight="1">
      <c r="A89" s="484"/>
      <c r="B89" s="485" t="s">
        <v>2740</v>
      </c>
      <c r="D89" s="1290" t="s">
        <v>1731</v>
      </c>
      <c r="E89" s="1290"/>
      <c r="F89" s="1290"/>
      <c r="I89" s="490"/>
    </row>
    <row r="90" spans="1:9" ht="14.25">
      <c r="A90" s="484"/>
      <c r="B90" s="484"/>
      <c r="D90" s="1290"/>
      <c r="E90" s="1290"/>
      <c r="F90" s="1290"/>
      <c r="I90" s="490"/>
    </row>
    <row r="91" spans="1:9" ht="14.25">
      <c r="A91" s="484"/>
      <c r="B91" s="484"/>
      <c r="D91" s="445"/>
      <c r="E91" s="445"/>
      <c r="F91" s="445"/>
      <c r="I91" s="490"/>
    </row>
    <row r="92" spans="1:9" ht="14.25">
      <c r="A92" s="484"/>
      <c r="B92" s="485" t="s">
        <v>2741</v>
      </c>
      <c r="D92" s="1290" t="s">
        <v>1734</v>
      </c>
      <c r="E92" s="1290"/>
      <c r="F92" s="1290"/>
      <c r="I92" s="490"/>
    </row>
    <row r="93" spans="1:9" ht="14.25">
      <c r="A93" s="484"/>
      <c r="B93" s="484"/>
      <c r="D93" s="1290"/>
      <c r="E93" s="1290"/>
      <c r="F93" s="1290"/>
      <c r="I93" s="490"/>
    </row>
    <row r="94" spans="1:9" ht="14.25">
      <c r="A94" s="484"/>
      <c r="B94" s="484"/>
      <c r="D94" s="1290"/>
      <c r="E94" s="1290"/>
      <c r="F94" s="1290"/>
      <c r="I94" s="490"/>
    </row>
    <row r="95" spans="1:9" ht="14.25">
      <c r="A95" s="484"/>
      <c r="B95" s="484"/>
      <c r="D95" s="445"/>
      <c r="E95" s="445"/>
      <c r="F95" s="445"/>
      <c r="I95" s="490"/>
    </row>
    <row r="96" spans="1:9" ht="14.25">
      <c r="A96" s="484"/>
      <c r="B96" s="485" t="s">
        <v>2740</v>
      </c>
      <c r="D96" s="1290" t="s">
        <v>1733</v>
      </c>
      <c r="E96" s="1290"/>
      <c r="F96" s="1290"/>
      <c r="I96" s="490"/>
    </row>
    <row r="97" spans="1:9" s="982" customFormat="1" ht="14.25">
      <c r="A97" s="980"/>
      <c r="B97" s="980"/>
      <c r="C97" s="981"/>
      <c r="D97" s="1290"/>
      <c r="E97" s="1290"/>
      <c r="F97" s="1290"/>
      <c r="I97" s="1148"/>
    </row>
    <row r="98" spans="1:9" ht="14.25">
      <c r="A98" s="484"/>
      <c r="B98" s="484"/>
      <c r="D98" s="392"/>
      <c r="E98" s="312" t="s">
        <v>1897</v>
      </c>
      <c r="F98" s="445"/>
      <c r="I98" s="490"/>
    </row>
    <row r="99" spans="1:9" ht="14.25">
      <c r="A99" s="484"/>
      <c r="B99" s="484"/>
      <c r="D99" s="385"/>
      <c r="E99" s="385"/>
      <c r="F99" s="385"/>
      <c r="I99" s="490"/>
    </row>
    <row r="100" spans="1:9" ht="14.25">
      <c r="A100" s="484"/>
      <c r="B100" s="485" t="s">
        <v>2741</v>
      </c>
      <c r="D100" s="1290" t="s">
        <v>1732</v>
      </c>
      <c r="E100" s="1290"/>
      <c r="F100" s="1290"/>
      <c r="I100" s="490"/>
    </row>
    <row r="101" spans="1:9" ht="14.25">
      <c r="A101" s="484"/>
      <c r="B101" s="484"/>
      <c r="D101" s="1290"/>
      <c r="E101" s="1290"/>
      <c r="F101" s="1290"/>
      <c r="I101" s="490"/>
    </row>
    <row r="102" spans="1:9" ht="14.25">
      <c r="A102" s="484"/>
      <c r="B102" s="484"/>
      <c r="D102" s="445"/>
      <c r="E102" s="445"/>
      <c r="F102" s="445"/>
      <c r="I102" s="490"/>
    </row>
    <row r="103" spans="1:9" ht="14.45" customHeight="1">
      <c r="A103" s="484"/>
      <c r="B103" s="485" t="s">
        <v>2741</v>
      </c>
      <c r="D103" s="1290" t="s">
        <v>1194</v>
      </c>
      <c r="E103" s="1290"/>
      <c r="F103" s="1290"/>
      <c r="I103" s="490"/>
    </row>
    <row r="104" spans="1:9" ht="14.25">
      <c r="A104" s="484"/>
      <c r="B104" s="484"/>
      <c r="D104" s="1290"/>
      <c r="E104" s="1290"/>
      <c r="F104" s="1290"/>
      <c r="I104" s="490"/>
    </row>
    <row r="105" spans="1:9" ht="14.25">
      <c r="A105" s="484"/>
      <c r="B105" s="484"/>
      <c r="D105" s="1290"/>
      <c r="E105" s="1290"/>
      <c r="F105" s="1290"/>
      <c r="I105" s="490"/>
    </row>
    <row r="106" spans="1:9" ht="14.25">
      <c r="A106" s="484"/>
      <c r="B106" s="484"/>
      <c r="D106" s="1290"/>
      <c r="E106" s="1290"/>
      <c r="F106" s="1290"/>
      <c r="I106" s="490"/>
    </row>
    <row r="107" spans="1:9" ht="14.25">
      <c r="A107" s="484"/>
      <c r="B107" s="484"/>
      <c r="D107" s="1290"/>
      <c r="E107" s="1290"/>
      <c r="F107" s="1290"/>
      <c r="I107" s="490"/>
    </row>
    <row r="108" spans="1:9" ht="14.25">
      <c r="A108" s="484"/>
      <c r="B108" s="484"/>
      <c r="D108" s="1290"/>
      <c r="E108" s="1290"/>
      <c r="F108" s="1290"/>
      <c r="I108" s="490"/>
    </row>
    <row r="109" spans="1:9" ht="14.25">
      <c r="A109" s="484"/>
      <c r="B109" s="484"/>
      <c r="D109" s="1290"/>
      <c r="E109" s="1290"/>
      <c r="F109" s="1290"/>
      <c r="I109" s="490"/>
    </row>
    <row r="110" spans="1:9" ht="14.25">
      <c r="A110" s="484"/>
      <c r="B110" s="484"/>
      <c r="D110" s="1290"/>
      <c r="E110" s="1290"/>
      <c r="F110" s="1290"/>
      <c r="I110" s="490"/>
    </row>
    <row r="111" spans="1:9" ht="14.25">
      <c r="A111" s="484"/>
      <c r="B111" s="484"/>
      <c r="D111" s="1290"/>
      <c r="E111" s="1290"/>
      <c r="F111" s="1290"/>
      <c r="I111" s="490"/>
    </row>
    <row r="112" spans="1:9" ht="14.25">
      <c r="A112" s="484"/>
      <c r="B112" s="484"/>
      <c r="D112" s="1290"/>
      <c r="E112" s="1290"/>
      <c r="F112" s="1290"/>
      <c r="I112" s="490"/>
    </row>
    <row r="113" spans="1:9" ht="14.25">
      <c r="A113" s="484"/>
      <c r="B113" s="484"/>
      <c r="D113" s="1290"/>
      <c r="E113" s="1290"/>
      <c r="F113" s="1290"/>
      <c r="I113" s="490"/>
    </row>
    <row r="114" spans="1:9" ht="14.25">
      <c r="A114" s="484"/>
      <c r="B114" s="484"/>
      <c r="D114" s="1290"/>
      <c r="E114" s="1290"/>
      <c r="F114" s="1290"/>
      <c r="I114" s="490"/>
    </row>
    <row r="115" spans="1:9" ht="14.25">
      <c r="A115" s="484"/>
      <c r="B115" s="484"/>
      <c r="D115" s="1290"/>
      <c r="E115" s="1290"/>
      <c r="F115" s="1290"/>
      <c r="I115" s="490"/>
    </row>
    <row r="116" spans="1:9" ht="14.25">
      <c r="A116" s="484"/>
      <c r="B116" s="484"/>
      <c r="D116" s="1290"/>
      <c r="E116" s="1290"/>
      <c r="F116" s="1290"/>
      <c r="I116" s="490"/>
    </row>
    <row r="117" spans="1:9" ht="14.25">
      <c r="A117" s="484"/>
      <c r="B117" s="484"/>
      <c r="D117" s="1290"/>
      <c r="E117" s="1290"/>
      <c r="F117" s="1290"/>
      <c r="I117" s="490"/>
    </row>
    <row r="118" spans="1:9" ht="14.25">
      <c r="A118" s="484"/>
      <c r="B118" s="484"/>
      <c r="D118" s="524"/>
      <c r="E118" s="524"/>
      <c r="F118" s="524"/>
      <c r="I118" s="490"/>
    </row>
    <row r="119" spans="1:9" ht="14.25" customHeight="1">
      <c r="A119" s="484"/>
      <c r="B119" s="485" t="s">
        <v>2741</v>
      </c>
      <c r="D119" s="1308" t="s">
        <v>1103</v>
      </c>
      <c r="E119" s="1308"/>
      <c r="F119" s="1308"/>
      <c r="I119" s="490"/>
    </row>
    <row r="120" spans="1:9" ht="14.25">
      <c r="A120" s="484"/>
      <c r="B120" s="484"/>
      <c r="D120" s="1308"/>
      <c r="E120" s="1308"/>
      <c r="F120" s="1308"/>
      <c r="I120" s="490"/>
    </row>
    <row r="121" spans="1:9" ht="14.25">
      <c r="A121" s="484"/>
      <c r="B121" s="484"/>
      <c r="D121" s="1308"/>
      <c r="E121" s="1308"/>
      <c r="F121" s="1308"/>
      <c r="I121" s="490"/>
    </row>
    <row r="122" spans="1:9" ht="14.25">
      <c r="A122" s="484"/>
      <c r="B122" s="484"/>
      <c r="D122" s="1308"/>
      <c r="E122" s="1308"/>
      <c r="F122" s="1308"/>
      <c r="I122" s="490"/>
    </row>
    <row r="123" spans="1:9" ht="14.25">
      <c r="A123" s="484"/>
      <c r="B123" s="484"/>
      <c r="D123" s="1308"/>
      <c r="E123" s="1308"/>
      <c r="F123" s="1308"/>
      <c r="I123" s="490"/>
    </row>
    <row r="124" spans="1:9" ht="14.25">
      <c r="A124" s="484"/>
      <c r="B124" s="484"/>
      <c r="D124" s="1308"/>
      <c r="E124" s="1308"/>
      <c r="F124" s="1308"/>
      <c r="I124" s="490"/>
    </row>
    <row r="125" spans="1:9" ht="14.25">
      <c r="A125" s="484"/>
      <c r="B125" s="484"/>
      <c r="D125" s="1308"/>
      <c r="E125" s="1308"/>
      <c r="F125" s="1308"/>
      <c r="I125" s="490"/>
    </row>
    <row r="126" spans="1:9" ht="14.25">
      <c r="A126" s="484"/>
      <c r="B126" s="484"/>
      <c r="D126" s="1308"/>
      <c r="E126" s="1308"/>
      <c r="F126" s="1308"/>
      <c r="I126" s="490"/>
    </row>
    <row r="127" spans="1:9">
      <c r="C127" s="402"/>
      <c r="D127" s="525"/>
      <c r="E127" s="525"/>
      <c r="F127" s="525"/>
      <c r="I127" s="490"/>
    </row>
    <row r="128" spans="1:9" ht="14.25">
      <c r="A128" s="484"/>
      <c r="B128" s="485" t="s">
        <v>2740</v>
      </c>
      <c r="C128" s="402"/>
      <c r="D128" s="1308" t="s">
        <v>2010</v>
      </c>
      <c r="E128" s="1308"/>
      <c r="F128" s="1308"/>
      <c r="I128" s="490"/>
    </row>
    <row r="129" spans="1:9" ht="14.25">
      <c r="A129" s="484"/>
      <c r="B129" s="484"/>
      <c r="C129" s="402"/>
      <c r="D129" s="1308"/>
      <c r="E129" s="1308"/>
      <c r="F129" s="1308"/>
      <c r="I129" s="490"/>
    </row>
    <row r="130" spans="1:9">
      <c r="I130" s="490"/>
    </row>
    <row r="131" spans="1:9" ht="14.25">
      <c r="A131" s="484"/>
      <c r="B131" s="485" t="s">
        <v>2740</v>
      </c>
      <c r="D131" s="1290" t="s">
        <v>1104</v>
      </c>
      <c r="E131" s="1290"/>
      <c r="F131" s="1290"/>
      <c r="I131" s="490"/>
    </row>
    <row r="132" spans="1:9">
      <c r="D132" s="1290"/>
      <c r="E132" s="1290"/>
      <c r="F132" s="1290"/>
      <c r="I132" s="490"/>
    </row>
    <row r="133" spans="1:9">
      <c r="D133" s="1290"/>
      <c r="E133" s="1290"/>
      <c r="F133" s="1290"/>
      <c r="I133" s="490"/>
    </row>
    <row r="134" spans="1:9">
      <c r="D134" s="1290"/>
      <c r="E134" s="1290"/>
      <c r="F134" s="1290"/>
      <c r="I134" s="490"/>
    </row>
    <row r="135" spans="1:9">
      <c r="D135" s="1290"/>
      <c r="E135" s="1290"/>
      <c r="F135" s="1290"/>
      <c r="I135" s="490"/>
    </row>
    <row r="136" spans="1:9">
      <c r="I136" s="490"/>
    </row>
    <row r="137" spans="1:9" ht="14.25">
      <c r="A137" s="484"/>
      <c r="B137" s="485" t="s">
        <v>2740</v>
      </c>
      <c r="D137" s="1290" t="s">
        <v>1105</v>
      </c>
      <c r="E137" s="1290"/>
      <c r="F137" s="1290"/>
      <c r="I137" s="490"/>
    </row>
    <row r="138" spans="1:9" s="417" customFormat="1" ht="13.7" customHeight="1">
      <c r="A138" s="488"/>
      <c r="B138" s="488"/>
      <c r="C138" s="488"/>
      <c r="D138" s="1290"/>
      <c r="E138" s="1290"/>
      <c r="F138" s="1290"/>
      <c r="I138" s="1149"/>
    </row>
    <row r="139" spans="1:9" ht="13.7" customHeight="1">
      <c r="D139" s="1290"/>
      <c r="E139" s="1290"/>
      <c r="F139" s="1290"/>
      <c r="I139" s="490"/>
    </row>
    <row r="140" spans="1:9" ht="13.7" customHeight="1">
      <c r="D140" s="1290"/>
      <c r="E140" s="1290"/>
      <c r="F140" s="1290"/>
      <c r="I140" s="490"/>
    </row>
    <row r="141" spans="1:9" ht="13.7" customHeight="1">
      <c r="D141" s="1290"/>
      <c r="E141" s="1290"/>
      <c r="F141" s="1290"/>
      <c r="I141" s="490"/>
    </row>
    <row r="142" spans="1:9" ht="13.7" customHeight="1">
      <c r="A142" s="489"/>
      <c r="B142" s="489"/>
      <c r="D142" s="1290"/>
      <c r="E142" s="1290"/>
      <c r="F142" s="1290"/>
      <c r="I142" s="490"/>
    </row>
    <row r="143" spans="1:9" ht="13.7" customHeight="1">
      <c r="D143" s="1290"/>
      <c r="E143" s="1290"/>
      <c r="F143" s="1290"/>
      <c r="I143" s="490"/>
    </row>
    <row r="144" spans="1:9" ht="13.7" customHeight="1">
      <c r="D144" s="1290"/>
      <c r="E144" s="1290"/>
      <c r="F144" s="1290"/>
      <c r="I144" s="490"/>
    </row>
    <row r="145" spans="2:9" ht="13.7" customHeight="1">
      <c r="D145" s="1290"/>
      <c r="E145" s="1290"/>
      <c r="F145" s="1290"/>
      <c r="I145" s="490"/>
    </row>
    <row r="146" spans="2:9" ht="13.7" customHeight="1">
      <c r="D146" s="1290"/>
      <c r="E146" s="1290"/>
      <c r="F146" s="1290"/>
      <c r="I146" s="490"/>
    </row>
    <row r="147" spans="2:9" ht="13.7" customHeight="1">
      <c r="D147" s="1290"/>
      <c r="E147" s="1290"/>
      <c r="F147" s="1290"/>
      <c r="I147" s="490"/>
    </row>
    <row r="148" spans="2:9" ht="13.7" customHeight="1">
      <c r="D148" s="1290"/>
      <c r="E148" s="1290"/>
      <c r="F148" s="1290"/>
      <c r="I148" s="490"/>
    </row>
    <row r="149" spans="2:9" ht="13.7" customHeight="1">
      <c r="D149" s="1290"/>
      <c r="E149" s="1290"/>
      <c r="F149" s="1290"/>
      <c r="I149" s="490"/>
    </row>
    <row r="150" spans="2:9" ht="13.7" customHeight="1">
      <c r="D150" s="476"/>
      <c r="E150" s="446"/>
      <c r="F150" s="446"/>
      <c r="I150" s="490"/>
    </row>
    <row r="151" spans="2:9" ht="13.7" customHeight="1">
      <c r="B151" s="485" t="s">
        <v>2741</v>
      </c>
      <c r="D151" s="1290" t="s">
        <v>1177</v>
      </c>
      <c r="E151" s="1290"/>
      <c r="F151" s="1290"/>
      <c r="I151" s="490"/>
    </row>
    <row r="152" spans="2:9" ht="13.7" customHeight="1">
      <c r="D152" s="1290"/>
      <c r="E152" s="1290"/>
      <c r="F152" s="1290"/>
      <c r="I152" s="490"/>
    </row>
    <row r="153" spans="2:9" ht="13.7" customHeight="1">
      <c r="D153" s="1290"/>
      <c r="E153" s="1290"/>
      <c r="F153" s="1290"/>
      <c r="I153" s="490"/>
    </row>
    <row r="154" spans="2:9" ht="13.7" customHeight="1">
      <c r="D154" s="1290"/>
      <c r="E154" s="1290"/>
      <c r="F154" s="1290"/>
      <c r="I154" s="490"/>
    </row>
    <row r="155" spans="2:9" ht="13.7" customHeight="1">
      <c r="D155" s="1290"/>
      <c r="E155" s="1290"/>
      <c r="F155" s="1290"/>
      <c r="I155" s="490"/>
    </row>
    <row r="156" spans="2:9" ht="13.7" customHeight="1">
      <c r="D156" s="1290"/>
      <c r="E156" s="1290"/>
      <c r="F156" s="1290"/>
      <c r="I156" s="490"/>
    </row>
    <row r="157" spans="2:9" ht="13.7" customHeight="1">
      <c r="D157" s="1290"/>
      <c r="E157" s="1290"/>
      <c r="F157" s="1290"/>
      <c r="I157" s="490"/>
    </row>
    <row r="158" spans="2:9" ht="13.7" customHeight="1">
      <c r="D158" s="1290"/>
      <c r="E158" s="1290"/>
      <c r="F158" s="1290"/>
      <c r="I158" s="490"/>
    </row>
    <row r="159" spans="2:9" ht="13.7" customHeight="1">
      <c r="D159" s="1290"/>
      <c r="E159" s="1290"/>
      <c r="F159" s="1290"/>
      <c r="I159" s="490"/>
    </row>
    <row r="160" spans="2:9" ht="13.7" customHeight="1">
      <c r="D160" s="1290"/>
      <c r="E160" s="1290"/>
      <c r="F160" s="1290"/>
      <c r="I160" s="490"/>
    </row>
    <row r="161" spans="1:9" ht="13.7" customHeight="1">
      <c r="D161" s="1290"/>
      <c r="E161" s="1290"/>
      <c r="F161" s="1290"/>
      <c r="I161" s="490"/>
    </row>
    <row r="162" spans="1:9" ht="13.7" customHeight="1">
      <c r="D162" s="1290"/>
      <c r="E162" s="1290"/>
      <c r="F162" s="1290"/>
      <c r="I162" s="490"/>
    </row>
    <row r="163" spans="1:9" ht="13.7" customHeight="1">
      <c r="D163" s="1290"/>
      <c r="E163" s="1290"/>
      <c r="F163" s="1290"/>
      <c r="I163" s="490"/>
    </row>
    <row r="164" spans="1:9" ht="13.7" customHeight="1">
      <c r="D164" s="1290"/>
      <c r="E164" s="1290"/>
      <c r="F164" s="1290"/>
      <c r="I164" s="490"/>
    </row>
    <row r="165" spans="1:9" ht="13.7" customHeight="1">
      <c r="D165" s="1290"/>
      <c r="E165" s="1290"/>
      <c r="F165" s="1290"/>
      <c r="I165" s="490"/>
    </row>
    <row r="166" spans="1:9" ht="13.7" customHeight="1">
      <c r="D166" s="1290"/>
      <c r="E166" s="1290"/>
      <c r="F166" s="1290"/>
      <c r="I166" s="490"/>
    </row>
    <row r="167" spans="1:9" ht="13.7" customHeight="1">
      <c r="D167" s="1290"/>
      <c r="E167" s="1290"/>
      <c r="F167" s="1290"/>
      <c r="I167" s="490"/>
    </row>
    <row r="168" spans="1:9" ht="13.7" customHeight="1">
      <c r="D168" s="1290"/>
      <c r="E168" s="1290"/>
      <c r="F168" s="1290"/>
      <c r="I168" s="490"/>
    </row>
    <row r="169" spans="1:9" ht="13.7" customHeight="1">
      <c r="D169" s="1309" t="s">
        <v>2032</v>
      </c>
      <c r="E169" s="1309"/>
      <c r="F169" s="1309"/>
      <c r="G169" s="507"/>
      <c r="I169" s="490"/>
    </row>
    <row r="170" spans="1:9" ht="13.7" customHeight="1">
      <c r="D170" s="1304"/>
      <c r="E170" s="1304"/>
      <c r="F170" s="1304"/>
      <c r="G170" s="1304"/>
      <c r="I170" s="490"/>
    </row>
    <row r="171" spans="1:9" ht="14.45" customHeight="1">
      <c r="A171" s="489"/>
      <c r="B171" s="485" t="s">
        <v>2741</v>
      </c>
      <c r="C171" s="476"/>
      <c r="D171" s="1269" t="s">
        <v>2168</v>
      </c>
      <c r="E171" s="1269"/>
      <c r="F171" s="1269"/>
      <c r="G171" s="476"/>
      <c r="I171" s="490"/>
    </row>
    <row r="172" spans="1:9" ht="14.45" customHeight="1">
      <c r="A172" s="489"/>
      <c r="B172" s="489"/>
      <c r="C172" s="476"/>
      <c r="D172" s="1269"/>
      <c r="E172" s="1269"/>
      <c r="F172" s="1269"/>
      <c r="G172" s="476"/>
      <c r="I172" s="490"/>
    </row>
    <row r="173" spans="1:9" ht="14.45" customHeight="1">
      <c r="A173" s="489"/>
      <c r="B173" s="489"/>
      <c r="C173" s="476"/>
      <c r="D173" s="1269"/>
      <c r="E173" s="1269"/>
      <c r="F173" s="1269"/>
      <c r="G173" s="476"/>
      <c r="I173" s="490"/>
    </row>
    <row r="174" spans="1:9" ht="14.45" customHeight="1">
      <c r="A174" s="489"/>
      <c r="B174" s="489"/>
      <c r="C174" s="476"/>
      <c r="D174" s="1269"/>
      <c r="E174" s="1269"/>
      <c r="F174" s="1269"/>
      <c r="G174" s="476"/>
      <c r="I174" s="490"/>
    </row>
    <row r="175" spans="1:9" ht="13.7" customHeight="1">
      <c r="A175" s="489"/>
      <c r="B175" s="489"/>
      <c r="C175" s="476"/>
      <c r="D175" s="1269"/>
      <c r="E175" s="1269"/>
      <c r="F175" s="1269"/>
      <c r="G175" s="476"/>
      <c r="I175" s="490"/>
    </row>
    <row r="176" spans="1:9" ht="13.7" customHeight="1">
      <c r="A176" s="489"/>
      <c r="B176" s="489"/>
      <c r="C176" s="476"/>
      <c r="D176" s="476"/>
      <c r="E176" s="476"/>
      <c r="F176" s="476"/>
      <c r="G176" s="476"/>
      <c r="I176" s="490"/>
    </row>
    <row r="177" spans="1:9" ht="13.7" customHeight="1">
      <c r="A177" s="489"/>
      <c r="B177" s="485" t="s">
        <v>2741</v>
      </c>
      <c r="C177" s="476"/>
      <c r="D177" s="1269" t="s">
        <v>1106</v>
      </c>
      <c r="E177" s="1269"/>
      <c r="F177" s="1269"/>
      <c r="G177" s="476"/>
      <c r="I177" s="490"/>
    </row>
    <row r="178" spans="1:9" ht="13.7" customHeight="1">
      <c r="A178" s="489"/>
      <c r="B178" s="489"/>
      <c r="C178" s="476"/>
      <c r="D178" s="1269"/>
      <c r="E178" s="1269"/>
      <c r="F178" s="1269"/>
      <c r="G178" s="476"/>
      <c r="I178" s="490"/>
    </row>
    <row r="179" spans="1:9" ht="13.7" customHeight="1">
      <c r="A179" s="489"/>
      <c r="B179" s="489"/>
      <c r="C179" s="476"/>
      <c r="D179" s="1269"/>
      <c r="E179" s="1269"/>
      <c r="F179" s="1269"/>
      <c r="G179" s="476"/>
      <c r="I179" s="490"/>
    </row>
    <row r="180" spans="1:9" ht="13.7" customHeight="1">
      <c r="A180" s="489"/>
      <c r="B180" s="489"/>
      <c r="C180" s="476"/>
      <c r="D180" s="1269"/>
      <c r="E180" s="1269"/>
      <c r="F180" s="1269"/>
      <c r="G180" s="476"/>
      <c r="I180" s="490"/>
    </row>
    <row r="181" spans="1:9" ht="13.7" customHeight="1">
      <c r="D181" s="446"/>
      <c r="E181" s="446"/>
      <c r="F181" s="446"/>
      <c r="I181" s="490"/>
    </row>
    <row r="182" spans="1:9" ht="13.7" hidden="1" customHeight="1">
      <c r="B182" s="485" t="s">
        <v>307</v>
      </c>
      <c r="D182" s="1294" t="s">
        <v>2011</v>
      </c>
      <c r="E182" s="1294"/>
      <c r="F182" s="1294"/>
      <c r="I182" s="490"/>
    </row>
    <row r="183" spans="1:9" ht="13.7" hidden="1" customHeight="1">
      <c r="D183" s="1294"/>
      <c r="E183" s="1294"/>
      <c r="F183" s="1294"/>
      <c r="I183" s="490"/>
    </row>
    <row r="184" spans="1:9" ht="13.7" hidden="1" customHeight="1">
      <c r="D184" s="1294"/>
      <c r="E184" s="1294"/>
      <c r="F184" s="1294"/>
      <c r="I184" s="490"/>
    </row>
    <row r="185" spans="1:9" ht="13.7" customHeight="1">
      <c r="A185" s="490"/>
      <c r="B185" s="490"/>
      <c r="E185" s="446"/>
      <c r="F185" s="446"/>
      <c r="I185" s="490"/>
    </row>
    <row r="186" spans="1:9">
      <c r="A186" s="1293" t="s">
        <v>2012</v>
      </c>
      <c r="B186" s="1293"/>
      <c r="C186" s="1293"/>
      <c r="D186" s="1293"/>
      <c r="E186" s="1293"/>
      <c r="F186" s="1293"/>
      <c r="G186" s="1293"/>
      <c r="H186" s="1023"/>
      <c r="I186" s="1147"/>
    </row>
    <row r="187" spans="1:9" ht="12" customHeight="1">
      <c r="D187" s="446"/>
      <c r="E187" s="446"/>
      <c r="F187" s="446"/>
      <c r="I187" s="490"/>
    </row>
    <row r="188" spans="1:9">
      <c r="B188" s="1297" t="s">
        <v>446</v>
      </c>
      <c r="C188" s="1297"/>
      <c r="D188" s="1297"/>
      <c r="E188" s="1297"/>
      <c r="F188" s="1297"/>
      <c r="I188" s="490"/>
    </row>
    <row r="189" spans="1:9">
      <c r="B189" s="392" t="s">
        <v>1849</v>
      </c>
      <c r="C189" s="392"/>
      <c r="D189" s="392"/>
      <c r="E189" s="392"/>
      <c r="F189" s="392"/>
      <c r="I189" s="490"/>
    </row>
    <row r="190" spans="1:9" ht="12" customHeight="1">
      <c r="A190" s="482"/>
      <c r="B190" s="482"/>
      <c r="C190" s="482"/>
      <c r="I190" s="490"/>
    </row>
    <row r="191" spans="1:9">
      <c r="A191" s="1293" t="s">
        <v>1045</v>
      </c>
      <c r="B191" s="1293"/>
      <c r="C191" s="1293"/>
      <c r="D191" s="1293"/>
      <c r="E191" s="1293"/>
      <c r="F191" s="1293"/>
      <c r="G191" s="1293"/>
      <c r="H191" s="1023"/>
      <c r="I191" s="1147"/>
    </row>
    <row r="192" spans="1:9" ht="12" customHeight="1">
      <c r="A192" s="404"/>
      <c r="B192" s="404"/>
      <c r="E192" s="404"/>
      <c r="I192" s="490"/>
    </row>
    <row r="193" spans="1:9" ht="13.7" customHeight="1">
      <c r="A193" s="404"/>
      <c r="B193" s="404"/>
      <c r="D193" s="1292" t="s">
        <v>1735</v>
      </c>
      <c r="E193" s="1292"/>
      <c r="F193" s="1292"/>
      <c r="I193" s="490"/>
    </row>
    <row r="194" spans="1:9">
      <c r="A194" s="404"/>
      <c r="B194" s="404"/>
      <c r="D194" s="1292"/>
      <c r="E194" s="1292"/>
      <c r="F194" s="1292"/>
      <c r="I194" s="490"/>
    </row>
    <row r="195" spans="1:9">
      <c r="A195" s="404"/>
      <c r="B195" s="404"/>
      <c r="D195" s="1297" t="s">
        <v>1195</v>
      </c>
      <c r="E195" s="1297"/>
      <c r="F195" s="1297"/>
      <c r="I195" s="490"/>
    </row>
    <row r="196" spans="1:9">
      <c r="A196" s="404"/>
      <c r="B196" s="404"/>
      <c r="D196" s="392"/>
      <c r="E196" s="392"/>
      <c r="F196" s="392"/>
      <c r="I196" s="490"/>
    </row>
    <row r="197" spans="1:9">
      <c r="A197" s="404"/>
      <c r="B197" s="485" t="s">
        <v>2741</v>
      </c>
      <c r="D197" s="1305" t="s">
        <v>1736</v>
      </c>
      <c r="E197" s="1305"/>
      <c r="F197" s="1305"/>
      <c r="I197" s="490"/>
    </row>
    <row r="198" spans="1:9">
      <c r="A198" s="404"/>
      <c r="B198" s="404"/>
      <c r="D198" s="1306" t="s">
        <v>1875</v>
      </c>
      <c r="E198" s="1306"/>
      <c r="F198" s="1306"/>
      <c r="I198" s="490"/>
    </row>
    <row r="199" spans="1:9">
      <c r="A199" s="404"/>
      <c r="B199" s="404"/>
      <c r="D199" s="96" t="s">
        <v>1737</v>
      </c>
      <c r="E199" s="1307" t="s">
        <v>1898</v>
      </c>
      <c r="F199" s="1307"/>
      <c r="I199" s="490"/>
    </row>
    <row r="200" spans="1:9">
      <c r="A200" s="404"/>
      <c r="B200" s="404"/>
      <c r="D200" s="3"/>
      <c r="E200" s="3"/>
      <c r="F200" s="3"/>
      <c r="I200" s="490"/>
    </row>
    <row r="201" spans="1:9">
      <c r="A201" s="404"/>
      <c r="B201" s="485" t="s">
        <v>2741</v>
      </c>
      <c r="D201" s="1306" t="s">
        <v>1738</v>
      </c>
      <c r="E201" s="1306"/>
      <c r="F201" s="1306"/>
      <c r="I201" s="490"/>
    </row>
    <row r="202" spans="1:9">
      <c r="A202" s="404"/>
      <c r="B202" s="404"/>
      <c r="D202" s="1305" t="s">
        <v>1875</v>
      </c>
      <c r="E202" s="1305"/>
      <c r="F202" s="1305"/>
      <c r="I202" s="490"/>
    </row>
    <row r="203" spans="1:9">
      <c r="A203" s="404"/>
      <c r="B203" s="404"/>
      <c r="D203" s="57" t="s">
        <v>1739</v>
      </c>
      <c r="E203" s="1307" t="s">
        <v>1899</v>
      </c>
      <c r="F203" s="1307"/>
      <c r="I203" s="490"/>
    </row>
    <row r="204" spans="1:9">
      <c r="A204" s="404"/>
      <c r="B204" s="404"/>
      <c r="D204" s="3"/>
      <c r="E204" s="3"/>
      <c r="F204" s="3"/>
      <c r="I204" s="490"/>
    </row>
    <row r="205" spans="1:9">
      <c r="A205" s="404"/>
      <c r="B205" s="485" t="s">
        <v>2741</v>
      </c>
      <c r="D205" s="1306" t="s">
        <v>1740</v>
      </c>
      <c r="E205" s="1306"/>
      <c r="F205" s="1306"/>
      <c r="I205" s="490"/>
    </row>
    <row r="206" spans="1:9">
      <c r="A206" s="404"/>
      <c r="B206" s="404"/>
      <c r="D206" s="1305" t="s">
        <v>1875</v>
      </c>
      <c r="E206" s="1305"/>
      <c r="F206" s="1305"/>
      <c r="I206" s="490"/>
    </row>
    <row r="207" spans="1:9">
      <c r="A207" s="404"/>
      <c r="B207" s="404"/>
      <c r="D207" s="57" t="s">
        <v>1737</v>
      </c>
      <c r="E207" s="1307" t="s">
        <v>1900</v>
      </c>
      <c r="F207" s="1307"/>
      <c r="I207" s="490"/>
    </row>
    <row r="208" spans="1:9">
      <c r="A208" s="404"/>
      <c r="B208" s="404"/>
      <c r="D208" s="392"/>
      <c r="E208" s="392"/>
      <c r="F208" s="392"/>
      <c r="I208" s="490"/>
    </row>
    <row r="209" spans="1:9" ht="14.25" customHeight="1">
      <c r="A209" s="484"/>
      <c r="B209" s="485" t="s">
        <v>2741</v>
      </c>
      <c r="D209" s="386" t="s">
        <v>1868</v>
      </c>
      <c r="E209" s="385"/>
      <c r="F209" s="385"/>
      <c r="I209" s="490"/>
    </row>
    <row r="210" spans="1:9" ht="14.25">
      <c r="A210" s="484"/>
      <c r="B210" s="484"/>
      <c r="D210" s="1305" t="s">
        <v>1875</v>
      </c>
      <c r="E210" s="1305"/>
      <c r="F210" s="1305"/>
      <c r="I210" s="490"/>
    </row>
    <row r="211" spans="1:9">
      <c r="D211" s="385"/>
      <c r="E211" s="1307" t="s">
        <v>1901</v>
      </c>
      <c r="F211" s="1307"/>
      <c r="I211" s="490"/>
    </row>
    <row r="212" spans="1:9">
      <c r="D212" s="447"/>
      <c r="I212" s="490"/>
    </row>
    <row r="213" spans="1:9">
      <c r="B213" s="485" t="s">
        <v>2741</v>
      </c>
      <c r="D213" s="1306" t="s">
        <v>1741</v>
      </c>
      <c r="E213" s="1306"/>
      <c r="F213" s="1306"/>
      <c r="I213" s="490"/>
    </row>
    <row r="214" spans="1:9">
      <c r="D214" s="1305" t="s">
        <v>1875</v>
      </c>
      <c r="E214" s="1305"/>
      <c r="F214" s="1305"/>
      <c r="I214" s="490"/>
    </row>
    <row r="215" spans="1:9">
      <c r="D215" s="57" t="s">
        <v>1737</v>
      </c>
      <c r="E215" s="1307" t="s">
        <v>1902</v>
      </c>
      <c r="F215" s="1307"/>
      <c r="I215" s="490"/>
    </row>
    <row r="216" spans="1:9">
      <c r="D216" s="451"/>
      <c r="E216" s="451"/>
      <c r="F216" s="451"/>
      <c r="I216" s="490"/>
    </row>
    <row r="217" spans="1:9" ht="14.25">
      <c r="A217" s="484"/>
      <c r="B217" s="485" t="s">
        <v>2741</v>
      </c>
      <c r="D217" s="1290" t="s">
        <v>1216</v>
      </c>
      <c r="E217" s="1290"/>
      <c r="F217" s="1290"/>
      <c r="I217" s="490"/>
    </row>
    <row r="218" spans="1:9" ht="14.45" customHeight="1">
      <c r="A218" s="484"/>
      <c r="B218" s="402"/>
      <c r="D218" s="1290"/>
      <c r="E218" s="1290"/>
      <c r="F218" s="1290"/>
      <c r="I218" s="490"/>
    </row>
    <row r="219" spans="1:9" ht="14.25">
      <c r="A219" s="484"/>
      <c r="D219" s="1290"/>
      <c r="E219" s="1290"/>
      <c r="F219" s="1290"/>
      <c r="I219" s="490"/>
    </row>
    <row r="220" spans="1:9" ht="14.25">
      <c r="A220" s="484"/>
      <c r="D220" s="1290"/>
      <c r="E220" s="1290"/>
      <c r="F220" s="1290"/>
      <c r="I220" s="490"/>
    </row>
    <row r="221" spans="1:9">
      <c r="D221" s="451"/>
      <c r="E221" s="451"/>
      <c r="F221" s="451"/>
      <c r="I221" s="490"/>
    </row>
    <row r="222" spans="1:9">
      <c r="A222" s="1293" t="s">
        <v>1046</v>
      </c>
      <c r="B222" s="1293"/>
      <c r="C222" s="1293"/>
      <c r="D222" s="1293"/>
      <c r="E222" s="1293"/>
      <c r="F222" s="1293"/>
      <c r="G222" s="1293"/>
      <c r="H222" s="1023"/>
      <c r="I222" s="1147"/>
    </row>
    <row r="223" spans="1:9" ht="12" customHeight="1">
      <c r="D223" s="446"/>
      <c r="E223" s="446"/>
      <c r="F223" s="446"/>
      <c r="I223" s="490"/>
    </row>
    <row r="224" spans="1:9">
      <c r="C224" s="486"/>
      <c r="D224" s="1299" t="s">
        <v>208</v>
      </c>
      <c r="E224" s="1299"/>
      <c r="F224" s="1299"/>
      <c r="I224" s="490"/>
    </row>
    <row r="225" spans="1:9">
      <c r="A225" s="482"/>
      <c r="B225" s="482"/>
      <c r="C225" s="482"/>
      <c r="D225" s="1291" t="s">
        <v>1120</v>
      </c>
      <c r="E225" s="1291"/>
      <c r="F225" s="1291"/>
      <c r="I225" s="490"/>
    </row>
    <row r="226" spans="1:9" ht="12" customHeight="1">
      <c r="A226" s="490"/>
      <c r="B226" s="490"/>
      <c r="C226" s="490"/>
      <c r="I226" s="490"/>
    </row>
    <row r="227" spans="1:9" ht="13.7" customHeight="1">
      <c r="A227" s="490"/>
      <c r="C227" s="490"/>
      <c r="D227" s="1299" t="s">
        <v>546</v>
      </c>
      <c r="E227" s="1299"/>
      <c r="F227" s="1299"/>
      <c r="I227" s="490"/>
    </row>
    <row r="228" spans="1:9" ht="14.25">
      <c r="A228" s="484"/>
      <c r="B228" s="485" t="s">
        <v>2744</v>
      </c>
      <c r="D228" s="1290" t="s">
        <v>1742</v>
      </c>
      <c r="E228" s="1290"/>
      <c r="F228" s="1290"/>
      <c r="I228" s="490"/>
    </row>
    <row r="229" spans="1:9" ht="14.25" customHeight="1">
      <c r="A229" s="484"/>
      <c r="B229" s="484"/>
      <c r="D229" s="1290"/>
      <c r="E229" s="1290"/>
      <c r="F229" s="1290"/>
      <c r="I229" s="490"/>
    </row>
    <row r="230" spans="1:9" ht="14.25" customHeight="1">
      <c r="A230" s="484"/>
      <c r="B230" s="484"/>
      <c r="D230" s="1290"/>
      <c r="E230" s="1290"/>
      <c r="F230" s="1290"/>
      <c r="I230" s="490"/>
    </row>
    <row r="231" spans="1:9" ht="14.25">
      <c r="A231" s="484"/>
      <c r="B231" s="484"/>
      <c r="D231" s="1290"/>
      <c r="E231" s="1290"/>
      <c r="F231" s="1290"/>
      <c r="I231" s="490"/>
    </row>
    <row r="232" spans="1:9" ht="14.25">
      <c r="A232" s="484"/>
      <c r="B232" s="484"/>
      <c r="D232" s="445"/>
      <c r="E232" s="445"/>
      <c r="F232" s="445"/>
      <c r="I232" s="490"/>
    </row>
    <row r="233" spans="1:9" ht="14.25">
      <c r="A233" s="484"/>
      <c r="B233" s="485" t="s">
        <v>2744</v>
      </c>
      <c r="D233" s="1290" t="s">
        <v>1743</v>
      </c>
      <c r="E233" s="1290"/>
      <c r="F233" s="1290"/>
      <c r="I233" s="490"/>
    </row>
    <row r="234" spans="1:9" ht="14.25">
      <c r="A234" s="484"/>
      <c r="B234" s="484"/>
      <c r="D234" s="1290"/>
      <c r="E234" s="1290"/>
      <c r="F234" s="1290"/>
      <c r="I234" s="490"/>
    </row>
    <row r="235" spans="1:9" ht="14.25">
      <c r="A235" s="484"/>
      <c r="B235" s="484"/>
      <c r="D235" s="1290"/>
      <c r="E235" s="1290"/>
      <c r="F235" s="1290"/>
      <c r="I235" s="490"/>
    </row>
    <row r="236" spans="1:9" ht="14.25">
      <c r="A236" s="484"/>
      <c r="B236" s="484"/>
      <c r="D236" s="1290"/>
      <c r="E236" s="1290"/>
      <c r="F236" s="1290"/>
      <c r="I236" s="490"/>
    </row>
    <row r="237" spans="1:9" ht="14.25" customHeight="1">
      <c r="A237" s="484"/>
      <c r="B237" s="484"/>
      <c r="D237" s="1290"/>
      <c r="E237" s="1290"/>
      <c r="F237" s="1290"/>
      <c r="I237" s="490"/>
    </row>
    <row r="238" spans="1:9" ht="14.25" customHeight="1">
      <c r="A238" s="484"/>
      <c r="B238" s="484"/>
      <c r="D238" s="445"/>
      <c r="E238" s="445"/>
      <c r="F238" s="445"/>
      <c r="I238" s="490"/>
    </row>
    <row r="239" spans="1:9" ht="14.25">
      <c r="A239" s="484"/>
      <c r="B239" s="484"/>
      <c r="D239" s="1290" t="s">
        <v>1118</v>
      </c>
      <c r="E239" s="1290"/>
      <c r="F239" s="1290"/>
      <c r="I239" s="490"/>
    </row>
    <row r="240" spans="1:9" ht="14.25">
      <c r="A240" s="484"/>
      <c r="B240" s="484"/>
      <c r="D240" s="1290"/>
      <c r="E240" s="1290"/>
      <c r="F240" s="1290"/>
      <c r="I240" s="490"/>
    </row>
    <row r="241" spans="1:9" ht="14.25">
      <c r="A241" s="484"/>
      <c r="B241" s="484"/>
      <c r="D241" s="1290"/>
      <c r="E241" s="1290"/>
      <c r="F241" s="1290"/>
      <c r="I241" s="490"/>
    </row>
    <row r="242" spans="1:9" ht="14.25">
      <c r="A242" s="484"/>
      <c r="B242" s="484"/>
      <c r="D242" s="1290"/>
      <c r="E242" s="1290"/>
      <c r="F242" s="1290"/>
      <c r="I242" s="490"/>
    </row>
    <row r="243" spans="1:9" ht="14.25">
      <c r="A243" s="484"/>
      <c r="B243" s="484"/>
      <c r="D243" s="1290"/>
      <c r="E243" s="1290"/>
      <c r="F243" s="1290"/>
      <c r="I243" s="490"/>
    </row>
    <row r="244" spans="1:9" ht="14.25">
      <c r="A244" s="484"/>
      <c r="B244" s="484"/>
      <c r="D244" s="446"/>
      <c r="E244" s="446"/>
      <c r="F244" s="446"/>
      <c r="I244" s="490"/>
    </row>
    <row r="245" spans="1:9" ht="14.25">
      <c r="A245" s="484"/>
      <c r="B245" s="485" t="s">
        <v>2744</v>
      </c>
      <c r="D245" s="1290" t="s">
        <v>2013</v>
      </c>
      <c r="E245" s="1290"/>
      <c r="F245" s="1290"/>
      <c r="I245" s="490"/>
    </row>
    <row r="246" spans="1:9" ht="14.25">
      <c r="A246" s="484"/>
      <c r="B246" s="484"/>
      <c r="D246" s="1290"/>
      <c r="E246" s="1290"/>
      <c r="F246" s="1290"/>
      <c r="I246" s="490"/>
    </row>
    <row r="247" spans="1:9" ht="14.25">
      <c r="A247" s="484"/>
      <c r="B247" s="484"/>
      <c r="D247" s="1290"/>
      <c r="E247" s="1290"/>
      <c r="F247" s="1290"/>
      <c r="I247" s="490"/>
    </row>
    <row r="248" spans="1:9" ht="14.25">
      <c r="A248" s="484"/>
      <c r="B248" s="484"/>
      <c r="E248" s="1031" t="s">
        <v>1869</v>
      </c>
      <c r="I248" s="490"/>
    </row>
    <row r="249" spans="1:9" ht="14.25">
      <c r="A249" s="484"/>
      <c r="B249" s="484"/>
      <c r="D249" s="446"/>
      <c r="E249" s="446"/>
      <c r="F249" s="446"/>
      <c r="I249" s="490"/>
    </row>
    <row r="250" spans="1:9" ht="14.45" customHeight="1">
      <c r="A250" s="484"/>
      <c r="B250" s="485" t="s">
        <v>2741</v>
      </c>
      <c r="D250" s="1290" t="s">
        <v>2014</v>
      </c>
      <c r="E250" s="1290"/>
      <c r="F250" s="1290"/>
      <c r="I250" s="490"/>
    </row>
    <row r="251" spans="1:9" ht="14.25">
      <c r="A251" s="484"/>
      <c r="B251" s="484"/>
      <c r="D251" s="1290"/>
      <c r="E251" s="1290"/>
      <c r="F251" s="1290"/>
      <c r="I251" s="490"/>
    </row>
    <row r="252" spans="1:9" ht="14.25">
      <c r="A252" s="484"/>
      <c r="B252" s="484"/>
      <c r="D252" s="1290"/>
      <c r="E252" s="1290"/>
      <c r="F252" s="1290"/>
      <c r="I252" s="490"/>
    </row>
    <row r="253" spans="1:9" ht="14.25">
      <c r="A253" s="484"/>
      <c r="B253" s="484"/>
      <c r="D253" s="1290"/>
      <c r="E253" s="1290"/>
      <c r="F253" s="1290"/>
      <c r="I253" s="490"/>
    </row>
    <row r="254" spans="1:9" ht="14.25">
      <c r="A254" s="484"/>
      <c r="B254" s="484"/>
      <c r="D254" s="1290"/>
      <c r="E254" s="1290"/>
      <c r="F254" s="1290"/>
      <c r="I254" s="490"/>
    </row>
    <row r="255" spans="1:9" ht="14.25">
      <c r="A255" s="484"/>
      <c r="B255" s="484"/>
      <c r="D255" s="445"/>
      <c r="E255" s="445"/>
      <c r="F255" s="445"/>
      <c r="I255" s="490"/>
    </row>
    <row r="256" spans="1:9" ht="14.25">
      <c r="A256" s="484"/>
      <c r="B256" s="485" t="s">
        <v>2744</v>
      </c>
      <c r="D256" s="392" t="s">
        <v>2015</v>
      </c>
      <c r="E256" s="445"/>
      <c r="F256" s="445"/>
      <c r="I256" s="490"/>
    </row>
    <row r="257" spans="1:9" ht="14.25">
      <c r="A257" s="484"/>
      <c r="B257" s="484"/>
      <c r="E257" s="1031" t="s">
        <v>1870</v>
      </c>
      <c r="I257" s="490"/>
    </row>
    <row r="258" spans="1:9">
      <c r="D258" s="446"/>
      <c r="E258" s="446"/>
      <c r="F258" s="446"/>
      <c r="I258" s="490"/>
    </row>
    <row r="259" spans="1:9" ht="14.25">
      <c r="A259" s="484"/>
      <c r="B259" s="485" t="s">
        <v>2744</v>
      </c>
      <c r="D259" s="1290" t="s">
        <v>1119</v>
      </c>
      <c r="E259" s="1290"/>
      <c r="F259" s="1290"/>
      <c r="I259" s="490"/>
    </row>
    <row r="260" spans="1:9" ht="14.25">
      <c r="A260" s="484"/>
      <c r="B260" s="484"/>
      <c r="D260" s="1290"/>
      <c r="E260" s="1290"/>
      <c r="F260" s="1290"/>
      <c r="I260" s="490"/>
    </row>
    <row r="261" spans="1:9">
      <c r="D261" s="491"/>
      <c r="I261" s="490"/>
    </row>
    <row r="262" spans="1:9">
      <c r="A262" s="1293" t="s">
        <v>1047</v>
      </c>
      <c r="B262" s="1293"/>
      <c r="C262" s="1293"/>
      <c r="D262" s="1293"/>
      <c r="E262" s="1293"/>
      <c r="F262" s="1293"/>
      <c r="G262" s="1293"/>
      <c r="H262" s="1023"/>
      <c r="I262" s="1147"/>
    </row>
    <row r="263" spans="1:9">
      <c r="D263" s="491"/>
      <c r="I263" s="490"/>
    </row>
    <row r="264" spans="1:9">
      <c r="C264" s="486"/>
      <c r="D264" s="1299" t="s">
        <v>1121</v>
      </c>
      <c r="E264" s="1299"/>
      <c r="F264" s="1299"/>
      <c r="I264" s="490"/>
    </row>
    <row r="265" spans="1:9">
      <c r="A265" s="482"/>
      <c r="B265" s="482"/>
      <c r="C265" s="482"/>
      <c r="D265" s="446"/>
      <c r="E265" s="446"/>
      <c r="F265" s="446"/>
      <c r="I265" s="490"/>
    </row>
    <row r="266" spans="1:9">
      <c r="A266" s="483"/>
      <c r="B266" s="483"/>
      <c r="C266" s="483"/>
      <c r="D266" s="1299" t="s">
        <v>269</v>
      </c>
      <c r="E266" s="1299"/>
      <c r="F266" s="1299"/>
      <c r="I266" s="490"/>
    </row>
    <row r="267" spans="1:9" ht="14.45" customHeight="1">
      <c r="A267" s="484"/>
      <c r="B267" s="485" t="s">
        <v>2741</v>
      </c>
      <c r="D267" s="1290" t="s">
        <v>1196</v>
      </c>
      <c r="E267" s="1290"/>
      <c r="F267" s="1290"/>
      <c r="I267" s="490"/>
    </row>
    <row r="268" spans="1:9">
      <c r="D268" s="1290"/>
      <c r="E268" s="1290"/>
      <c r="F268" s="1290"/>
      <c r="I268" s="490"/>
    </row>
    <row r="269" spans="1:9">
      <c r="E269" s="1031" t="s">
        <v>1871</v>
      </c>
      <c r="I269" s="490"/>
    </row>
    <row r="270" spans="1:9">
      <c r="D270" s="446"/>
      <c r="E270" s="446"/>
      <c r="F270" s="446"/>
      <c r="I270" s="490"/>
    </row>
    <row r="271" spans="1:9" ht="14.45" customHeight="1">
      <c r="A271" s="484"/>
      <c r="B271" s="485" t="s">
        <v>2741</v>
      </c>
      <c r="D271" s="1290" t="s">
        <v>2016</v>
      </c>
      <c r="E271" s="1290"/>
      <c r="F271" s="1290"/>
      <c r="I271" s="490"/>
    </row>
    <row r="272" spans="1:9">
      <c r="D272" s="1290"/>
      <c r="E272" s="1290"/>
      <c r="F272" s="1290"/>
      <c r="I272" s="490"/>
    </row>
    <row r="273" spans="1:9">
      <c r="D273" s="1290"/>
      <c r="E273" s="1290"/>
      <c r="F273" s="1290"/>
      <c r="I273" s="490"/>
    </row>
    <row r="274" spans="1:9">
      <c r="D274" s="1290"/>
      <c r="E274" s="1290"/>
      <c r="F274" s="1290"/>
      <c r="I274" s="490"/>
    </row>
    <row r="275" spans="1:9">
      <c r="D275" s="1290"/>
      <c r="E275" s="1290"/>
      <c r="F275" s="1290"/>
      <c r="I275" s="490"/>
    </row>
    <row r="276" spans="1:9">
      <c r="D276" s="1290"/>
      <c r="E276" s="1290"/>
      <c r="F276" s="1290"/>
      <c r="I276" s="490"/>
    </row>
    <row r="277" spans="1:9">
      <c r="D277" s="446"/>
      <c r="E277" s="446"/>
      <c r="F277" s="446"/>
      <c r="I277" s="490"/>
    </row>
    <row r="278" spans="1:9" ht="14.25">
      <c r="A278" s="484"/>
      <c r="B278" s="485" t="s">
        <v>2741</v>
      </c>
      <c r="D278" s="1290" t="s">
        <v>1122</v>
      </c>
      <c r="E278" s="1290"/>
      <c r="F278" s="1290"/>
      <c r="I278" s="490"/>
    </row>
    <row r="279" spans="1:9">
      <c r="D279" s="1290"/>
      <c r="E279" s="1290"/>
      <c r="F279" s="1290"/>
      <c r="I279" s="490"/>
    </row>
    <row r="280" spans="1:9">
      <c r="D280" s="1290"/>
      <c r="E280" s="1290"/>
      <c r="F280" s="1290"/>
      <c r="I280" s="490"/>
    </row>
    <row r="281" spans="1:9">
      <c r="D281" s="492"/>
      <c r="E281" s="446"/>
      <c r="F281" s="446"/>
      <c r="I281" s="490"/>
    </row>
    <row r="282" spans="1:9">
      <c r="A282" s="1293" t="s">
        <v>1048</v>
      </c>
      <c r="B282" s="1293"/>
      <c r="C282" s="1293"/>
      <c r="D282" s="1293"/>
      <c r="E282" s="1293"/>
      <c r="F282" s="1293"/>
      <c r="G282" s="1293"/>
      <c r="H282" s="1023"/>
      <c r="I282" s="1147"/>
    </row>
    <row r="283" spans="1:9">
      <c r="D283" s="492"/>
      <c r="E283" s="446"/>
      <c r="F283" s="446"/>
      <c r="I283" s="490"/>
    </row>
    <row r="284" spans="1:9">
      <c r="C284" s="482"/>
      <c r="D284" s="1292" t="s">
        <v>1123</v>
      </c>
      <c r="E284" s="1292"/>
      <c r="F284" s="1292"/>
      <c r="I284" s="490"/>
    </row>
    <row r="285" spans="1:9">
      <c r="C285" s="482"/>
      <c r="D285" s="1292"/>
      <c r="E285" s="1292"/>
      <c r="F285" s="1292"/>
      <c r="I285" s="490"/>
    </row>
    <row r="286" spans="1:9">
      <c r="A286" s="483"/>
      <c r="B286" s="483"/>
      <c r="C286" s="483"/>
      <c r="D286" s="404"/>
      <c r="I286" s="490"/>
    </row>
    <row r="287" spans="1:9">
      <c r="C287" s="483"/>
      <c r="D287" s="1299" t="s">
        <v>209</v>
      </c>
      <c r="E287" s="1299"/>
      <c r="F287" s="1299"/>
      <c r="I287" s="490"/>
    </row>
    <row r="288" spans="1:9" ht="15.75" customHeight="1">
      <c r="A288" s="484"/>
      <c r="B288" s="484"/>
      <c r="D288" s="1302" t="s">
        <v>1124</v>
      </c>
      <c r="E288" s="1302"/>
      <c r="F288" s="1302"/>
      <c r="I288" s="490"/>
    </row>
    <row r="289" spans="1:9">
      <c r="E289" s="446"/>
      <c r="F289" s="446"/>
      <c r="I289" s="490"/>
    </row>
    <row r="290" spans="1:9" ht="14.25">
      <c r="A290" s="484"/>
      <c r="B290" s="485" t="s">
        <v>2741</v>
      </c>
      <c r="D290" s="1290" t="s">
        <v>1125</v>
      </c>
      <c r="E290" s="1290"/>
      <c r="F290" s="1290"/>
      <c r="I290" s="490"/>
    </row>
    <row r="291" spans="1:9" ht="14.25">
      <c r="A291" s="484"/>
      <c r="B291" s="484"/>
      <c r="D291" s="1290"/>
      <c r="E291" s="1290"/>
      <c r="F291" s="1290"/>
      <c r="I291" s="490"/>
    </row>
    <row r="292" spans="1:9">
      <c r="D292" s="446"/>
      <c r="E292" s="446"/>
      <c r="F292" s="446"/>
      <c r="I292" s="490"/>
    </row>
    <row r="293" spans="1:9" ht="14.25">
      <c r="A293" s="484"/>
      <c r="B293" s="485" t="s">
        <v>2741</v>
      </c>
      <c r="D293" s="1290" t="s">
        <v>1126</v>
      </c>
      <c r="E293" s="1290"/>
      <c r="F293" s="1290"/>
      <c r="I293" s="490"/>
    </row>
    <row r="294" spans="1:9" ht="14.25">
      <c r="A294" s="484"/>
      <c r="B294" s="484"/>
      <c r="D294" s="1290"/>
      <c r="E294" s="1290"/>
      <c r="F294" s="1290"/>
      <c r="I294" s="490"/>
    </row>
    <row r="295" spans="1:9" ht="14.25">
      <c r="A295" s="484"/>
      <c r="B295" s="484"/>
      <c r="D295" s="1290"/>
      <c r="E295" s="1290"/>
      <c r="F295" s="1290"/>
      <c r="I295" s="490"/>
    </row>
    <row r="296" spans="1:9">
      <c r="D296" s="446"/>
      <c r="E296" s="446"/>
      <c r="F296" s="446"/>
      <c r="I296" s="490"/>
    </row>
    <row r="297" spans="1:9" ht="14.25">
      <c r="A297" s="484"/>
      <c r="B297" s="485" t="s">
        <v>2741</v>
      </c>
      <c r="D297" s="1290" t="s">
        <v>1127</v>
      </c>
      <c r="E297" s="1290"/>
      <c r="F297" s="1290"/>
      <c r="I297" s="490"/>
    </row>
    <row r="298" spans="1:9" ht="14.25">
      <c r="A298" s="484"/>
      <c r="B298" s="484"/>
      <c r="D298" s="1290"/>
      <c r="E298" s="1290"/>
      <c r="F298" s="1290"/>
      <c r="I298" s="490"/>
    </row>
    <row r="299" spans="1:9">
      <c r="A299" s="490"/>
      <c r="B299" s="490"/>
      <c r="E299" s="446"/>
      <c r="F299" s="446"/>
      <c r="I299" s="490"/>
    </row>
    <row r="300" spans="1:9">
      <c r="A300" s="1293" t="s">
        <v>1049</v>
      </c>
      <c r="B300" s="1293"/>
      <c r="C300" s="1293"/>
      <c r="D300" s="1293"/>
      <c r="E300" s="1293"/>
      <c r="F300" s="1293"/>
      <c r="G300" s="1293"/>
      <c r="H300" s="1023"/>
      <c r="I300" s="1147"/>
    </row>
    <row r="301" spans="1:9">
      <c r="A301" s="490"/>
      <c r="B301" s="490"/>
      <c r="D301" s="446"/>
      <c r="E301" s="446"/>
      <c r="F301" s="446"/>
      <c r="I301" s="490"/>
    </row>
    <row r="302" spans="1:9">
      <c r="C302" s="490"/>
      <c r="D302" s="1299" t="s">
        <v>682</v>
      </c>
      <c r="E302" s="1299"/>
      <c r="F302" s="1299"/>
      <c r="I302" s="490"/>
    </row>
    <row r="303" spans="1:9">
      <c r="C303" s="490"/>
      <c r="D303" s="1291" t="s">
        <v>1128</v>
      </c>
      <c r="E303" s="1291"/>
      <c r="F303" s="1291"/>
      <c r="I303" s="490"/>
    </row>
    <row r="304" spans="1:9">
      <c r="C304" s="490"/>
      <c r="D304" s="493"/>
      <c r="I304" s="490"/>
    </row>
    <row r="305" spans="1:9">
      <c r="B305" s="485" t="s">
        <v>2741</v>
      </c>
      <c r="D305" s="1291" t="s">
        <v>1129</v>
      </c>
      <c r="E305" s="1291"/>
      <c r="F305" s="1291"/>
      <c r="I305" s="490"/>
    </row>
    <row r="306" spans="1:9" ht="14.25">
      <c r="A306" s="484"/>
      <c r="B306" s="484"/>
      <c r="D306" s="494"/>
      <c r="E306" s="495"/>
      <c r="F306" s="495"/>
      <c r="I306" s="490"/>
    </row>
    <row r="307" spans="1:9" ht="13.7" customHeight="1">
      <c r="B307" s="485" t="s">
        <v>2741</v>
      </c>
      <c r="D307" s="1314" t="s">
        <v>1219</v>
      </c>
      <c r="E307" s="1314"/>
      <c r="F307" s="1314"/>
      <c r="I307" s="490"/>
    </row>
    <row r="308" spans="1:9" ht="14.25">
      <c r="A308" s="484"/>
      <c r="B308" s="484"/>
      <c r="D308" s="1314"/>
      <c r="E308" s="1314"/>
      <c r="F308" s="1314"/>
      <c r="I308" s="490"/>
    </row>
    <row r="309" spans="1:9" ht="14.25">
      <c r="A309" s="484"/>
      <c r="B309" s="484"/>
      <c r="D309" s="1314"/>
      <c r="E309" s="1314"/>
      <c r="F309" s="1314"/>
      <c r="I309" s="490"/>
    </row>
    <row r="310" spans="1:9" ht="14.25">
      <c r="A310" s="484"/>
      <c r="B310" s="484"/>
      <c r="D310" s="1314"/>
      <c r="E310" s="1314"/>
      <c r="F310" s="1314"/>
      <c r="I310" s="490"/>
    </row>
    <row r="311" spans="1:9" ht="14.25">
      <c r="A311" s="484"/>
      <c r="B311" s="484"/>
      <c r="D311" s="1314"/>
      <c r="E311" s="1314"/>
      <c r="F311" s="1314"/>
      <c r="I311" s="490"/>
    </row>
    <row r="312" spans="1:9" ht="14.25">
      <c r="A312" s="484"/>
      <c r="B312" s="484"/>
      <c r="D312" s="494"/>
      <c r="E312" s="495"/>
      <c r="F312" s="495"/>
      <c r="I312" s="490"/>
    </row>
    <row r="313" spans="1:9" ht="13.7" customHeight="1">
      <c r="B313" s="485" t="s">
        <v>2741</v>
      </c>
      <c r="D313" s="1314" t="s">
        <v>1130</v>
      </c>
      <c r="E313" s="1314"/>
      <c r="F313" s="1314"/>
      <c r="I313" s="490"/>
    </row>
    <row r="314" spans="1:9">
      <c r="D314" s="1314"/>
      <c r="E314" s="1314"/>
      <c r="F314" s="1314"/>
      <c r="I314" s="490"/>
    </row>
    <row r="315" spans="1:9" ht="14.25">
      <c r="A315" s="484"/>
      <c r="B315" s="484"/>
      <c r="D315" s="494"/>
      <c r="E315" s="495"/>
      <c r="F315" s="495"/>
      <c r="I315" s="490"/>
    </row>
    <row r="316" spans="1:9">
      <c r="B316" s="485" t="s">
        <v>2741</v>
      </c>
      <c r="D316" s="1291" t="s">
        <v>1131</v>
      </c>
      <c r="E316" s="1291"/>
      <c r="F316" s="1291"/>
      <c r="I316" s="490"/>
    </row>
    <row r="317" spans="1:9">
      <c r="E317" s="446"/>
      <c r="F317" s="446"/>
      <c r="I317" s="490"/>
    </row>
    <row r="318" spans="1:9" ht="14.25">
      <c r="A318" s="484"/>
      <c r="B318" s="485" t="s">
        <v>2741</v>
      </c>
      <c r="D318" s="1290" t="s">
        <v>2199</v>
      </c>
      <c r="E318" s="1290"/>
      <c r="F318" s="1290"/>
      <c r="I318" s="490"/>
    </row>
    <row r="319" spans="1:9" ht="14.25">
      <c r="A319" s="484"/>
      <c r="B319" s="484"/>
      <c r="D319" s="1290"/>
      <c r="E319" s="1290"/>
      <c r="F319" s="1290"/>
      <c r="I319" s="490"/>
    </row>
    <row r="320" spans="1:9" ht="14.25">
      <c r="A320" s="484"/>
      <c r="B320" s="484"/>
      <c r="D320" s="1290"/>
      <c r="E320" s="1290"/>
      <c r="F320" s="1290"/>
      <c r="I320" s="490"/>
    </row>
    <row r="321" spans="1:9" ht="14.25">
      <c r="A321" s="484"/>
      <c r="B321" s="484"/>
      <c r="D321" s="1290"/>
      <c r="E321" s="1290"/>
      <c r="F321" s="1290"/>
      <c r="I321" s="490"/>
    </row>
    <row r="322" spans="1:9" ht="14.25">
      <c r="A322" s="484"/>
      <c r="B322" s="484"/>
      <c r="D322" s="1290"/>
      <c r="E322" s="1290"/>
      <c r="F322" s="1290"/>
      <c r="I322" s="490"/>
    </row>
    <row r="323" spans="1:9" ht="14.25">
      <c r="A323" s="484"/>
      <c r="B323" s="484"/>
      <c r="D323" s="1290"/>
      <c r="E323" s="1290"/>
      <c r="F323" s="1290"/>
      <c r="I323" s="490"/>
    </row>
    <row r="324" spans="1:9" ht="14.25">
      <c r="A324" s="484"/>
      <c r="B324" s="484"/>
      <c r="D324" s="1290"/>
      <c r="E324" s="1290"/>
      <c r="F324" s="1290"/>
      <c r="I324" s="490"/>
    </row>
    <row r="325" spans="1:9" ht="14.25">
      <c r="A325" s="484"/>
      <c r="B325" s="484"/>
      <c r="D325" s="1290"/>
      <c r="E325" s="1290"/>
      <c r="F325" s="1290"/>
      <c r="I325" s="490"/>
    </row>
    <row r="326" spans="1:9" ht="14.25">
      <c r="A326" s="484"/>
      <c r="B326" s="484"/>
      <c r="D326" s="1290"/>
      <c r="E326" s="1290"/>
      <c r="F326" s="1290"/>
      <c r="I326" s="490"/>
    </row>
    <row r="327" spans="1:9" ht="14.25">
      <c r="A327" s="484"/>
      <c r="B327" s="484"/>
      <c r="D327" s="1290"/>
      <c r="E327" s="1290"/>
      <c r="F327" s="1290"/>
      <c r="I327" s="490"/>
    </row>
    <row r="328" spans="1:9" ht="14.25">
      <c r="A328" s="484"/>
      <c r="B328" s="484"/>
      <c r="D328" s="1290"/>
      <c r="E328" s="1290"/>
      <c r="F328" s="1290"/>
      <c r="I328" s="490"/>
    </row>
    <row r="329" spans="1:9" ht="14.25">
      <c r="A329" s="484"/>
      <c r="B329" s="484"/>
      <c r="D329" s="1290"/>
      <c r="E329" s="1290"/>
      <c r="F329" s="1290"/>
      <c r="I329" s="490"/>
    </row>
    <row r="330" spans="1:9" ht="14.25">
      <c r="A330" s="484"/>
      <c r="B330" s="484"/>
      <c r="D330" s="1290"/>
      <c r="E330" s="1290"/>
      <c r="F330" s="1290"/>
      <c r="I330" s="490"/>
    </row>
    <row r="331" spans="1:9" ht="14.25">
      <c r="A331" s="484"/>
      <c r="B331" s="484"/>
      <c r="D331" s="1290"/>
      <c r="E331" s="1290"/>
      <c r="F331" s="1290"/>
      <c r="I331" s="490"/>
    </row>
    <row r="332" spans="1:9" ht="14.25">
      <c r="A332" s="484"/>
      <c r="B332" s="484"/>
      <c r="D332" s="1290"/>
      <c r="E332" s="1290"/>
      <c r="F332" s="1290"/>
      <c r="I332" s="490"/>
    </row>
    <row r="333" spans="1:9">
      <c r="D333" s="446"/>
      <c r="E333" s="446"/>
      <c r="F333" s="446"/>
      <c r="I333" s="490"/>
    </row>
    <row r="334" spans="1:9" ht="14.25">
      <c r="A334" s="484"/>
      <c r="B334" s="485" t="s">
        <v>2741</v>
      </c>
      <c r="D334" s="1290" t="s">
        <v>1132</v>
      </c>
      <c r="E334" s="1290"/>
      <c r="F334" s="1290"/>
      <c r="I334" s="490"/>
    </row>
    <row r="335" spans="1:9">
      <c r="D335" s="1290"/>
      <c r="E335" s="1290"/>
      <c r="F335" s="1290"/>
      <c r="I335" s="490"/>
    </row>
    <row r="336" spans="1:9">
      <c r="D336" s="1290"/>
      <c r="E336" s="1290"/>
      <c r="F336" s="1290"/>
      <c r="I336" s="490"/>
    </row>
    <row r="337" spans="1:9">
      <c r="D337" s="1290"/>
      <c r="E337" s="1290"/>
      <c r="F337" s="1290"/>
      <c r="I337" s="490"/>
    </row>
    <row r="338" spans="1:9">
      <c r="D338" s="1290"/>
      <c r="E338" s="1290"/>
      <c r="F338" s="1290"/>
      <c r="I338" s="490"/>
    </row>
    <row r="339" spans="1:9">
      <c r="D339" s="1290"/>
      <c r="E339" s="1290"/>
      <c r="F339" s="1290"/>
      <c r="I339" s="490"/>
    </row>
    <row r="340" spans="1:9">
      <c r="D340" s="1290"/>
      <c r="E340" s="1290"/>
      <c r="F340" s="1290"/>
      <c r="I340" s="490"/>
    </row>
    <row r="341" spans="1:9">
      <c r="D341" s="1290"/>
      <c r="E341" s="1290"/>
      <c r="F341" s="1290"/>
      <c r="I341" s="490"/>
    </row>
    <row r="342" spans="1:9">
      <c r="D342" s="1290"/>
      <c r="E342" s="1290"/>
      <c r="F342" s="1290"/>
      <c r="I342" s="490"/>
    </row>
    <row r="343" spans="1:9">
      <c r="D343" s="446"/>
      <c r="E343" s="446"/>
      <c r="F343" s="446"/>
      <c r="I343" s="490"/>
    </row>
    <row r="344" spans="1:9" ht="14.25" customHeight="1">
      <c r="A344" s="484"/>
      <c r="B344" s="485" t="s">
        <v>2741</v>
      </c>
      <c r="D344" s="1290" t="s">
        <v>1876</v>
      </c>
      <c r="E344" s="1290"/>
      <c r="F344" s="1290"/>
      <c r="I344" s="490"/>
    </row>
    <row r="345" spans="1:9">
      <c r="D345" s="1290"/>
      <c r="E345" s="1290"/>
      <c r="F345" s="1290"/>
      <c r="I345" s="490"/>
    </row>
    <row r="346" spans="1:9">
      <c r="D346" s="1290"/>
      <c r="E346" s="1290"/>
      <c r="F346" s="1290"/>
      <c r="I346" s="490"/>
    </row>
    <row r="347" spans="1:9">
      <c r="D347" s="1290"/>
      <c r="E347" s="1290"/>
      <c r="F347" s="1290"/>
      <c r="I347" s="490"/>
    </row>
    <row r="348" spans="1:9">
      <c r="D348" s="386" t="s">
        <v>1875</v>
      </c>
      <c r="E348" s="385"/>
      <c r="F348" s="385"/>
      <c r="I348" s="490"/>
    </row>
    <row r="349" spans="1:9">
      <c r="D349" s="385"/>
      <c r="E349" s="96" t="s">
        <v>1872</v>
      </c>
      <c r="G349" s="96"/>
      <c r="I349" s="490"/>
    </row>
    <row r="350" spans="1:9">
      <c r="D350" s="445"/>
      <c r="E350" s="445"/>
      <c r="F350" s="445"/>
      <c r="I350" s="490"/>
    </row>
    <row r="351" spans="1:9" ht="13.5" thickBot="1">
      <c r="A351" s="1017"/>
      <c r="B351" s="1017"/>
      <c r="C351" s="1017"/>
      <c r="D351" s="1323" t="s">
        <v>979</v>
      </c>
      <c r="E351" s="1323"/>
      <c r="F351" s="1323"/>
      <c r="G351" s="1022"/>
      <c r="H351" s="1022"/>
      <c r="I351" s="1150"/>
    </row>
    <row r="352" spans="1:9" ht="13.5" thickTop="1">
      <c r="D352" s="1322" t="s">
        <v>2200</v>
      </c>
      <c r="E352" s="1322"/>
      <c r="F352" s="1322"/>
      <c r="I352" s="490"/>
    </row>
    <row r="353" spans="1:9">
      <c r="D353" s="446"/>
      <c r="E353" s="446"/>
      <c r="F353" s="446"/>
      <c r="I353" s="490"/>
    </row>
    <row r="354" spans="1:9">
      <c r="A354" s="476"/>
      <c r="B354" s="476"/>
      <c r="C354" s="476"/>
      <c r="D354" s="447"/>
      <c r="E354" s="447"/>
      <c r="F354" s="446"/>
      <c r="I354" s="490"/>
    </row>
    <row r="355" spans="1:9" ht="14.25">
      <c r="A355" s="484"/>
      <c r="B355" s="485" t="s">
        <v>2741</v>
      </c>
      <c r="C355" s="487"/>
      <c r="D355" s="1291" t="s">
        <v>1874</v>
      </c>
      <c r="E355" s="1291"/>
      <c r="F355" s="1291"/>
      <c r="I355" s="490"/>
    </row>
    <row r="356" spans="1:9" ht="12.75" customHeight="1">
      <c r="D356" s="1032"/>
      <c r="E356" s="96" t="s">
        <v>1873</v>
      </c>
      <c r="F356" s="1032"/>
      <c r="I356" s="490"/>
    </row>
    <row r="357" spans="1:9">
      <c r="D357" s="1290" t="s">
        <v>1239</v>
      </c>
      <c r="E357" s="1290"/>
      <c r="F357" s="1290"/>
      <c r="I357" s="490"/>
    </row>
    <row r="358" spans="1:9">
      <c r="D358" s="1290"/>
      <c r="E358" s="1290"/>
      <c r="F358" s="1290"/>
      <c r="I358" s="490"/>
    </row>
    <row r="359" spans="1:9">
      <c r="D359" s="1290"/>
      <c r="E359" s="1290"/>
      <c r="F359" s="1290"/>
      <c r="I359" s="490"/>
    </row>
    <row r="360" spans="1:9" ht="14.25">
      <c r="A360" s="484"/>
      <c r="B360" s="485" t="s">
        <v>2741</v>
      </c>
      <c r="C360" s="476"/>
      <c r="D360" s="1304" t="s">
        <v>2017</v>
      </c>
      <c r="E360" s="1304"/>
      <c r="F360" s="1304"/>
      <c r="I360" s="480"/>
    </row>
    <row r="361" spans="1:9">
      <c r="A361" s="476"/>
      <c r="B361" s="476"/>
      <c r="C361" s="476"/>
      <c r="D361" s="447"/>
      <c r="E361" s="447"/>
      <c r="F361" s="446"/>
      <c r="I361" s="490"/>
    </row>
    <row r="362" spans="1:9">
      <c r="A362" s="476"/>
      <c r="B362" s="485" t="s">
        <v>2741</v>
      </c>
      <c r="C362" s="476"/>
      <c r="D362" s="1269" t="s">
        <v>2018</v>
      </c>
      <c r="E362" s="1269"/>
      <c r="F362" s="1269"/>
      <c r="I362" s="490"/>
    </row>
    <row r="363" spans="1:9">
      <c r="A363" s="476"/>
      <c r="B363" s="476"/>
      <c r="C363" s="476"/>
      <c r="D363" s="1269"/>
      <c r="E363" s="1269"/>
      <c r="F363" s="1269"/>
      <c r="I363" s="490"/>
    </row>
    <row r="364" spans="1:9">
      <c r="A364" s="476"/>
      <c r="B364" s="476"/>
      <c r="C364" s="476"/>
      <c r="D364" s="1269"/>
      <c r="E364" s="1269"/>
      <c r="F364" s="1269"/>
      <c r="I364" s="490"/>
    </row>
    <row r="365" spans="1:9">
      <c r="A365" s="476"/>
      <c r="B365" s="476"/>
      <c r="C365" s="476"/>
      <c r="D365" s="1269"/>
      <c r="E365" s="1269"/>
      <c r="F365" s="1269"/>
      <c r="I365" s="490"/>
    </row>
    <row r="366" spans="1:9">
      <c r="A366" s="476"/>
      <c r="B366" s="476"/>
      <c r="C366" s="476"/>
      <c r="D366" s="1269"/>
      <c r="E366" s="1269"/>
      <c r="F366" s="1269"/>
      <c r="I366" s="490"/>
    </row>
    <row r="367" spans="1:9">
      <c r="A367" s="476"/>
      <c r="B367" s="476"/>
      <c r="C367" s="476"/>
      <c r="D367" s="1269"/>
      <c r="E367" s="1269"/>
      <c r="F367" s="1269"/>
      <c r="I367" s="490"/>
    </row>
    <row r="368" spans="1:9">
      <c r="A368" s="476"/>
      <c r="B368" s="476"/>
      <c r="C368" s="476"/>
      <c r="D368" s="1269"/>
      <c r="E368" s="1269"/>
      <c r="F368" s="1269"/>
      <c r="I368" s="490"/>
    </row>
    <row r="369" spans="1:9">
      <c r="A369" s="476"/>
      <c r="B369" s="476"/>
      <c r="C369" s="476"/>
      <c r="D369" s="1269"/>
      <c r="E369" s="1269"/>
      <c r="F369" s="1269"/>
      <c r="I369" s="490"/>
    </row>
    <row r="370" spans="1:9">
      <c r="A370" s="476"/>
      <c r="B370" s="476"/>
      <c r="C370" s="476"/>
      <c r="D370" s="1269"/>
      <c r="E370" s="1269"/>
      <c r="F370" s="1269"/>
      <c r="I370" s="490"/>
    </row>
    <row r="371" spans="1:9">
      <c r="A371" s="476"/>
      <c r="B371" s="476"/>
      <c r="C371" s="476"/>
      <c r="D371" s="1269"/>
      <c r="E371" s="1269"/>
      <c r="F371" s="1269"/>
      <c r="I371" s="490"/>
    </row>
    <row r="372" spans="1:9">
      <c r="A372" s="476"/>
      <c r="B372" s="476"/>
      <c r="C372" s="476"/>
      <c r="D372" s="1269"/>
      <c r="E372" s="1269"/>
      <c r="F372" s="1269"/>
      <c r="I372" s="490"/>
    </row>
    <row r="373" spans="1:9">
      <c r="A373" s="476"/>
      <c r="B373" s="476"/>
      <c r="C373" s="476"/>
      <c r="D373" s="1269"/>
      <c r="E373" s="1269"/>
      <c r="F373" s="1269"/>
      <c r="I373" s="490"/>
    </row>
    <row r="374" spans="1:9">
      <c r="A374" s="476"/>
      <c r="B374" s="476"/>
      <c r="C374" s="476"/>
      <c r="D374" s="451"/>
      <c r="E374" s="451"/>
      <c r="F374" s="451"/>
      <c r="I374" s="490"/>
    </row>
    <row r="375" spans="1:9" ht="12.4" customHeight="1">
      <c r="A375" s="476"/>
      <c r="B375" s="485" t="s">
        <v>2741</v>
      </c>
      <c r="C375" s="476"/>
      <c r="D375" s="1286" t="s">
        <v>1221</v>
      </c>
      <c r="E375" s="1286"/>
      <c r="F375" s="1286"/>
      <c r="I375" s="490"/>
    </row>
    <row r="376" spans="1:9">
      <c r="A376" s="476"/>
      <c r="B376" s="476"/>
      <c r="C376" s="476"/>
      <c r="D376" s="1286"/>
      <c r="E376" s="1286"/>
      <c r="F376" s="1286"/>
      <c r="I376" s="490"/>
    </row>
    <row r="377" spans="1:9">
      <c r="A377" s="476"/>
      <c r="B377" s="476"/>
      <c r="C377" s="476"/>
      <c r="D377" s="1286"/>
      <c r="E377" s="1286"/>
      <c r="F377" s="1286"/>
      <c r="I377" s="490"/>
    </row>
    <row r="378" spans="1:9">
      <c r="A378" s="476"/>
      <c r="B378" s="476"/>
      <c r="C378" s="476"/>
      <c r="D378" s="1286"/>
      <c r="E378" s="1286"/>
      <c r="F378" s="1286"/>
      <c r="I378" s="490"/>
    </row>
    <row r="379" spans="1:9">
      <c r="A379" s="476"/>
      <c r="B379" s="476"/>
      <c r="C379" s="476"/>
      <c r="D379" s="524"/>
      <c r="E379" s="524"/>
      <c r="F379" s="524"/>
      <c r="I379" s="490"/>
    </row>
    <row r="380" spans="1:9">
      <c r="A380" s="476"/>
      <c r="B380" s="485" t="s">
        <v>2741</v>
      </c>
      <c r="C380" s="476"/>
      <c r="D380" s="402" t="s">
        <v>1811</v>
      </c>
      <c r="E380" s="524"/>
      <c r="F380" s="524"/>
      <c r="I380" s="490"/>
    </row>
    <row r="381" spans="1:9">
      <c r="A381" s="476"/>
      <c r="B381" s="476"/>
      <c r="C381" s="476"/>
      <c r="D381" s="402" t="s">
        <v>1812</v>
      </c>
      <c r="E381" s="524"/>
      <c r="F381" s="524"/>
      <c r="I381" s="490"/>
    </row>
    <row r="382" spans="1:9">
      <c r="A382" s="476"/>
      <c r="B382" s="476"/>
      <c r="C382" s="476"/>
      <c r="D382" s="402" t="s">
        <v>1813</v>
      </c>
      <c r="E382" s="524"/>
      <c r="F382" s="524"/>
      <c r="I382" s="490"/>
    </row>
    <row r="383" spans="1:9">
      <c r="A383" s="476"/>
      <c r="B383" s="476"/>
      <c r="C383" s="476"/>
      <c r="D383" s="402" t="s">
        <v>1814</v>
      </c>
      <c r="E383" s="524"/>
      <c r="F383" s="524"/>
      <c r="I383" s="490"/>
    </row>
    <row r="384" spans="1:9">
      <c r="A384" s="476"/>
      <c r="B384" s="476"/>
      <c r="C384" s="476"/>
      <c r="D384" s="402" t="s">
        <v>1815</v>
      </c>
      <c r="E384" s="524"/>
      <c r="F384" s="524"/>
      <c r="I384" s="490"/>
    </row>
    <row r="385" spans="1:9">
      <c r="A385" s="476"/>
      <c r="B385" s="476"/>
      <c r="C385" s="476"/>
      <c r="D385" s="402" t="s">
        <v>1816</v>
      </c>
      <c r="E385" s="524"/>
      <c r="F385" s="524"/>
      <c r="I385" s="490"/>
    </row>
    <row r="386" spans="1:9">
      <c r="A386" s="476"/>
      <c r="B386" s="476"/>
      <c r="C386" s="476"/>
      <c r="E386" s="447"/>
      <c r="F386" s="446"/>
      <c r="I386" s="490"/>
    </row>
    <row r="387" spans="1:9" ht="14.25">
      <c r="A387" s="484"/>
      <c r="B387" s="485" t="s">
        <v>2741</v>
      </c>
      <c r="C387" s="476"/>
      <c r="D387" s="1269" t="s">
        <v>1133</v>
      </c>
      <c r="E387" s="1269"/>
      <c r="F387" s="1269"/>
      <c r="I387" s="490"/>
    </row>
    <row r="388" spans="1:9">
      <c r="A388" s="476"/>
      <c r="B388" s="476"/>
      <c r="C388" s="476"/>
      <c r="D388" s="1269"/>
      <c r="E388" s="1269"/>
      <c r="F388" s="1269"/>
      <c r="I388" s="490"/>
    </row>
    <row r="389" spans="1:9">
      <c r="A389" s="476"/>
      <c r="B389" s="476"/>
      <c r="C389" s="476"/>
      <c r="D389" s="1269"/>
      <c r="E389" s="1269"/>
      <c r="F389" s="1269"/>
      <c r="I389" s="490"/>
    </row>
    <row r="390" spans="1:9">
      <c r="A390" s="476"/>
      <c r="B390" s="476"/>
      <c r="C390" s="476"/>
      <c r="D390" s="1269"/>
      <c r="E390" s="1269"/>
      <c r="F390" s="1269"/>
      <c r="I390" s="490"/>
    </row>
    <row r="391" spans="1:9">
      <c r="A391" s="476"/>
      <c r="B391" s="476"/>
      <c r="C391" s="476"/>
      <c r="D391" s="447"/>
      <c r="E391" s="447"/>
      <c r="F391" s="446"/>
      <c r="I391" s="490"/>
    </row>
    <row r="392" spans="1:9">
      <c r="A392" s="476"/>
      <c r="B392" s="476"/>
      <c r="C392" s="476"/>
      <c r="D392" s="1269" t="s">
        <v>1134</v>
      </c>
      <c r="E392" s="1269"/>
      <c r="F392" s="1269"/>
      <c r="I392" s="490"/>
    </row>
    <row r="393" spans="1:9">
      <c r="A393" s="476"/>
      <c r="B393" s="476"/>
      <c r="C393" s="476"/>
      <c r="D393" s="1269"/>
      <c r="E393" s="1269"/>
      <c r="F393" s="1269"/>
      <c r="I393" s="490"/>
    </row>
    <row r="394" spans="1:9">
      <c r="A394" s="476"/>
      <c r="B394" s="476"/>
      <c r="C394" s="476"/>
      <c r="D394" s="1269"/>
      <c r="E394" s="1269"/>
      <c r="F394" s="1269"/>
      <c r="I394" s="490"/>
    </row>
    <row r="395" spans="1:9">
      <c r="A395" s="476"/>
      <c r="B395" s="476"/>
      <c r="C395" s="476"/>
      <c r="D395" s="1269"/>
      <c r="E395" s="1269"/>
      <c r="F395" s="1269"/>
      <c r="I395" s="490"/>
    </row>
    <row r="396" spans="1:9" ht="18" customHeight="1">
      <c r="A396" s="476"/>
      <c r="B396" s="476"/>
      <c r="C396" s="476"/>
      <c r="D396" s="1269"/>
      <c r="E396" s="1269"/>
      <c r="F396" s="1269"/>
      <c r="I396" s="490"/>
    </row>
    <row r="397" spans="1:9">
      <c r="A397" s="476"/>
      <c r="B397" s="476"/>
      <c r="C397" s="476"/>
      <c r="D397" s="1269"/>
      <c r="E397" s="1269"/>
      <c r="F397" s="1269"/>
      <c r="I397" s="490"/>
    </row>
    <row r="398" spans="1:9">
      <c r="A398" s="476"/>
      <c r="B398" s="476"/>
      <c r="C398" s="476"/>
      <c r="D398" s="1269"/>
      <c r="E398" s="1269"/>
      <c r="F398" s="1269"/>
      <c r="I398" s="490"/>
    </row>
    <row r="399" spans="1:9">
      <c r="A399" s="476"/>
      <c r="B399" s="476"/>
      <c r="C399" s="476"/>
      <c r="D399" s="1269"/>
      <c r="E399" s="1269"/>
      <c r="F399" s="1269"/>
      <c r="I399" s="490"/>
    </row>
    <row r="400" spans="1:9" ht="8.25" customHeight="1">
      <c r="A400" s="476"/>
      <c r="B400" s="476"/>
      <c r="C400" s="476"/>
      <c r="D400" s="1269"/>
      <c r="E400" s="1269"/>
      <c r="F400" s="1269"/>
      <c r="I400" s="490"/>
    </row>
    <row r="401" spans="1:9" ht="13.7" customHeight="1">
      <c r="A401" s="476"/>
      <c r="B401" s="476"/>
      <c r="C401" s="476"/>
      <c r="D401" s="1269" t="s">
        <v>1135</v>
      </c>
      <c r="E401" s="1269"/>
      <c r="F401" s="1269"/>
      <c r="I401" s="490"/>
    </row>
    <row r="402" spans="1:9">
      <c r="A402" s="476"/>
      <c r="B402" s="476"/>
      <c r="C402" s="476"/>
      <c r="D402" s="1269"/>
      <c r="E402" s="1269"/>
      <c r="F402" s="1269"/>
      <c r="I402" s="490"/>
    </row>
    <row r="403" spans="1:9">
      <c r="A403" s="476"/>
      <c r="B403" s="476"/>
      <c r="C403" s="476"/>
      <c r="D403" s="1269"/>
      <c r="E403" s="1269"/>
      <c r="F403" s="1269"/>
      <c r="I403" s="490"/>
    </row>
    <row r="404" spans="1:9">
      <c r="A404" s="476"/>
      <c r="B404" s="476"/>
      <c r="C404" s="476"/>
      <c r="D404" s="1269"/>
      <c r="E404" s="1269"/>
      <c r="F404" s="1269"/>
      <c r="I404" s="490"/>
    </row>
    <row r="405" spans="1:9">
      <c r="A405" s="476"/>
      <c r="B405" s="476"/>
      <c r="C405" s="476"/>
      <c r="D405" s="1269"/>
      <c r="E405" s="1269"/>
      <c r="F405" s="1269"/>
      <c r="I405" s="490"/>
    </row>
    <row r="406" spans="1:9">
      <c r="A406" s="476"/>
      <c r="B406" s="476"/>
      <c r="C406" s="476"/>
      <c r="D406" s="1269"/>
      <c r="E406" s="1269"/>
      <c r="F406" s="1269"/>
      <c r="I406" s="490"/>
    </row>
    <row r="407" spans="1:9">
      <c r="A407" s="476"/>
      <c r="B407" s="476"/>
      <c r="C407" s="476"/>
      <c r="D407" s="1269"/>
      <c r="E407" s="1269"/>
      <c r="F407" s="1269"/>
      <c r="I407" s="490"/>
    </row>
    <row r="408" spans="1:9">
      <c r="A408" s="476"/>
      <c r="B408" s="476"/>
      <c r="C408" s="476"/>
      <c r="D408" s="1269"/>
      <c r="E408" s="1269"/>
      <c r="F408" s="1269"/>
      <c r="I408" s="490"/>
    </row>
    <row r="409" spans="1:9">
      <c r="A409" s="476"/>
      <c r="B409" s="476"/>
      <c r="C409" s="476"/>
      <c r="D409" s="1269"/>
      <c r="E409" s="1269"/>
      <c r="F409" s="1269"/>
      <c r="I409" s="490"/>
    </row>
    <row r="410" spans="1:9">
      <c r="A410" s="476"/>
      <c r="B410" s="476"/>
      <c r="C410" s="476"/>
      <c r="D410" s="1269"/>
      <c r="E410" s="1269"/>
      <c r="F410" s="1269"/>
      <c r="I410" s="490"/>
    </row>
    <row r="411" spans="1:9">
      <c r="A411" s="476"/>
      <c r="B411" s="476"/>
      <c r="C411" s="476"/>
      <c r="D411" s="1269"/>
      <c r="E411" s="1269"/>
      <c r="F411" s="1269"/>
      <c r="I411" s="490"/>
    </row>
    <row r="412" spans="1:9">
      <c r="A412" s="476"/>
      <c r="B412" s="476"/>
      <c r="C412" s="476"/>
      <c r="D412" s="1269"/>
      <c r="E412" s="1269"/>
      <c r="F412" s="1269"/>
      <c r="I412" s="490"/>
    </row>
    <row r="413" spans="1:9">
      <c r="A413" s="476"/>
      <c r="B413" s="476"/>
      <c r="C413" s="496"/>
      <c r="D413" s="1269"/>
      <c r="E413" s="1269"/>
      <c r="F413" s="1269"/>
      <c r="I413" s="490"/>
    </row>
    <row r="414" spans="1:9">
      <c r="A414" s="476"/>
      <c r="B414" s="476"/>
      <c r="C414" s="496"/>
      <c r="D414" s="1269"/>
      <c r="E414" s="1269"/>
      <c r="F414" s="1269"/>
      <c r="I414" s="490"/>
    </row>
    <row r="415" spans="1:9">
      <c r="A415" s="476"/>
      <c r="B415" s="476"/>
      <c r="C415" s="476"/>
      <c r="D415" s="1269"/>
      <c r="E415" s="1269"/>
      <c r="F415" s="1269"/>
      <c r="I415" s="490"/>
    </row>
    <row r="416" spans="1:9">
      <c r="A416" s="476"/>
      <c r="B416" s="476"/>
      <c r="C416" s="496"/>
      <c r="D416" s="1269"/>
      <c r="E416" s="1269"/>
      <c r="F416" s="1269"/>
      <c r="I416" s="490"/>
    </row>
    <row r="417" spans="1:9">
      <c r="A417" s="476"/>
      <c r="B417" s="476"/>
      <c r="C417" s="496"/>
      <c r="D417" s="1269"/>
      <c r="E417" s="1269"/>
      <c r="F417" s="1269"/>
      <c r="I417" s="490"/>
    </row>
    <row r="418" spans="1:9">
      <c r="A418" s="476"/>
      <c r="B418" s="476"/>
      <c r="C418" s="496"/>
      <c r="D418" s="1269"/>
      <c r="E418" s="1269"/>
      <c r="F418" s="1269"/>
      <c r="I418" s="490"/>
    </row>
    <row r="419" spans="1:9">
      <c r="A419" s="476"/>
      <c r="B419" s="476"/>
      <c r="C419" s="476"/>
      <c r="D419" s="447"/>
      <c r="E419" s="447"/>
      <c r="F419" s="446"/>
      <c r="I419" s="490"/>
    </row>
    <row r="420" spans="1:9">
      <c r="A420" s="476"/>
      <c r="B420" s="485" t="s">
        <v>2741</v>
      </c>
      <c r="C420" s="476"/>
      <c r="D420" s="1269" t="s">
        <v>1136</v>
      </c>
      <c r="E420" s="1269"/>
      <c r="F420" s="1269"/>
      <c r="I420" s="490"/>
    </row>
    <row r="421" spans="1:9">
      <c r="A421" s="476"/>
      <c r="B421" s="476"/>
      <c r="C421" s="476"/>
      <c r="D421" s="1269"/>
      <c r="E421" s="1269"/>
      <c r="F421" s="1269"/>
      <c r="I421" s="490"/>
    </row>
    <row r="422" spans="1:9">
      <c r="A422" s="476"/>
      <c r="B422" s="476"/>
      <c r="C422" s="476"/>
      <c r="D422" s="451"/>
      <c r="E422" s="451"/>
      <c r="F422" s="451"/>
      <c r="I422" s="490"/>
    </row>
    <row r="423" spans="1:9" ht="14.45" customHeight="1">
      <c r="A423" s="484"/>
      <c r="B423" s="485" t="s">
        <v>2741</v>
      </c>
      <c r="D423" s="1269" t="s">
        <v>1856</v>
      </c>
      <c r="E423" s="1269"/>
      <c r="F423" s="1269"/>
      <c r="I423" s="490"/>
    </row>
    <row r="424" spans="1:9" ht="14.45" customHeight="1">
      <c r="A424" s="484"/>
      <c r="D424" s="1269"/>
      <c r="E424" s="1269"/>
      <c r="F424" s="1269"/>
      <c r="I424" s="490"/>
    </row>
    <row r="425" spans="1:9" ht="14.45" customHeight="1">
      <c r="A425" s="484"/>
      <c r="D425" s="1269"/>
      <c r="E425" s="1269"/>
      <c r="F425" s="1269"/>
      <c r="I425" s="490"/>
    </row>
    <row r="426" spans="1:9" ht="14.45" customHeight="1">
      <c r="A426" s="484"/>
      <c r="D426" s="1269"/>
      <c r="E426" s="1269"/>
      <c r="F426" s="1269"/>
      <c r="I426" s="490"/>
    </row>
    <row r="427" spans="1:9" ht="14.45" customHeight="1">
      <c r="A427" s="484"/>
      <c r="D427" s="1269"/>
      <c r="E427" s="1269"/>
      <c r="F427" s="1269"/>
      <c r="I427" s="490"/>
    </row>
    <row r="428" spans="1:9" ht="14.45" customHeight="1">
      <c r="A428" s="484"/>
      <c r="D428" s="385"/>
      <c r="E428" s="385"/>
      <c r="F428" s="385"/>
      <c r="I428" s="490"/>
    </row>
    <row r="429" spans="1:9" ht="13.7" customHeight="1">
      <c r="A429" s="484"/>
      <c r="B429" s="485" t="s">
        <v>2741</v>
      </c>
      <c r="C429" s="476"/>
      <c r="D429" s="1269" t="s">
        <v>1240</v>
      </c>
      <c r="E429" s="1269"/>
      <c r="F429" s="1269"/>
      <c r="I429" s="490"/>
    </row>
    <row r="430" spans="1:9" ht="14.25">
      <c r="A430" s="497"/>
      <c r="B430" s="497"/>
      <c r="C430" s="476"/>
      <c r="D430" s="1269"/>
      <c r="E430" s="1269"/>
      <c r="F430" s="1269"/>
      <c r="I430" s="490"/>
    </row>
    <row r="431" spans="1:9" ht="14.25">
      <c r="A431" s="497"/>
      <c r="B431" s="497"/>
      <c r="C431" s="476"/>
      <c r="D431" s="1269"/>
      <c r="E431" s="1269"/>
      <c r="F431" s="1269"/>
      <c r="I431" s="490"/>
    </row>
    <row r="432" spans="1:9" ht="14.25">
      <c r="A432" s="497"/>
      <c r="B432" s="497"/>
      <c r="C432" s="476"/>
      <c r="D432" s="1269"/>
      <c r="E432" s="1269"/>
      <c r="F432" s="1269"/>
      <c r="I432" s="490"/>
    </row>
    <row r="433" spans="1:9" ht="15.75" customHeight="1">
      <c r="A433" s="497"/>
      <c r="B433" s="497"/>
      <c r="C433" s="476"/>
      <c r="D433" s="1296" t="s">
        <v>2614</v>
      </c>
      <c r="E433" s="1269"/>
      <c r="F433" s="1269"/>
      <c r="I433" s="490"/>
    </row>
    <row r="434" spans="1:9">
      <c r="D434" s="446"/>
      <c r="E434" s="446"/>
      <c r="F434" s="446"/>
      <c r="I434" s="490"/>
    </row>
    <row r="435" spans="1:9" ht="14.25">
      <c r="A435" s="484"/>
      <c r="B435" s="485" t="s">
        <v>2741</v>
      </c>
      <c r="C435" s="487"/>
      <c r="D435" s="1290" t="s">
        <v>2019</v>
      </c>
      <c r="E435" s="1290"/>
      <c r="F435" s="1290"/>
      <c r="I435" s="490"/>
    </row>
    <row r="436" spans="1:9" ht="14.25">
      <c r="A436" s="484"/>
      <c r="B436" s="484"/>
      <c r="D436" s="1290"/>
      <c r="E436" s="1290"/>
      <c r="F436" s="1290"/>
      <c r="I436" s="490"/>
    </row>
    <row r="437" spans="1:9">
      <c r="D437" s="1290"/>
      <c r="E437" s="1290"/>
      <c r="F437" s="1290"/>
      <c r="I437" s="490"/>
    </row>
    <row r="438" spans="1:9">
      <c r="D438" s="1290"/>
      <c r="E438" s="1290"/>
      <c r="F438" s="1290"/>
      <c r="I438" s="490"/>
    </row>
    <row r="439" spans="1:9">
      <c r="D439" s="1290"/>
      <c r="E439" s="1290"/>
      <c r="F439" s="1290"/>
      <c r="I439" s="490"/>
    </row>
    <row r="440" spans="1:9">
      <c r="D440" s="1290"/>
      <c r="E440" s="1290"/>
      <c r="F440" s="1290"/>
      <c r="I440" s="490"/>
    </row>
    <row r="441" spans="1:9">
      <c r="D441" s="1290"/>
      <c r="E441" s="1290"/>
      <c r="F441" s="1290"/>
      <c r="I441" s="490"/>
    </row>
    <row r="442" spans="1:9">
      <c r="D442" s="1290"/>
      <c r="E442" s="1290"/>
      <c r="F442" s="1290"/>
      <c r="I442" s="490"/>
    </row>
    <row r="443" spans="1:9">
      <c r="D443" s="1290"/>
      <c r="E443" s="1290"/>
      <c r="F443" s="1290"/>
      <c r="I443" s="490"/>
    </row>
    <row r="444" spans="1:9">
      <c r="D444" s="1290"/>
      <c r="E444" s="1290"/>
      <c r="F444" s="1290"/>
      <c r="I444" s="490"/>
    </row>
    <row r="445" spans="1:9">
      <c r="D445" s="1290"/>
      <c r="E445" s="1290"/>
      <c r="F445" s="1290"/>
      <c r="I445" s="490"/>
    </row>
    <row r="446" spans="1:9">
      <c r="D446" s="1290"/>
      <c r="E446" s="1290"/>
      <c r="F446" s="1290"/>
      <c r="I446" s="490"/>
    </row>
    <row r="447" spans="1:9">
      <c r="D447" s="1290"/>
      <c r="E447" s="1290"/>
      <c r="F447" s="1290"/>
      <c r="I447" s="490"/>
    </row>
    <row r="448" spans="1:9">
      <c r="A448" s="402"/>
      <c r="B448" s="402"/>
      <c r="C448" s="402"/>
      <c r="D448" s="1290"/>
      <c r="E448" s="1290"/>
      <c r="F448" s="1290"/>
      <c r="I448" s="490"/>
    </row>
    <row r="449" spans="1:9">
      <c r="A449" s="402"/>
      <c r="B449" s="402"/>
      <c r="C449" s="402"/>
      <c r="D449" s="1290"/>
      <c r="E449" s="1290"/>
      <c r="F449" s="1290"/>
      <c r="I449" s="490"/>
    </row>
    <row r="450" spans="1:9">
      <c r="A450" s="402"/>
      <c r="B450" s="402"/>
      <c r="C450" s="402"/>
      <c r="D450" s="1290"/>
      <c r="E450" s="1290"/>
      <c r="F450" s="1290"/>
      <c r="I450" s="490"/>
    </row>
    <row r="451" spans="1:9">
      <c r="A451" s="402"/>
      <c r="B451" s="402"/>
      <c r="C451" s="402"/>
      <c r="D451" s="1290"/>
      <c r="E451" s="1290"/>
      <c r="F451" s="1290"/>
      <c r="I451" s="490"/>
    </row>
    <row r="452" spans="1:9">
      <c r="A452" s="402"/>
      <c r="B452" s="402"/>
      <c r="C452" s="402"/>
      <c r="D452" s="1290"/>
      <c r="E452" s="1290"/>
      <c r="F452" s="1290"/>
      <c r="I452" s="490"/>
    </row>
    <row r="453" spans="1:9">
      <c r="A453" s="402"/>
      <c r="B453" s="402"/>
      <c r="C453" s="402"/>
      <c r="D453" s="1290"/>
      <c r="E453" s="1290"/>
      <c r="F453" s="1290"/>
      <c r="I453" s="490"/>
    </row>
    <row r="454" spans="1:9">
      <c r="A454" s="402"/>
      <c r="B454" s="402"/>
      <c r="C454" s="402"/>
      <c r="D454" s="1290"/>
      <c r="E454" s="1290"/>
      <c r="F454" s="1290"/>
      <c r="I454" s="490"/>
    </row>
    <row r="455" spans="1:9">
      <c r="A455" s="402"/>
      <c r="B455" s="402"/>
      <c r="C455" s="402"/>
      <c r="D455" s="1290"/>
      <c r="E455" s="1290"/>
      <c r="F455" s="1290"/>
      <c r="I455" s="490"/>
    </row>
    <row r="456" spans="1:9">
      <c r="A456" s="402"/>
      <c r="B456" s="402"/>
      <c r="C456" s="402"/>
      <c r="D456" s="1290"/>
      <c r="E456" s="1290"/>
      <c r="F456" s="1290"/>
      <c r="I456" s="490"/>
    </row>
    <row r="457" spans="1:9">
      <c r="A457" s="402"/>
      <c r="B457" s="402"/>
      <c r="C457" s="402"/>
      <c r="D457" s="1290"/>
      <c r="E457" s="1290"/>
      <c r="F457" s="1290"/>
      <c r="I457" s="490"/>
    </row>
    <row r="458" spans="1:9">
      <c r="A458" s="402"/>
      <c r="B458" s="402"/>
      <c r="C458" s="402"/>
      <c r="D458" s="1290"/>
      <c r="E458" s="1290"/>
      <c r="F458" s="1290"/>
      <c r="I458" s="490"/>
    </row>
    <row r="459" spans="1:9">
      <c r="A459" s="402"/>
      <c r="B459" s="402"/>
      <c r="C459" s="402"/>
      <c r="D459" s="1290"/>
      <c r="E459" s="1290"/>
      <c r="F459" s="1290"/>
      <c r="I459" s="490"/>
    </row>
    <row r="460" spans="1:9">
      <c r="A460" s="402"/>
      <c r="B460" s="402"/>
      <c r="C460" s="402"/>
      <c r="D460" s="1290"/>
      <c r="E460" s="1290"/>
      <c r="F460" s="1290"/>
      <c r="I460" s="490"/>
    </row>
    <row r="461" spans="1:9">
      <c r="A461" s="402"/>
      <c r="B461" s="402"/>
      <c r="C461" s="402"/>
      <c r="D461" s="1290"/>
      <c r="E461" s="1290"/>
      <c r="F461" s="1290"/>
      <c r="I461" s="490"/>
    </row>
    <row r="462" spans="1:9">
      <c r="A462" s="402"/>
      <c r="B462" s="402"/>
      <c r="C462" s="402"/>
      <c r="D462" s="1290"/>
      <c r="E462" s="1290"/>
      <c r="F462" s="1290"/>
      <c r="I462" s="490"/>
    </row>
    <row r="463" spans="1:9">
      <c r="A463" s="402"/>
      <c r="B463" s="402"/>
      <c r="C463" s="402"/>
      <c r="D463" s="1290"/>
      <c r="E463" s="1290"/>
      <c r="F463" s="1290"/>
      <c r="I463" s="490"/>
    </row>
    <row r="464" spans="1:9">
      <c r="D464" s="1290"/>
      <c r="E464" s="1290"/>
      <c r="F464" s="1290"/>
      <c r="I464" s="490"/>
    </row>
    <row r="465" spans="1:9" ht="40.700000000000003" customHeight="1">
      <c r="D465" s="1290"/>
      <c r="E465" s="1290"/>
      <c r="F465" s="1290"/>
      <c r="I465" s="490"/>
    </row>
    <row r="466" spans="1:9">
      <c r="D466" s="446"/>
      <c r="E466" s="446"/>
      <c r="F466" s="446"/>
      <c r="I466" s="490"/>
    </row>
    <row r="467" spans="1:9" ht="14.25">
      <c r="A467" s="484"/>
      <c r="B467" s="485" t="s">
        <v>2741</v>
      </c>
      <c r="C467" s="487"/>
      <c r="D467" s="1290" t="s">
        <v>1137</v>
      </c>
      <c r="E467" s="1290"/>
      <c r="F467" s="1290"/>
      <c r="I467" s="490"/>
    </row>
    <row r="468" spans="1:9">
      <c r="D468" s="1290"/>
      <c r="E468" s="1290"/>
      <c r="F468" s="1290"/>
      <c r="I468" s="490"/>
    </row>
    <row r="469" spans="1:9">
      <c r="D469" s="1290"/>
      <c r="E469" s="1290"/>
      <c r="F469" s="1290"/>
      <c r="I469" s="490"/>
    </row>
    <row r="470" spans="1:9">
      <c r="D470" s="445"/>
      <c r="E470" s="445"/>
      <c r="F470" s="445"/>
      <c r="I470" s="490"/>
    </row>
    <row r="471" spans="1:9" ht="14.25">
      <c r="B471" s="485" t="s">
        <v>2741</v>
      </c>
      <c r="C471" s="484"/>
      <c r="D471" s="1290" t="s">
        <v>1197</v>
      </c>
      <c r="E471" s="1290"/>
      <c r="F471" s="1290"/>
      <c r="I471" s="490"/>
    </row>
    <row r="472" spans="1:9">
      <c r="D472" s="1290"/>
      <c r="E472" s="1290"/>
      <c r="F472" s="1290"/>
      <c r="I472" s="490"/>
    </row>
    <row r="473" spans="1:9">
      <c r="D473" s="446"/>
      <c r="E473" s="446"/>
      <c r="F473" s="446"/>
      <c r="I473" s="490"/>
    </row>
    <row r="474" spans="1:9" ht="14.25">
      <c r="B474" s="485" t="s">
        <v>2741</v>
      </c>
      <c r="C474" s="484"/>
      <c r="D474" s="1290" t="s">
        <v>1138</v>
      </c>
      <c r="E474" s="1290"/>
      <c r="F474" s="1290"/>
      <c r="I474" s="490"/>
    </row>
    <row r="475" spans="1:9">
      <c r="D475" s="1290"/>
      <c r="E475" s="1290"/>
      <c r="F475" s="1290"/>
      <c r="I475" s="490"/>
    </row>
    <row r="476" spans="1:9">
      <c r="D476" s="1290"/>
      <c r="E476" s="1290"/>
      <c r="F476" s="1290"/>
      <c r="I476" s="490"/>
    </row>
    <row r="477" spans="1:9">
      <c r="D477" s="1290"/>
      <c r="E477" s="1290"/>
      <c r="F477" s="1290"/>
      <c r="I477" s="490"/>
    </row>
    <row r="478" spans="1:9">
      <c r="B478" s="485" t="s">
        <v>2741</v>
      </c>
      <c r="D478" s="1290"/>
      <c r="E478" s="1290"/>
      <c r="F478" s="1290"/>
      <c r="I478" s="490"/>
    </row>
    <row r="479" spans="1:9">
      <c r="A479" s="402"/>
      <c r="B479" s="402"/>
      <c r="C479" s="402"/>
      <c r="D479" s="1290"/>
      <c r="E479" s="1290"/>
      <c r="F479" s="1290"/>
      <c r="I479" s="490"/>
    </row>
    <row r="480" spans="1:9">
      <c r="A480" s="402"/>
      <c r="C480" s="402"/>
      <c r="D480" s="1290"/>
      <c r="E480" s="1290"/>
      <c r="F480" s="1290"/>
      <c r="I480" s="490"/>
    </row>
    <row r="481" spans="1:9">
      <c r="A481" s="402"/>
      <c r="B481" s="485" t="s">
        <v>2741</v>
      </c>
      <c r="C481" s="402"/>
      <c r="D481" s="1290"/>
      <c r="E481" s="1290"/>
      <c r="F481" s="1290"/>
      <c r="I481" s="490"/>
    </row>
    <row r="482" spans="1:9">
      <c r="A482" s="402"/>
      <c r="B482" s="402"/>
      <c r="C482" s="402"/>
      <c r="D482" s="1290"/>
      <c r="E482" s="1290"/>
      <c r="F482" s="1290"/>
      <c r="I482" s="490"/>
    </row>
    <row r="483" spans="1:9">
      <c r="A483" s="402"/>
      <c r="C483" s="402"/>
      <c r="D483" s="1290"/>
      <c r="E483" s="1290"/>
      <c r="F483" s="1290"/>
      <c r="I483" s="490"/>
    </row>
    <row r="484" spans="1:9">
      <c r="A484" s="402"/>
      <c r="C484" s="402"/>
      <c r="D484" s="1290"/>
      <c r="E484" s="1290"/>
      <c r="F484" s="1290"/>
      <c r="I484" s="490"/>
    </row>
    <row r="485" spans="1:9">
      <c r="A485" s="402"/>
      <c r="C485" s="402"/>
      <c r="D485" s="1290"/>
      <c r="E485" s="1290"/>
      <c r="F485" s="1290"/>
      <c r="I485" s="490"/>
    </row>
    <row r="486" spans="1:9">
      <c r="A486" s="402"/>
      <c r="B486" s="485" t="s">
        <v>2741</v>
      </c>
      <c r="C486" s="402"/>
      <c r="D486" s="1290"/>
      <c r="E486" s="1290"/>
      <c r="F486" s="1290"/>
      <c r="I486" s="490"/>
    </row>
    <row r="487" spans="1:9">
      <c r="A487" s="402"/>
      <c r="C487" s="402"/>
      <c r="D487" s="1290"/>
      <c r="E487" s="1290"/>
      <c r="F487" s="1290"/>
      <c r="I487" s="490"/>
    </row>
    <row r="488" spans="1:9">
      <c r="A488" s="402"/>
      <c r="B488" s="485" t="s">
        <v>2741</v>
      </c>
      <c r="C488" s="402"/>
      <c r="D488" s="1290" t="s">
        <v>1139</v>
      </c>
      <c r="E488" s="1290"/>
      <c r="F488" s="1290"/>
      <c r="I488" s="490"/>
    </row>
    <row r="489" spans="1:9">
      <c r="A489" s="402"/>
      <c r="B489" s="402"/>
      <c r="C489" s="402"/>
      <c r="D489" s="1290"/>
      <c r="E489" s="1290"/>
      <c r="F489" s="1290"/>
      <c r="I489" s="490"/>
    </row>
    <row r="490" spans="1:9">
      <c r="A490" s="402"/>
      <c r="B490" s="402"/>
      <c r="C490" s="402"/>
      <c r="D490" s="1290"/>
      <c r="E490" s="1290"/>
      <c r="F490" s="1290"/>
      <c r="I490" s="490"/>
    </row>
    <row r="491" spans="1:9">
      <c r="A491" s="402"/>
      <c r="B491" s="402"/>
      <c r="C491" s="402"/>
      <c r="D491" s="1290"/>
      <c r="E491" s="1290"/>
      <c r="F491" s="1290"/>
      <c r="I491" s="490"/>
    </row>
    <row r="492" spans="1:9">
      <c r="D492" s="1290"/>
      <c r="E492" s="1290"/>
      <c r="F492" s="1290"/>
      <c r="I492" s="490"/>
    </row>
    <row r="493" spans="1:9">
      <c r="D493" s="446"/>
      <c r="E493" s="446"/>
      <c r="F493" s="446"/>
      <c r="I493" s="490"/>
    </row>
    <row r="494" spans="1:9">
      <c r="B494" s="485" t="s">
        <v>2741</v>
      </c>
      <c r="D494" s="1291" t="s">
        <v>1140</v>
      </c>
      <c r="E494" s="1291"/>
      <c r="F494" s="1291"/>
      <c r="I494" s="490"/>
    </row>
    <row r="495" spans="1:9">
      <c r="A495" s="446"/>
      <c r="B495" s="446"/>
      <c r="I495" s="490"/>
    </row>
    <row r="496" spans="1:9">
      <c r="A496" s="1293" t="s">
        <v>1050</v>
      </c>
      <c r="B496" s="1293"/>
      <c r="C496" s="1293"/>
      <c r="D496" s="1293"/>
      <c r="E496" s="1293"/>
      <c r="F496" s="1293"/>
      <c r="G496" s="1293"/>
      <c r="H496" s="1023"/>
      <c r="I496" s="1147"/>
    </row>
    <row r="497" spans="1:9">
      <c r="A497" s="446"/>
      <c r="B497" s="446"/>
      <c r="I497" s="490"/>
    </row>
    <row r="498" spans="1:9">
      <c r="D498" s="1303" t="s">
        <v>883</v>
      </c>
      <c r="E498" s="1303"/>
      <c r="F498" s="1303"/>
      <c r="I498" s="490"/>
    </row>
    <row r="499" spans="1:9" ht="14.25">
      <c r="A499" s="484"/>
      <c r="B499" s="484"/>
      <c r="D499" s="1304" t="s">
        <v>1141</v>
      </c>
      <c r="E499" s="1304"/>
      <c r="F499" s="1304"/>
      <c r="I499" s="490"/>
    </row>
    <row r="500" spans="1:9" ht="14.25">
      <c r="A500" s="484"/>
      <c r="B500" s="484"/>
      <c r="D500" s="447"/>
      <c r="I500" s="490"/>
    </row>
    <row r="501" spans="1:9" ht="14.25">
      <c r="A501" s="484"/>
      <c r="B501" s="485" t="s">
        <v>2741</v>
      </c>
      <c r="D501" s="1269" t="s">
        <v>1142</v>
      </c>
      <c r="E501" s="1269"/>
      <c r="F501" s="1269"/>
      <c r="I501" s="490"/>
    </row>
    <row r="502" spans="1:9" ht="14.25">
      <c r="A502" s="484"/>
      <c r="B502" s="484"/>
      <c r="D502" s="1269"/>
      <c r="E502" s="1269"/>
      <c r="F502" s="1269"/>
      <c r="I502" s="490"/>
    </row>
    <row r="503" spans="1:9" ht="14.25">
      <c r="A503" s="484"/>
      <c r="B503" s="484"/>
      <c r="D503" s="446"/>
      <c r="I503" s="490"/>
    </row>
    <row r="504" spans="1:9" ht="12.75" customHeight="1">
      <c r="B504" s="485" t="s">
        <v>2741</v>
      </c>
      <c r="D504" s="1294" t="s">
        <v>1273</v>
      </c>
      <c r="E504" s="1294"/>
      <c r="F504" s="1294"/>
      <c r="I504" s="490"/>
    </row>
    <row r="505" spans="1:9" ht="14.25">
      <c r="A505" s="484"/>
      <c r="D505" s="1294"/>
      <c r="E505" s="1294"/>
      <c r="F505" s="1294"/>
      <c r="I505" s="490"/>
    </row>
    <row r="506" spans="1:9" ht="14.25">
      <c r="A506" s="484"/>
      <c r="B506" s="484"/>
      <c r="D506" s="1294"/>
      <c r="E506" s="1294"/>
      <c r="F506" s="1294"/>
      <c r="I506" s="490"/>
    </row>
    <row r="507" spans="1:9" ht="14.25">
      <c r="A507" s="484"/>
      <c r="B507" s="484"/>
      <c r="D507" s="1294"/>
      <c r="E507" s="1294"/>
      <c r="F507" s="1294"/>
      <c r="I507" s="490"/>
    </row>
    <row r="508" spans="1:9" ht="14.25">
      <c r="A508" s="484"/>
      <c r="D508" s="520"/>
      <c r="E508" s="520"/>
      <c r="F508" s="520"/>
      <c r="I508" s="490"/>
    </row>
    <row r="509" spans="1:9" ht="14.25">
      <c r="A509" s="484"/>
      <c r="B509" s="485" t="s">
        <v>2741</v>
      </c>
      <c r="D509" s="1291" t="s">
        <v>1143</v>
      </c>
      <c r="E509" s="1291"/>
      <c r="F509" s="1291"/>
      <c r="I509" s="490"/>
    </row>
    <row r="510" spans="1:9" ht="14.25">
      <c r="A510" s="484"/>
      <c r="B510" s="484"/>
      <c r="D510" s="446"/>
      <c r="I510" s="490"/>
    </row>
    <row r="511" spans="1:9" ht="14.25">
      <c r="A511" s="484"/>
      <c r="B511" s="485" t="s">
        <v>2741</v>
      </c>
      <c r="D511" s="1290" t="s">
        <v>1144</v>
      </c>
      <c r="E511" s="1290"/>
      <c r="F511" s="1290"/>
      <c r="I511" s="490"/>
    </row>
    <row r="512" spans="1:9" ht="14.25">
      <c r="A512" s="484"/>
      <c r="D512" s="1290"/>
      <c r="E512" s="1290"/>
      <c r="F512" s="1290"/>
      <c r="I512" s="490"/>
    </row>
    <row r="513" spans="1:9">
      <c r="A513" s="490"/>
      <c r="B513" s="490"/>
      <c r="D513" s="447"/>
      <c r="I513" s="490"/>
    </row>
    <row r="514" spans="1:9">
      <c r="A514" s="490"/>
      <c r="B514" s="485" t="s">
        <v>2741</v>
      </c>
      <c r="D514" s="1291" t="s">
        <v>1145</v>
      </c>
      <c r="E514" s="1291"/>
      <c r="F514" s="1291"/>
      <c r="I514" s="490"/>
    </row>
    <row r="515" spans="1:9">
      <c r="D515" s="446"/>
      <c r="E515" s="446"/>
      <c r="F515" s="446"/>
      <c r="I515" s="490"/>
    </row>
    <row r="516" spans="1:9">
      <c r="B516" s="485" t="s">
        <v>2741</v>
      </c>
      <c r="D516" s="1290" t="s">
        <v>2223</v>
      </c>
      <c r="E516" s="1290"/>
      <c r="F516" s="1290"/>
      <c r="I516" s="490"/>
    </row>
    <row r="517" spans="1:9">
      <c r="D517" s="1290"/>
      <c r="E517" s="1290"/>
      <c r="F517" s="1290"/>
      <c r="I517" s="490"/>
    </row>
    <row r="518" spans="1:9">
      <c r="D518" s="1290"/>
      <c r="E518" s="1290"/>
      <c r="F518" s="1290"/>
      <c r="I518" s="490"/>
    </row>
    <row r="519" spans="1:9">
      <c r="D519" s="446"/>
      <c r="E519" s="446"/>
      <c r="F519" s="446"/>
      <c r="I519" s="490"/>
    </row>
    <row r="520" spans="1:9" ht="14.25">
      <c r="A520" s="484"/>
      <c r="B520" s="484"/>
      <c r="D520" s="446"/>
      <c r="I520" s="490"/>
    </row>
    <row r="521" spans="1:9">
      <c r="A521" s="1293" t="s">
        <v>1051</v>
      </c>
      <c r="B521" s="1293"/>
      <c r="C521" s="1293"/>
      <c r="D521" s="1293"/>
      <c r="E521" s="1293"/>
      <c r="F521" s="1293"/>
      <c r="G521" s="1293"/>
      <c r="H521" s="1023"/>
      <c r="I521" s="1147"/>
    </row>
    <row r="522" spans="1:9" ht="12" customHeight="1">
      <c r="A522" s="484"/>
      <c r="B522" s="484"/>
      <c r="D522" s="446"/>
      <c r="I522" s="490"/>
    </row>
    <row r="523" spans="1:9">
      <c r="C523" s="482"/>
      <c r="D523" s="1299" t="s">
        <v>793</v>
      </c>
      <c r="E523" s="1299"/>
      <c r="F523" s="1299"/>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2744</v>
      </c>
      <c r="C527" s="483"/>
      <c r="D527" s="1269" t="s">
        <v>2020</v>
      </c>
      <c r="E527" s="1269"/>
      <c r="F527" s="1269"/>
      <c r="I527" s="490"/>
    </row>
    <row r="528" spans="1:9">
      <c r="A528" s="483"/>
      <c r="B528" s="483"/>
      <c r="C528" s="483"/>
      <c r="D528" s="1269"/>
      <c r="E528" s="1269"/>
      <c r="F528" s="1269"/>
      <c r="I528" s="490"/>
    </row>
    <row r="529" spans="1:9">
      <c r="A529" s="483"/>
      <c r="B529" s="483"/>
      <c r="C529" s="483"/>
      <c r="D529" s="451"/>
      <c r="E529" s="451"/>
      <c r="F529" s="451"/>
      <c r="I529" s="480"/>
    </row>
    <row r="530" spans="1:9" ht="12.75" customHeight="1">
      <c r="A530" s="483"/>
      <c r="B530" s="485" t="s">
        <v>2744</v>
      </c>
      <c r="D530" s="386" t="s">
        <v>1877</v>
      </c>
      <c r="E530" s="385"/>
      <c r="F530" s="385"/>
      <c r="I530" s="490"/>
    </row>
    <row r="531" spans="1:9">
      <c r="A531" s="483"/>
      <c r="B531" s="483"/>
      <c r="C531" s="483"/>
      <c r="D531" s="385"/>
      <c r="E531" s="96" t="s">
        <v>1878</v>
      </c>
      <c r="I531" s="490"/>
    </row>
    <row r="532" spans="1:9">
      <c r="A532" s="483"/>
      <c r="B532" s="483"/>
      <c r="D532" s="1286" t="s">
        <v>2021</v>
      </c>
      <c r="E532" s="1286"/>
      <c r="F532" s="1286"/>
      <c r="I532" s="490"/>
    </row>
    <row r="533" spans="1:9">
      <c r="A533" s="483"/>
      <c r="B533" s="483"/>
      <c r="D533" s="1286"/>
      <c r="E533" s="1286"/>
      <c r="F533" s="1286"/>
      <c r="I533" s="490"/>
    </row>
    <row r="534" spans="1:9">
      <c r="A534" s="483"/>
      <c r="B534" s="483"/>
      <c r="C534" s="483"/>
      <c r="D534" s="1286"/>
      <c r="E534" s="1286"/>
      <c r="F534" s="1286"/>
      <c r="I534" s="490"/>
    </row>
    <row r="535" spans="1:9">
      <c r="A535" s="483"/>
      <c r="B535" s="483"/>
      <c r="C535" s="483"/>
      <c r="D535" s="498"/>
      <c r="F535" s="446"/>
      <c r="I535" s="490"/>
    </row>
    <row r="536" spans="1:9" ht="13.15" customHeight="1">
      <c r="A536" s="483"/>
      <c r="B536" s="485" t="s">
        <v>2744</v>
      </c>
      <c r="C536" s="483"/>
      <c r="D536" s="1290" t="s">
        <v>2638</v>
      </c>
      <c r="E536" s="1290"/>
      <c r="F536" s="1290"/>
      <c r="I536" s="490"/>
    </row>
    <row r="537" spans="1:9" ht="13.15" customHeight="1">
      <c r="A537" s="483"/>
      <c r="B537" s="483"/>
      <c r="C537" s="483"/>
      <c r="D537" s="1290"/>
      <c r="E537" s="1290"/>
      <c r="F537" s="1290"/>
      <c r="I537" s="490"/>
    </row>
    <row r="538" spans="1:9">
      <c r="A538" s="483"/>
      <c r="B538" s="483"/>
      <c r="C538" s="483"/>
      <c r="D538" s="1290"/>
      <c r="E538" s="1290"/>
      <c r="F538" s="1290"/>
      <c r="I538" s="490"/>
    </row>
    <row r="539" spans="1:9" ht="12" customHeight="1">
      <c r="A539" s="446"/>
      <c r="B539" s="446"/>
      <c r="C539" s="487"/>
      <c r="D539" s="446"/>
      <c r="F539" s="448"/>
      <c r="I539" s="490"/>
    </row>
    <row r="540" spans="1:9">
      <c r="A540" s="1293" t="s">
        <v>1052</v>
      </c>
      <c r="B540" s="1293"/>
      <c r="C540" s="1293"/>
      <c r="D540" s="1293"/>
      <c r="E540" s="1293"/>
      <c r="F540" s="1293"/>
      <c r="G540" s="1293"/>
      <c r="H540" s="1023"/>
      <c r="I540" s="1147"/>
    </row>
    <row r="541" spans="1:9">
      <c r="A541" s="446"/>
      <c r="B541" s="446"/>
      <c r="C541" s="487"/>
      <c r="F541" s="448"/>
      <c r="I541" s="490"/>
    </row>
    <row r="542" spans="1:9">
      <c r="B542" s="1297" t="s">
        <v>446</v>
      </c>
      <c r="C542" s="1297"/>
      <c r="D542" s="1297"/>
      <c r="E542" s="1297"/>
      <c r="F542" s="1297"/>
      <c r="I542" s="490"/>
    </row>
    <row r="543" spans="1:9">
      <c r="A543" s="446"/>
      <c r="B543" s="446"/>
      <c r="C543" s="487"/>
      <c r="D543" s="446"/>
      <c r="F543" s="446"/>
      <c r="I543" s="490"/>
    </row>
    <row r="544" spans="1:9">
      <c r="A544" s="1298" t="s">
        <v>1053</v>
      </c>
      <c r="B544" s="1298"/>
      <c r="C544" s="1298"/>
      <c r="D544" s="1298"/>
      <c r="E544" s="1298"/>
      <c r="F544" s="1298"/>
      <c r="G544" s="1298"/>
      <c r="H544" s="1023"/>
      <c r="I544" s="1147"/>
    </row>
    <row r="545" spans="1:9">
      <c r="A545" s="446"/>
      <c r="B545" s="446"/>
      <c r="C545" s="487"/>
      <c r="D545" s="446"/>
      <c r="F545" s="446"/>
      <c r="I545" s="490"/>
    </row>
    <row r="546" spans="1:9">
      <c r="C546" s="487"/>
      <c r="D546" s="1299" t="s">
        <v>683</v>
      </c>
      <c r="E546" s="1299"/>
      <c r="F546" s="1299"/>
      <c r="I546" s="490"/>
    </row>
    <row r="547" spans="1:9">
      <c r="C547" s="487"/>
      <c r="D547" s="1291" t="s">
        <v>1081</v>
      </c>
      <c r="E547" s="1291"/>
      <c r="F547" s="1291"/>
      <c r="I547" s="490"/>
    </row>
    <row r="548" spans="1:9">
      <c r="C548" s="487"/>
      <c r="D548" s="446"/>
      <c r="E548" s="446"/>
      <c r="F548" s="446"/>
      <c r="I548" s="490"/>
    </row>
    <row r="549" spans="1:9" ht="13.7" customHeight="1">
      <c r="A549" s="484"/>
      <c r="B549" s="485" t="s">
        <v>2744</v>
      </c>
      <c r="C549" s="487"/>
      <c r="D549" s="1291" t="s">
        <v>884</v>
      </c>
      <c r="E549" s="1291"/>
      <c r="F549" s="1291"/>
      <c r="I549" s="490"/>
    </row>
    <row r="550" spans="1:9" ht="13.7" customHeight="1">
      <c r="A550" s="487"/>
      <c r="B550" s="487"/>
      <c r="C550" s="487"/>
      <c r="D550" s="446"/>
      <c r="I550" s="490"/>
    </row>
    <row r="551" spans="1:9" ht="14.25">
      <c r="A551" s="484"/>
      <c r="B551" s="485" t="s">
        <v>2744</v>
      </c>
      <c r="C551" s="487"/>
      <c r="D551" s="1290" t="s">
        <v>1082</v>
      </c>
      <c r="E551" s="1290"/>
      <c r="F551" s="1290"/>
      <c r="I551" s="490"/>
    </row>
    <row r="552" spans="1:9">
      <c r="A552" s="487"/>
      <c r="B552" s="487"/>
      <c r="C552" s="487"/>
      <c r="D552" s="1290"/>
      <c r="E552" s="1290"/>
      <c r="F552" s="1290"/>
      <c r="I552" s="490"/>
    </row>
    <row r="553" spans="1:9">
      <c r="A553" s="487"/>
      <c r="B553" s="487"/>
      <c r="C553" s="487"/>
      <c r="D553" s="446"/>
      <c r="E553" s="446"/>
      <c r="F553" s="446"/>
      <c r="I553" s="490"/>
    </row>
    <row r="554" spans="1:9" ht="14.25">
      <c r="A554" s="484"/>
      <c r="B554" s="485" t="s">
        <v>2744</v>
      </c>
      <c r="C554" s="487"/>
      <c r="D554" s="1290" t="s">
        <v>1083</v>
      </c>
      <c r="E554" s="1290"/>
      <c r="F554" s="1290"/>
      <c r="I554" s="490"/>
    </row>
    <row r="555" spans="1:9">
      <c r="A555" s="487"/>
      <c r="B555" s="487"/>
      <c r="C555" s="487"/>
      <c r="D555" s="1290"/>
      <c r="E555" s="1290"/>
      <c r="F555" s="1290"/>
      <c r="I555" s="490"/>
    </row>
    <row r="556" spans="1:9">
      <c r="A556" s="487"/>
      <c r="B556" s="487"/>
      <c r="C556" s="487"/>
      <c r="D556" s="446"/>
      <c r="E556" s="446"/>
      <c r="F556" s="446"/>
      <c r="I556" s="490"/>
    </row>
    <row r="557" spans="1:9" ht="14.25">
      <c r="A557" s="484"/>
      <c r="B557" s="485" t="s">
        <v>2744</v>
      </c>
      <c r="C557" s="487"/>
      <c r="D557" s="1290" t="s">
        <v>1084</v>
      </c>
      <c r="E557" s="1290"/>
      <c r="F557" s="1290"/>
      <c r="I557" s="490"/>
    </row>
    <row r="558" spans="1:9">
      <c r="A558" s="487"/>
      <c r="B558" s="487"/>
      <c r="C558" s="487"/>
      <c r="D558" s="1290"/>
      <c r="E558" s="1290"/>
      <c r="F558" s="1290"/>
      <c r="I558" s="490"/>
    </row>
    <row r="559" spans="1:9">
      <c r="A559" s="487"/>
      <c r="B559" s="487"/>
      <c r="C559" s="487"/>
      <c r="D559" s="446"/>
      <c r="E559" s="446"/>
      <c r="F559" s="446"/>
      <c r="I559" s="490"/>
    </row>
    <row r="560" spans="1:9" ht="14.25">
      <c r="A560" s="484"/>
      <c r="B560" s="485" t="s">
        <v>2744</v>
      </c>
      <c r="C560" s="487"/>
      <c r="D560" s="1290" t="s">
        <v>1085</v>
      </c>
      <c r="E560" s="1290"/>
      <c r="F560" s="1290"/>
      <c r="I560" s="490"/>
    </row>
    <row r="561" spans="1:9">
      <c r="A561" s="487"/>
      <c r="B561" s="487"/>
      <c r="C561" s="487"/>
      <c r="D561" s="1290"/>
      <c r="E561" s="1290"/>
      <c r="F561" s="1290"/>
      <c r="I561" s="490"/>
    </row>
    <row r="562" spans="1:9">
      <c r="A562" s="487"/>
      <c r="B562" s="487"/>
      <c r="C562" s="487"/>
      <c r="D562" s="1290"/>
      <c r="E562" s="1290"/>
      <c r="F562" s="1290"/>
      <c r="I562" s="490"/>
    </row>
    <row r="563" spans="1:9">
      <c r="A563" s="487"/>
      <c r="B563" s="487"/>
      <c r="C563" s="487"/>
      <c r="D563" s="446"/>
      <c r="E563" s="446"/>
      <c r="F563" s="446"/>
      <c r="I563" s="490"/>
    </row>
    <row r="564" spans="1:9" ht="14.25">
      <c r="A564" s="484"/>
      <c r="B564" s="485" t="s">
        <v>2741</v>
      </c>
      <c r="C564" s="487"/>
      <c r="D564" s="1290" t="s">
        <v>2201</v>
      </c>
      <c r="E564" s="1290"/>
      <c r="F564" s="1290"/>
      <c r="I564" s="490"/>
    </row>
    <row r="565" spans="1:9">
      <c r="A565" s="487"/>
      <c r="B565" s="487"/>
      <c r="C565" s="487"/>
      <c r="D565" s="1290"/>
      <c r="E565" s="1290"/>
      <c r="F565" s="1290"/>
      <c r="I565" s="490"/>
    </row>
    <row r="566" spans="1:9">
      <c r="A566" s="487"/>
      <c r="B566" s="487"/>
      <c r="C566" s="487"/>
      <c r="D566" s="446"/>
      <c r="E566" s="446"/>
      <c r="F566" s="446"/>
      <c r="I566" s="490"/>
    </row>
    <row r="567" spans="1:9" ht="14.25">
      <c r="A567" s="484"/>
      <c r="B567" s="485" t="s">
        <v>2744</v>
      </c>
      <c r="C567" s="487"/>
      <c r="D567" s="1290" t="s">
        <v>1086</v>
      </c>
      <c r="E567" s="1290"/>
      <c r="F567" s="1290"/>
      <c r="I567" s="490"/>
    </row>
    <row r="568" spans="1:9">
      <c r="A568" s="487"/>
      <c r="B568" s="487"/>
      <c r="C568" s="487"/>
      <c r="D568" s="1290"/>
      <c r="E568" s="1290"/>
      <c r="F568" s="1290"/>
      <c r="I568" s="490"/>
    </row>
    <row r="569" spans="1:9">
      <c r="A569" s="487"/>
      <c r="B569" s="487"/>
      <c r="C569" s="487"/>
      <c r="D569" s="446"/>
      <c r="E569" s="446"/>
      <c r="F569" s="446"/>
      <c r="I569" s="490"/>
    </row>
    <row r="570" spans="1:9" ht="14.25">
      <c r="A570" s="484"/>
      <c r="B570" s="485" t="s">
        <v>2744</v>
      </c>
      <c r="C570" s="487"/>
      <c r="D570" s="1291" t="s">
        <v>1087</v>
      </c>
      <c r="E570" s="1291"/>
      <c r="F570" s="1291"/>
      <c r="I570" s="490"/>
    </row>
    <row r="571" spans="1:9">
      <c r="A571" s="490"/>
      <c r="B571" s="490"/>
      <c r="C571" s="487"/>
      <c r="D571" s="1291" t="s">
        <v>1880</v>
      </c>
      <c r="E571" s="1291"/>
      <c r="F571" s="1291"/>
      <c r="I571" s="490"/>
    </row>
    <row r="572" spans="1:9">
      <c r="A572" s="490"/>
      <c r="B572" s="490"/>
      <c r="C572" s="487"/>
      <c r="E572" s="96" t="s">
        <v>1879</v>
      </c>
      <c r="F572" s="404"/>
      <c r="I572" s="490"/>
    </row>
    <row r="573" spans="1:9" ht="14.25">
      <c r="A573" s="484"/>
      <c r="B573" s="484"/>
      <c r="C573" s="487"/>
      <c r="E573" s="446"/>
      <c r="F573" s="446"/>
      <c r="I573" s="490"/>
    </row>
    <row r="574" spans="1:9" ht="14.25">
      <c r="A574" s="484"/>
      <c r="B574" s="485" t="s">
        <v>2744</v>
      </c>
      <c r="C574" s="487"/>
      <c r="D574" s="1291" t="s">
        <v>1088</v>
      </c>
      <c r="E574" s="1291"/>
      <c r="F574" s="1291"/>
      <c r="I574" s="490"/>
    </row>
    <row r="575" spans="1:9">
      <c r="C575" s="487"/>
      <c r="D575" s="1290" t="s">
        <v>1089</v>
      </c>
      <c r="E575" s="1290"/>
      <c r="F575" s="1290"/>
      <c r="I575" s="490"/>
    </row>
    <row r="576" spans="1:9">
      <c r="A576" s="487"/>
      <c r="B576" s="487"/>
      <c r="C576" s="487"/>
      <c r="D576" s="1290"/>
      <c r="E576" s="1290"/>
      <c r="F576" s="1290"/>
      <c r="I576" s="490"/>
    </row>
    <row r="577" spans="1:9">
      <c r="A577" s="487"/>
      <c r="B577" s="487"/>
      <c r="C577" s="487"/>
      <c r="D577" s="1290"/>
      <c r="E577" s="1290"/>
      <c r="F577" s="1290"/>
      <c r="I577" s="490"/>
    </row>
    <row r="578" spans="1:9">
      <c r="A578" s="487"/>
      <c r="B578" s="487"/>
      <c r="C578" s="487"/>
      <c r="D578" s="446"/>
      <c r="E578" s="446"/>
      <c r="F578" s="446"/>
      <c r="I578" s="490"/>
    </row>
    <row r="579" spans="1:9" ht="14.25">
      <c r="A579" s="484"/>
      <c r="B579" s="485" t="s">
        <v>2744</v>
      </c>
      <c r="C579" s="487"/>
      <c r="D579" s="1290" t="s">
        <v>2022</v>
      </c>
      <c r="E579" s="1290"/>
      <c r="F579" s="1290"/>
      <c r="I579" s="490"/>
    </row>
    <row r="580" spans="1:9" ht="14.25">
      <c r="A580" s="484"/>
      <c r="B580" s="484"/>
      <c r="C580" s="487"/>
      <c r="D580" s="1290"/>
      <c r="E580" s="1290"/>
      <c r="F580" s="1290"/>
      <c r="I580" s="490"/>
    </row>
    <row r="581" spans="1:9" ht="14.25">
      <c r="A581" s="484"/>
      <c r="B581" s="484"/>
      <c r="C581" s="487"/>
      <c r="D581" s="1290"/>
      <c r="E581" s="1290"/>
      <c r="F581" s="1290"/>
      <c r="I581" s="490"/>
    </row>
    <row r="582" spans="1:9" ht="14.25">
      <c r="A582" s="484"/>
      <c r="B582" s="484"/>
      <c r="C582" s="487"/>
      <c r="D582" s="1290"/>
      <c r="E582" s="1290"/>
      <c r="F582" s="1290"/>
      <c r="I582" s="490"/>
    </row>
    <row r="583" spans="1:9" ht="14.25">
      <c r="A583" s="484"/>
      <c r="B583" s="484"/>
      <c r="C583" s="487"/>
      <c r="D583" s="446"/>
      <c r="E583" s="446"/>
      <c r="F583" s="446"/>
      <c r="I583" s="490"/>
    </row>
    <row r="584" spans="1:9">
      <c r="A584" s="1293" t="s">
        <v>1054</v>
      </c>
      <c r="B584" s="1293"/>
      <c r="C584" s="1293"/>
      <c r="D584" s="1293"/>
      <c r="E584" s="1293"/>
      <c r="F584" s="1293"/>
      <c r="G584" s="1293"/>
      <c r="H584" s="1023"/>
      <c r="I584" s="1147"/>
    </row>
    <row r="585" spans="1:9">
      <c r="A585" s="487"/>
      <c r="B585" s="487"/>
      <c r="C585" s="487"/>
      <c r="E585" s="446"/>
      <c r="F585" s="446"/>
      <c r="I585" s="490"/>
    </row>
    <row r="586" spans="1:9" ht="12.75" customHeight="1">
      <c r="C586" s="482"/>
      <c r="D586" s="1292" t="s">
        <v>210</v>
      </c>
      <c r="E586" s="1292"/>
      <c r="F586" s="1292"/>
      <c r="I586" s="490"/>
    </row>
    <row r="587" spans="1:9">
      <c r="A587" s="483"/>
      <c r="B587" s="483"/>
      <c r="C587" s="483"/>
      <c r="D587" s="1294" t="s">
        <v>1067</v>
      </c>
      <c r="E587" s="1294"/>
      <c r="F587" s="1294"/>
      <c r="I587" s="490"/>
    </row>
    <row r="588" spans="1:9">
      <c r="A588" s="402"/>
      <c r="B588" s="402"/>
      <c r="C588" s="483"/>
      <c r="D588" s="499"/>
      <c r="I588" s="490"/>
    </row>
    <row r="589" spans="1:9" hidden="1">
      <c r="A589" s="483"/>
      <c r="B589" s="485" t="s">
        <v>307</v>
      </c>
      <c r="D589" s="1294" t="s">
        <v>888</v>
      </c>
      <c r="E589" s="1294"/>
      <c r="F589" s="1294"/>
      <c r="I589" s="490"/>
    </row>
    <row r="590" spans="1:9" hidden="1">
      <c r="A590" s="490"/>
      <c r="B590" s="490"/>
      <c r="D590" s="476"/>
      <c r="I590" s="490"/>
    </row>
    <row r="591" spans="1:9">
      <c r="A591" s="490"/>
      <c r="B591" s="485" t="s">
        <v>2744</v>
      </c>
      <c r="D591" s="1294" t="s">
        <v>2023</v>
      </c>
      <c r="E591" s="1294"/>
      <c r="F591" s="1294"/>
      <c r="I591" s="490"/>
    </row>
    <row r="592" spans="1:9">
      <c r="A592" s="490"/>
      <c r="B592" s="490"/>
      <c r="D592" s="1294"/>
      <c r="E592" s="1294"/>
      <c r="F592" s="1294"/>
      <c r="I592" s="490"/>
    </row>
    <row r="593" spans="1:9">
      <c r="A593" s="490"/>
      <c r="B593" s="490"/>
      <c r="D593" s="1294"/>
      <c r="E593" s="1294"/>
      <c r="F593" s="1294"/>
      <c r="I593" s="490"/>
    </row>
    <row r="594" spans="1:9">
      <c r="A594" s="490"/>
      <c r="B594" s="490"/>
      <c r="D594" s="1294"/>
      <c r="E594" s="1294"/>
      <c r="F594" s="1294"/>
      <c r="I594" s="490"/>
    </row>
    <row r="595" spans="1:9">
      <c r="A595" s="490"/>
      <c r="B595" s="485" t="s">
        <v>2741</v>
      </c>
      <c r="D595" s="1294" t="s">
        <v>1068</v>
      </c>
      <c r="E595" s="1294"/>
      <c r="F595" s="1294"/>
      <c r="I595" s="490"/>
    </row>
    <row r="596" spans="1:9">
      <c r="A596" s="490"/>
      <c r="B596" s="490"/>
      <c r="D596" s="1294"/>
      <c r="E596" s="1294"/>
      <c r="F596" s="1294"/>
      <c r="I596" s="490"/>
    </row>
    <row r="597" spans="1:9">
      <c r="A597" s="490"/>
      <c r="B597" s="490"/>
      <c r="D597" s="1294"/>
      <c r="E597" s="1294"/>
      <c r="F597" s="1294"/>
      <c r="I597" s="490"/>
    </row>
    <row r="598" spans="1:9">
      <c r="A598" s="490"/>
      <c r="B598" s="490"/>
      <c r="D598" s="1294"/>
      <c r="E598" s="1294"/>
      <c r="F598" s="1294"/>
      <c r="I598" s="490"/>
    </row>
    <row r="599" spans="1:9">
      <c r="A599" s="490"/>
      <c r="B599" s="490"/>
      <c r="D599" s="440"/>
      <c r="E599" s="440"/>
      <c r="F599" s="440"/>
      <c r="I599" s="490"/>
    </row>
    <row r="600" spans="1:9">
      <c r="A600" s="490"/>
      <c r="B600" s="485" t="s">
        <v>2744</v>
      </c>
      <c r="D600" s="1294" t="s">
        <v>2024</v>
      </c>
      <c r="E600" s="1294"/>
      <c r="F600" s="1294"/>
      <c r="I600" s="490"/>
    </row>
    <row r="601" spans="1:9">
      <c r="A601" s="490"/>
      <c r="B601" s="490"/>
      <c r="D601" s="1294"/>
      <c r="E601" s="1294"/>
      <c r="F601" s="1294"/>
      <c r="I601" s="490"/>
    </row>
    <row r="602" spans="1:9">
      <c r="A602" s="490"/>
      <c r="B602" s="490"/>
      <c r="D602" s="499"/>
      <c r="I602" s="490"/>
    </row>
    <row r="603" spans="1:9">
      <c r="A603" s="490"/>
      <c r="B603" s="485" t="s">
        <v>2741</v>
      </c>
      <c r="D603" s="1294" t="s">
        <v>1069</v>
      </c>
      <c r="E603" s="1294"/>
      <c r="F603" s="1294"/>
      <c r="I603" s="490"/>
    </row>
    <row r="604" spans="1:9">
      <c r="A604" s="490"/>
      <c r="B604" s="490"/>
      <c r="D604" s="1294"/>
      <c r="E604" s="1294"/>
      <c r="F604" s="1294"/>
      <c r="I604" s="490"/>
    </row>
    <row r="605" spans="1:9" ht="14.25">
      <c r="A605" s="484"/>
      <c r="B605" s="484"/>
      <c r="D605" s="499"/>
      <c r="I605" s="490"/>
    </row>
    <row r="606" spans="1:9">
      <c r="A606" s="1293" t="s">
        <v>1055</v>
      </c>
      <c r="B606" s="1293"/>
      <c r="C606" s="1293"/>
      <c r="D606" s="1293"/>
      <c r="E606" s="1293"/>
      <c r="F606" s="1293"/>
      <c r="G606" s="1293"/>
      <c r="H606" s="1023"/>
      <c r="I606" s="1147"/>
    </row>
    <row r="607" spans="1:9">
      <c r="I607" s="490"/>
    </row>
    <row r="608" spans="1:9">
      <c r="D608" s="1299" t="s">
        <v>1107</v>
      </c>
      <c r="E608" s="1299"/>
      <c r="F608" s="1299"/>
      <c r="I608" s="490"/>
    </row>
    <row r="609" spans="1:9">
      <c r="D609" s="1300" t="s">
        <v>1108</v>
      </c>
      <c r="E609" s="1300"/>
      <c r="F609" s="1300"/>
      <c r="I609" s="490"/>
    </row>
    <row r="610" spans="1:9">
      <c r="D610" s="444"/>
      <c r="I610" s="490"/>
    </row>
    <row r="611" spans="1:9" ht="14.25" customHeight="1">
      <c r="A611" s="484"/>
      <c r="B611" s="485" t="s">
        <v>2744</v>
      </c>
      <c r="D611" s="1317" t="s">
        <v>1881</v>
      </c>
      <c r="E611" s="1317"/>
      <c r="F611" s="1317"/>
      <c r="I611" s="490"/>
    </row>
    <row r="612" spans="1:9">
      <c r="D612" s="1317"/>
      <c r="E612" s="1317"/>
      <c r="F612" s="1317"/>
      <c r="I612" s="490"/>
    </row>
    <row r="613" spans="1:9">
      <c r="D613" s="385"/>
      <c r="E613" s="1031" t="s">
        <v>1882</v>
      </c>
      <c r="F613" s="385"/>
      <c r="I613" s="490"/>
    </row>
    <row r="614" spans="1:9">
      <c r="I614" s="490"/>
    </row>
    <row r="615" spans="1:9">
      <c r="A615" s="1293" t="s">
        <v>1056</v>
      </c>
      <c r="B615" s="1293"/>
      <c r="C615" s="1293"/>
      <c r="D615" s="1293"/>
      <c r="E615" s="1293"/>
      <c r="F615" s="1293"/>
      <c r="G615" s="1293"/>
      <c r="H615" s="1023"/>
      <c r="I615" s="1147"/>
    </row>
    <row r="616" spans="1:9">
      <c r="A616" s="446"/>
      <c r="B616" s="446"/>
      <c r="I616" s="490"/>
    </row>
    <row r="617" spans="1:9">
      <c r="A617" s="482"/>
      <c r="B617" s="482"/>
      <c r="C617" s="482"/>
      <c r="D617" s="1324" t="s">
        <v>1109</v>
      </c>
      <c r="E617" s="1324"/>
      <c r="F617" s="1324"/>
      <c r="I617" s="490"/>
    </row>
    <row r="618" spans="1:9">
      <c r="A618" s="482"/>
      <c r="B618" s="482"/>
      <c r="C618" s="482"/>
      <c r="D618" s="1324"/>
      <c r="E618" s="1324"/>
      <c r="F618" s="1324"/>
      <c r="I618" s="490"/>
    </row>
    <row r="619" spans="1:9">
      <c r="C619" s="483"/>
      <c r="D619" s="1300" t="s">
        <v>1110</v>
      </c>
      <c r="E619" s="1300"/>
      <c r="F619" s="1300"/>
      <c r="I619" s="490"/>
    </row>
    <row r="620" spans="1:9">
      <c r="C620" s="483"/>
      <c r="D620" s="444"/>
      <c r="E620" s="444"/>
      <c r="F620" s="444"/>
      <c r="I620" s="490"/>
    </row>
    <row r="621" spans="1:9">
      <c r="B621" s="485" t="s">
        <v>2744</v>
      </c>
      <c r="C621" s="483"/>
      <c r="D621" s="1306" t="s">
        <v>2605</v>
      </c>
      <c r="E621" s="1306"/>
      <c r="F621" s="1306"/>
      <c r="I621" s="490"/>
    </row>
    <row r="622" spans="1:9">
      <c r="C622" s="483"/>
      <c r="D622" s="444"/>
      <c r="E622" s="444"/>
      <c r="F622" s="444"/>
      <c r="I622" s="490"/>
    </row>
    <row r="623" spans="1:9" ht="12.75" customHeight="1">
      <c r="A623" s="490"/>
      <c r="B623" s="485" t="s">
        <v>2744</v>
      </c>
      <c r="D623" s="1301" t="s">
        <v>1111</v>
      </c>
      <c r="E623" s="1301"/>
      <c r="F623" s="1301"/>
      <c r="I623" s="490"/>
    </row>
    <row r="624" spans="1:9">
      <c r="D624" s="1301"/>
      <c r="E624" s="1301"/>
      <c r="F624" s="1301"/>
      <c r="I624" s="490"/>
    </row>
    <row r="625" spans="1:9">
      <c r="I625" s="490"/>
    </row>
    <row r="626" spans="1:9">
      <c r="B626" s="485" t="s">
        <v>2744</v>
      </c>
      <c r="D626" s="1301" t="s">
        <v>1112</v>
      </c>
      <c r="E626" s="1301"/>
      <c r="F626" s="1301"/>
      <c r="I626" s="490"/>
    </row>
    <row r="627" spans="1:9">
      <c r="C627" s="500"/>
      <c r="D627" s="1301"/>
      <c r="E627" s="1301"/>
      <c r="F627" s="1301"/>
      <c r="I627" s="490"/>
    </row>
    <row r="628" spans="1:9">
      <c r="C628" s="500"/>
      <c r="I628" s="490"/>
    </row>
    <row r="629" spans="1:9">
      <c r="B629" s="485" t="s">
        <v>2741</v>
      </c>
      <c r="C629" s="500"/>
      <c r="D629" s="1301" t="s">
        <v>1113</v>
      </c>
      <c r="E629" s="1301"/>
      <c r="F629" s="1301"/>
      <c r="I629" s="490"/>
    </row>
    <row r="630" spans="1:9">
      <c r="C630" s="500"/>
      <c r="D630" s="1301"/>
      <c r="E630" s="1301"/>
      <c r="F630" s="1301"/>
      <c r="I630" s="500"/>
    </row>
    <row r="631" spans="1:9">
      <c r="C631" s="500"/>
      <c r="I631" s="490"/>
    </row>
    <row r="632" spans="1:9">
      <c r="B632" s="485" t="s">
        <v>2744</v>
      </c>
      <c r="C632" s="500"/>
      <c r="D632" s="1306" t="s">
        <v>2550</v>
      </c>
      <c r="E632" s="1306"/>
      <c r="F632" s="1306"/>
      <c r="I632" s="490"/>
    </row>
    <row r="633" spans="1:9">
      <c r="C633" s="500"/>
      <c r="I633" s="490"/>
    </row>
    <row r="634" spans="1:9">
      <c r="A634" s="1293" t="s">
        <v>1057</v>
      </c>
      <c r="B634" s="1293"/>
      <c r="C634" s="1293"/>
      <c r="D634" s="1293"/>
      <c r="E634" s="1293"/>
      <c r="F634" s="1293"/>
      <c r="G634" s="1293"/>
      <c r="H634" s="1023"/>
      <c r="I634" s="1147"/>
    </row>
    <row r="635" spans="1:9">
      <c r="A635" s="482"/>
      <c r="B635" s="482"/>
      <c r="C635" s="482"/>
      <c r="I635" s="490"/>
    </row>
    <row r="636" spans="1:9">
      <c r="C636" s="490"/>
      <c r="D636" s="1299" t="s">
        <v>1114</v>
      </c>
      <c r="E636" s="1299"/>
      <c r="F636" s="1299"/>
      <c r="I636" s="490"/>
    </row>
    <row r="637" spans="1:9">
      <c r="A637" s="490"/>
      <c r="B637" s="490"/>
      <c r="D637" s="404"/>
      <c r="I637" s="490"/>
    </row>
    <row r="638" spans="1:9" ht="14.25" customHeight="1">
      <c r="A638" s="484"/>
      <c r="B638" s="485" t="s">
        <v>2744</v>
      </c>
      <c r="D638" s="1317" t="s">
        <v>2025</v>
      </c>
      <c r="E638" s="1317"/>
      <c r="F638" s="1317"/>
      <c r="I638" s="490"/>
    </row>
    <row r="639" spans="1:9">
      <c r="D639" s="1317"/>
      <c r="E639" s="1317"/>
      <c r="F639" s="1317"/>
      <c r="I639" s="490"/>
    </row>
    <row r="640" spans="1:9">
      <c r="D640" s="385"/>
      <c r="E640" s="1031" t="s">
        <v>1884</v>
      </c>
      <c r="F640" s="385"/>
      <c r="I640" s="490"/>
    </row>
    <row r="641" spans="1:9">
      <c r="D641" s="1290" t="s">
        <v>1883</v>
      </c>
      <c r="E641" s="1290"/>
      <c r="F641" s="1290"/>
      <c r="I641" s="490"/>
    </row>
    <row r="642" spans="1:9">
      <c r="D642" s="1290"/>
      <c r="E642" s="1290"/>
      <c r="F642" s="1290"/>
      <c r="I642" s="490"/>
    </row>
    <row r="643" spans="1:9">
      <c r="D643" s="1290"/>
      <c r="E643" s="1290"/>
      <c r="F643" s="1290"/>
      <c r="I643" s="490"/>
    </row>
    <row r="644" spans="1:9">
      <c r="D644" s="445"/>
      <c r="E644" s="445"/>
      <c r="F644" s="445"/>
      <c r="I644" s="490"/>
    </row>
    <row r="645" spans="1:9" ht="14.25">
      <c r="A645" s="484"/>
      <c r="B645" s="485" t="s">
        <v>2741</v>
      </c>
      <c r="D645" s="1290" t="s">
        <v>1115</v>
      </c>
      <c r="E645" s="1290"/>
      <c r="F645" s="1290"/>
      <c r="I645" s="490"/>
    </row>
    <row r="646" spans="1:9">
      <c r="A646" s="487"/>
      <c r="B646" s="487"/>
      <c r="C646" s="487"/>
      <c r="D646" s="1290"/>
      <c r="E646" s="1290"/>
      <c r="F646" s="1290"/>
      <c r="I646" s="490"/>
    </row>
    <row r="647" spans="1:9">
      <c r="A647" s="487"/>
      <c r="B647" s="487"/>
      <c r="C647" s="487"/>
      <c r="D647" s="446"/>
      <c r="E647" s="446"/>
      <c r="F647" s="446"/>
      <c r="I647" s="490"/>
    </row>
    <row r="648" spans="1:9" ht="14.25">
      <c r="A648" s="484"/>
      <c r="B648" s="485" t="s">
        <v>2741</v>
      </c>
      <c r="C648" s="487"/>
      <c r="D648" s="1290" t="s">
        <v>1225</v>
      </c>
      <c r="E648" s="1290"/>
      <c r="F648" s="1290"/>
      <c r="I648" s="490"/>
    </row>
    <row r="649" spans="1:9" ht="14.25">
      <c r="A649" s="484"/>
      <c r="B649" s="484"/>
      <c r="C649" s="487"/>
      <c r="D649" s="1290"/>
      <c r="E649" s="1290"/>
      <c r="F649" s="1290"/>
      <c r="I649" s="490"/>
    </row>
    <row r="650" spans="1:9" ht="14.25">
      <c r="A650" s="484"/>
      <c r="B650" s="484"/>
      <c r="C650" s="487"/>
      <c r="D650" s="1290"/>
      <c r="E650" s="1290"/>
      <c r="F650" s="1290"/>
      <c r="I650" s="490"/>
    </row>
    <row r="651" spans="1:9">
      <c r="A651" s="487"/>
      <c r="B651" s="485" t="s">
        <v>2741</v>
      </c>
      <c r="C651" s="487"/>
      <c r="D651" s="1291" t="s">
        <v>1116</v>
      </c>
      <c r="E651" s="1291"/>
      <c r="F651" s="1291"/>
      <c r="I651" s="490"/>
    </row>
    <row r="652" spans="1:9">
      <c r="A652" s="487"/>
      <c r="B652" s="487"/>
      <c r="C652" s="487"/>
      <c r="D652" s="446"/>
      <c r="E652" s="446"/>
      <c r="F652" s="446"/>
      <c r="I652" s="490"/>
    </row>
    <row r="653" spans="1:9">
      <c r="A653" s="1293" t="s">
        <v>1058</v>
      </c>
      <c r="B653" s="1293"/>
      <c r="C653" s="1293"/>
      <c r="D653" s="1293"/>
      <c r="E653" s="1293"/>
      <c r="F653" s="1293"/>
      <c r="G653" s="1293"/>
      <c r="H653" s="1023"/>
      <c r="I653" s="1147"/>
    </row>
    <row r="654" spans="1:9">
      <c r="A654" s="446"/>
      <c r="B654" s="446"/>
      <c r="C654" s="487"/>
      <c r="D654" s="446"/>
      <c r="E654" s="446"/>
      <c r="F654" s="446"/>
      <c r="I654" s="490"/>
    </row>
    <row r="655" spans="1:9">
      <c r="C655" s="482"/>
      <c r="D655" s="1299" t="s">
        <v>1146</v>
      </c>
      <c r="E655" s="1299"/>
      <c r="F655" s="1299"/>
      <c r="I655" s="490"/>
    </row>
    <row r="656" spans="1:9">
      <c r="A656" s="483"/>
      <c r="B656" s="483"/>
      <c r="C656" s="483"/>
      <c r="D656" s="1291" t="s">
        <v>1147</v>
      </c>
      <c r="E656" s="1291"/>
      <c r="F656" s="1291"/>
      <c r="I656" s="490"/>
    </row>
    <row r="657" spans="1:9">
      <c r="A657" s="483"/>
      <c r="B657" s="483"/>
      <c r="C657" s="483"/>
      <c r="D657" s="446"/>
      <c r="E657" s="446"/>
      <c r="F657" s="446"/>
      <c r="I657" s="490"/>
    </row>
    <row r="658" spans="1:9" ht="12.75" customHeight="1">
      <c r="B658" s="485" t="s">
        <v>2741</v>
      </c>
      <c r="C658" s="487"/>
      <c r="D658" s="1290" t="s">
        <v>1281</v>
      </c>
      <c r="E658" s="1290"/>
      <c r="F658" s="1290"/>
      <c r="I658" s="490"/>
    </row>
    <row r="659" spans="1:9">
      <c r="D659" s="1290"/>
      <c r="E659" s="1290"/>
      <c r="F659" s="1290"/>
      <c r="I659" s="490"/>
    </row>
    <row r="660" spans="1:9">
      <c r="D660" s="1290"/>
      <c r="E660" s="1290"/>
      <c r="F660" s="1290"/>
      <c r="I660" s="490"/>
    </row>
    <row r="661" spans="1:9">
      <c r="D661" s="1290"/>
      <c r="E661" s="1290"/>
      <c r="F661" s="1290"/>
      <c r="I661" s="490"/>
    </row>
    <row r="662" spans="1:9" ht="14.45" customHeight="1">
      <c r="A662" s="484"/>
      <c r="B662" s="484"/>
      <c r="C662" s="487"/>
      <c r="D662" s="385"/>
      <c r="E662" s="385"/>
      <c r="F662" s="385"/>
      <c r="I662" s="490"/>
    </row>
    <row r="663" spans="1:9" ht="12.75" customHeight="1">
      <c r="A663" s="483"/>
      <c r="B663" s="485" t="s">
        <v>2741</v>
      </c>
      <c r="C663" s="487"/>
      <c r="D663" s="1290" t="s">
        <v>1283</v>
      </c>
      <c r="E663" s="1290"/>
      <c r="F663" s="1290"/>
      <c r="I663" s="490"/>
    </row>
    <row r="664" spans="1:9" ht="14.25">
      <c r="A664" s="483"/>
      <c r="B664" s="484"/>
      <c r="C664" s="487"/>
      <c r="D664" s="1290"/>
      <c r="E664" s="1290"/>
      <c r="F664" s="1290"/>
      <c r="I664" s="490"/>
    </row>
    <row r="665" spans="1:9" ht="14.25">
      <c r="A665" s="483"/>
      <c r="B665" s="484"/>
      <c r="C665" s="487"/>
      <c r="D665" s="1290"/>
      <c r="E665" s="1290"/>
      <c r="F665" s="1290"/>
      <c r="I665" s="490"/>
    </row>
    <row r="666" spans="1:9" ht="14.25">
      <c r="A666" s="483"/>
      <c r="B666" s="484"/>
      <c r="C666" s="487"/>
      <c r="D666" s="1290"/>
      <c r="E666" s="1290"/>
      <c r="F666" s="1290"/>
      <c r="I666" s="490"/>
    </row>
    <row r="667" spans="1:9" ht="14.25">
      <c r="A667" s="483"/>
      <c r="B667" s="484"/>
      <c r="C667" s="487"/>
      <c r="D667" s="1290"/>
      <c r="E667" s="1290"/>
      <c r="F667" s="1290"/>
      <c r="I667" s="490"/>
    </row>
    <row r="668" spans="1:9" ht="14.25" customHeight="1">
      <c r="A668" s="483"/>
      <c r="B668" s="484"/>
      <c r="C668" s="487"/>
      <c r="F668" s="386"/>
      <c r="I668" s="490"/>
    </row>
    <row r="669" spans="1:9" ht="12.75" customHeight="1">
      <c r="A669" s="483"/>
      <c r="B669" s="485" t="s">
        <v>2741</v>
      </c>
      <c r="C669" s="487"/>
      <c r="D669" s="1290" t="s">
        <v>1282</v>
      </c>
      <c r="E669" s="1290"/>
      <c r="F669" s="1290"/>
      <c r="I669" s="490"/>
    </row>
    <row r="670" spans="1:9" ht="14.25">
      <c r="A670" s="483"/>
      <c r="B670" s="484"/>
      <c r="C670" s="487"/>
      <c r="D670" s="1290"/>
      <c r="E670" s="1290"/>
      <c r="F670" s="1290"/>
      <c r="I670" s="490"/>
    </row>
    <row r="671" spans="1:9" ht="14.25">
      <c r="A671" s="484"/>
      <c r="B671" s="484"/>
      <c r="C671" s="487"/>
      <c r="D671" s="1290"/>
      <c r="E671" s="1290"/>
      <c r="F671" s="1290"/>
      <c r="I671" s="490"/>
    </row>
    <row r="672" spans="1:9" ht="14.25">
      <c r="A672" s="484"/>
      <c r="B672" s="484"/>
      <c r="C672" s="487"/>
      <c r="D672" s="1290"/>
      <c r="E672" s="1290"/>
      <c r="F672" s="1290"/>
      <c r="I672" s="490"/>
    </row>
    <row r="673" spans="1:11" ht="14.25">
      <c r="A673" s="484"/>
      <c r="B673" s="484"/>
      <c r="C673" s="487"/>
      <c r="D673" s="445"/>
      <c r="E673" s="445"/>
      <c r="F673" s="445"/>
      <c r="I673" s="490"/>
    </row>
    <row r="674" spans="1:11" ht="12.75" customHeight="1">
      <c r="A674" s="483"/>
      <c r="B674" s="485" t="s">
        <v>2741</v>
      </c>
      <c r="C674" s="487"/>
      <c r="D674" s="1290" t="s">
        <v>2026</v>
      </c>
      <c r="E674" s="1290"/>
      <c r="F674" s="1290"/>
      <c r="I674" s="490"/>
    </row>
    <row r="675" spans="1:11" ht="12.75" customHeight="1">
      <c r="A675" s="483"/>
      <c r="B675" s="484"/>
      <c r="C675" s="487"/>
      <c r="D675" s="1290"/>
      <c r="E675" s="1290"/>
      <c r="F675" s="1290"/>
      <c r="I675" s="490"/>
    </row>
    <row r="676" spans="1:11" ht="12.75" customHeight="1">
      <c r="A676" s="483"/>
      <c r="B676" s="484"/>
      <c r="C676" s="487"/>
      <c r="D676" s="1290"/>
      <c r="E676" s="1290"/>
      <c r="F676" s="1290"/>
      <c r="I676" s="490"/>
    </row>
    <row r="677" spans="1:11" ht="12.75" customHeight="1">
      <c r="A677" s="483"/>
      <c r="B677" s="484"/>
      <c r="C677" s="487"/>
      <c r="D677" s="1290"/>
      <c r="E677" s="1290"/>
      <c r="F677" s="1290"/>
      <c r="I677" s="490"/>
    </row>
    <row r="678" spans="1:11" ht="12.75" customHeight="1">
      <c r="A678" s="483"/>
      <c r="B678" s="484"/>
      <c r="C678" s="487"/>
      <c r="D678" s="1290"/>
      <c r="E678" s="1290"/>
      <c r="F678" s="1290"/>
      <c r="I678" s="490"/>
    </row>
    <row r="679" spans="1:11" ht="12.75" customHeight="1">
      <c r="A679" s="483"/>
      <c r="B679" s="484"/>
      <c r="C679" s="487"/>
      <c r="D679" s="1290"/>
      <c r="E679" s="1290"/>
      <c r="F679" s="1290"/>
      <c r="I679" s="490"/>
    </row>
    <row r="680" spans="1:11" ht="12.75" customHeight="1">
      <c r="A680" s="483"/>
      <c r="B680" s="484"/>
      <c r="C680" s="487"/>
      <c r="D680" s="1290"/>
      <c r="E680" s="1290"/>
      <c r="F680" s="1290"/>
      <c r="I680" s="490"/>
    </row>
    <row r="681" spans="1:11" ht="12.75" customHeight="1">
      <c r="A681" s="483"/>
      <c r="B681" s="484"/>
      <c r="C681" s="487"/>
      <c r="D681" s="1290"/>
      <c r="E681" s="1290"/>
      <c r="F681" s="1290"/>
      <c r="I681" s="490"/>
    </row>
    <row r="682" spans="1:11" ht="12.75" customHeight="1">
      <c r="A682" s="483"/>
      <c r="B682" s="484"/>
      <c r="C682" s="487"/>
      <c r="D682" s="1290"/>
      <c r="E682" s="1290"/>
      <c r="F682" s="1290"/>
      <c r="I682" s="490"/>
    </row>
    <row r="683" spans="1:11">
      <c r="A683" s="487"/>
      <c r="B683" s="487"/>
      <c r="C683" s="487"/>
      <c r="D683" s="446"/>
      <c r="E683" s="446"/>
      <c r="F683" s="446"/>
      <c r="I683" s="490"/>
    </row>
    <row r="684" spans="1:11">
      <c r="A684" s="1293" t="s">
        <v>1059</v>
      </c>
      <c r="B684" s="1293"/>
      <c r="C684" s="1293"/>
      <c r="D684" s="1293"/>
      <c r="E684" s="1293"/>
      <c r="F684" s="1293"/>
      <c r="G684" s="1293"/>
      <c r="H684" s="1025"/>
      <c r="I684" s="1151"/>
      <c r="J684" s="501"/>
      <c r="K684" s="501"/>
    </row>
    <row r="685" spans="1:11">
      <c r="A685" s="448"/>
      <c r="B685" s="448"/>
      <c r="C685" s="448"/>
      <c r="D685" s="448"/>
      <c r="E685" s="448"/>
      <c r="F685" s="448"/>
      <c r="G685" s="448"/>
      <c r="H685" s="501"/>
      <c r="I685" s="483"/>
      <c r="J685" s="501"/>
      <c r="K685" s="501"/>
    </row>
    <row r="686" spans="1:11">
      <c r="C686" s="482"/>
      <c r="D686" s="1299" t="s">
        <v>99</v>
      </c>
      <c r="E686" s="1299"/>
      <c r="F686" s="1299"/>
      <c r="H686" s="501"/>
      <c r="I686" s="483"/>
      <c r="J686" s="501"/>
      <c r="K686" s="501"/>
    </row>
    <row r="687" spans="1:11">
      <c r="A687" s="482"/>
      <c r="B687" s="482"/>
      <c r="C687" s="482"/>
      <c r="D687" s="1299" t="s">
        <v>123</v>
      </c>
      <c r="E687" s="1299"/>
      <c r="F687" s="1299"/>
      <c r="H687" s="501"/>
      <c r="I687" s="483"/>
      <c r="J687" s="501"/>
      <c r="K687" s="501"/>
    </row>
    <row r="688" spans="1:11">
      <c r="A688" s="483"/>
      <c r="B688" s="483"/>
      <c r="C688" s="483"/>
      <c r="D688" s="1291" t="s">
        <v>1076</v>
      </c>
      <c r="E688" s="1291"/>
      <c r="F688" s="1291"/>
      <c r="H688" s="501"/>
      <c r="I688" s="483"/>
      <c r="J688" s="501"/>
      <c r="K688" s="501"/>
    </row>
    <row r="689" spans="1:11">
      <c r="A689" s="483"/>
      <c r="B689" s="483"/>
      <c r="C689" s="483"/>
      <c r="H689" s="501"/>
      <c r="I689" s="483"/>
      <c r="J689" s="501"/>
      <c r="K689" s="501"/>
    </row>
    <row r="690" spans="1:11" ht="14.25">
      <c r="A690" s="484"/>
      <c r="B690" s="485" t="s">
        <v>2741</v>
      </c>
      <c r="C690" s="483"/>
      <c r="D690" s="1291" t="s">
        <v>885</v>
      </c>
      <c r="E690" s="1291"/>
      <c r="F690" s="1291"/>
      <c r="H690" s="501"/>
      <c r="I690" s="483"/>
      <c r="J690" s="501"/>
      <c r="K690" s="501"/>
    </row>
    <row r="691" spans="1:11">
      <c r="A691" s="483"/>
      <c r="B691" s="483"/>
      <c r="C691" s="483"/>
      <c r="D691" s="1291" t="s">
        <v>894</v>
      </c>
      <c r="E691" s="1291"/>
      <c r="F691" s="1291"/>
      <c r="H691" s="501"/>
      <c r="I691" s="483"/>
      <c r="J691" s="501"/>
      <c r="K691" s="501"/>
    </row>
    <row r="692" spans="1:11" ht="12.75" customHeight="1">
      <c r="A692" s="483"/>
      <c r="B692" s="483"/>
      <c r="C692" s="483"/>
      <c r="E692" s="1031" t="s">
        <v>1886</v>
      </c>
      <c r="F692" s="420"/>
      <c r="H692" s="501"/>
      <c r="I692" s="483"/>
      <c r="J692" s="501"/>
      <c r="K692" s="501"/>
    </row>
    <row r="693" spans="1:11">
      <c r="A693" s="483"/>
      <c r="B693" s="483"/>
      <c r="C693" s="483"/>
      <c r="E693" s="501" t="s">
        <v>1885</v>
      </c>
      <c r="F693" s="420"/>
      <c r="I693" s="483"/>
      <c r="J693" s="501"/>
      <c r="K693" s="501"/>
    </row>
    <row r="694" spans="1:11">
      <c r="A694" s="483"/>
      <c r="B694" s="483"/>
      <c r="C694" s="483"/>
      <c r="D694" s="502"/>
      <c r="E694" s="446"/>
      <c r="H694" s="501"/>
      <c r="I694" s="483"/>
      <c r="J694" s="501"/>
      <c r="K694" s="501"/>
    </row>
    <row r="695" spans="1:11" ht="14.25">
      <c r="A695" s="484"/>
      <c r="B695" s="485" t="s">
        <v>2741</v>
      </c>
      <c r="C695" s="483"/>
      <c r="D695" s="1290" t="s">
        <v>2027</v>
      </c>
      <c r="E695" s="1290"/>
      <c r="F695" s="1290"/>
      <c r="H695" s="501"/>
      <c r="I695" s="483"/>
      <c r="J695" s="501"/>
      <c r="K695" s="501"/>
    </row>
    <row r="696" spans="1:11">
      <c r="A696" s="490"/>
      <c r="B696" s="490"/>
      <c r="C696" s="483"/>
      <c r="D696" s="1290"/>
      <c r="E696" s="1290"/>
      <c r="F696" s="1290"/>
      <c r="H696" s="501"/>
      <c r="I696" s="483"/>
      <c r="J696" s="501"/>
      <c r="K696" s="501"/>
    </row>
    <row r="697" spans="1:11">
      <c r="A697" s="483"/>
      <c r="B697" s="483"/>
      <c r="C697" s="483"/>
      <c r="D697" s="1290"/>
      <c r="E697" s="1290"/>
      <c r="F697" s="1290"/>
      <c r="H697" s="501"/>
      <c r="I697" s="483"/>
      <c r="J697" s="501"/>
      <c r="K697" s="501"/>
    </row>
    <row r="698" spans="1:11">
      <c r="A698" s="483"/>
      <c r="B698" s="483"/>
      <c r="C698" s="483"/>
      <c r="H698" s="501"/>
      <c r="J698" s="501"/>
      <c r="K698" s="501"/>
    </row>
    <row r="699" spans="1:11" ht="14.25">
      <c r="A699" s="484"/>
      <c r="B699" s="485" t="s">
        <v>2744</v>
      </c>
      <c r="C699" s="483"/>
      <c r="D699" s="1291" t="s">
        <v>917</v>
      </c>
      <c r="E699" s="1291"/>
      <c r="F699" s="1291"/>
      <c r="H699" s="501"/>
      <c r="I699" s="483"/>
      <c r="J699" s="501"/>
      <c r="K699" s="501"/>
    </row>
    <row r="700" spans="1:11" ht="14.25">
      <c r="A700" s="484"/>
      <c r="B700" s="484"/>
      <c r="C700" s="483"/>
      <c r="D700" s="1291" t="s">
        <v>894</v>
      </c>
      <c r="E700" s="1291"/>
      <c r="F700" s="1291"/>
      <c r="H700" s="501"/>
      <c r="I700" s="483"/>
      <c r="J700" s="501"/>
      <c r="K700" s="501"/>
    </row>
    <row r="701" spans="1:11">
      <c r="A701" s="483"/>
      <c r="B701" s="483"/>
      <c r="C701" s="483"/>
      <c r="E701" s="1031" t="s">
        <v>1887</v>
      </c>
      <c r="F701" s="404"/>
      <c r="H701" s="501"/>
      <c r="I701" s="483"/>
      <c r="J701" s="501"/>
      <c r="K701" s="501"/>
    </row>
    <row r="702" spans="1:11">
      <c r="A702" s="483"/>
      <c r="B702" s="483"/>
      <c r="C702" s="483"/>
      <c r="D702" s="404"/>
      <c r="H702" s="501"/>
      <c r="I702" s="483"/>
      <c r="J702" s="501"/>
      <c r="K702" s="501"/>
    </row>
    <row r="703" spans="1:11" ht="14.25">
      <c r="A703" s="484"/>
      <c r="B703" s="485" t="s">
        <v>2741</v>
      </c>
      <c r="C703" s="483"/>
      <c r="D703" s="1291" t="s">
        <v>2401</v>
      </c>
      <c r="E703" s="1291"/>
      <c r="F703" s="1291"/>
      <c r="H703" s="501"/>
      <c r="I703" s="483"/>
      <c r="J703" s="501"/>
      <c r="K703" s="501"/>
    </row>
    <row r="704" spans="1:11" ht="14.25">
      <c r="A704" s="484"/>
      <c r="B704" s="484"/>
      <c r="C704" s="483"/>
      <c r="D704" s="1291" t="s">
        <v>894</v>
      </c>
      <c r="E704" s="1291"/>
      <c r="F704" s="1291"/>
      <c r="H704" s="501"/>
      <c r="I704" s="483"/>
      <c r="J704" s="501"/>
      <c r="K704" s="501"/>
    </row>
    <row r="705" spans="1:11">
      <c r="A705" s="483"/>
      <c r="B705" s="483"/>
      <c r="C705" s="483"/>
      <c r="E705" s="1031" t="s">
        <v>2402</v>
      </c>
      <c r="F705" s="404"/>
      <c r="H705" s="501"/>
      <c r="I705" s="483"/>
      <c r="J705" s="501"/>
      <c r="K705" s="501"/>
    </row>
    <row r="706" spans="1:11">
      <c r="A706" s="483"/>
      <c r="B706" s="483"/>
      <c r="C706" s="483"/>
      <c r="D706" s="404"/>
      <c r="H706" s="501"/>
      <c r="I706" s="483"/>
      <c r="J706" s="501"/>
      <c r="K706" s="501"/>
    </row>
    <row r="707" spans="1:11" ht="14.25">
      <c r="A707" s="484"/>
      <c r="B707" s="485" t="s">
        <v>2741</v>
      </c>
      <c r="C707" s="483"/>
      <c r="D707" s="1290" t="s">
        <v>2198</v>
      </c>
      <c r="E707" s="1290"/>
      <c r="F707" s="1290"/>
      <c r="H707" s="501"/>
      <c r="I707" s="483"/>
      <c r="J707" s="501"/>
      <c r="K707" s="501"/>
    </row>
    <row r="708" spans="1:11">
      <c r="A708" s="483"/>
      <c r="B708" s="483"/>
      <c r="C708" s="483"/>
      <c r="D708" s="1290"/>
      <c r="E708" s="1290"/>
      <c r="F708" s="1290"/>
      <c r="H708" s="501"/>
      <c r="I708" s="483"/>
      <c r="J708" s="501"/>
      <c r="K708" s="501"/>
    </row>
    <row r="709" spans="1:11">
      <c r="A709" s="483"/>
      <c r="B709" s="483"/>
      <c r="C709" s="483"/>
      <c r="D709" s="1290"/>
      <c r="E709" s="1290"/>
      <c r="F709" s="1290"/>
      <c r="H709" s="501"/>
      <c r="I709" s="483"/>
      <c r="J709" s="501"/>
      <c r="K709" s="501"/>
    </row>
    <row r="710" spans="1:11">
      <c r="A710" s="483"/>
      <c r="B710" s="483"/>
      <c r="C710" s="483"/>
      <c r="D710" s="1290"/>
      <c r="E710" s="1290"/>
      <c r="F710" s="1290"/>
      <c r="H710" s="501"/>
      <c r="I710" s="483"/>
      <c r="J710" s="501"/>
      <c r="K710" s="501"/>
    </row>
    <row r="711" spans="1:11">
      <c r="A711" s="483"/>
      <c r="B711" s="483"/>
      <c r="C711" s="483"/>
      <c r="D711" s="1290"/>
      <c r="E711" s="1290"/>
      <c r="F711" s="1290"/>
      <c r="H711" s="501"/>
      <c r="I711" s="483"/>
      <c r="J711" s="501"/>
      <c r="K711" s="501"/>
    </row>
    <row r="712" spans="1:11">
      <c r="A712" s="483"/>
      <c r="B712" s="483"/>
      <c r="C712" s="483"/>
      <c r="D712" s="1290"/>
      <c r="E712" s="1290"/>
      <c r="F712" s="1290"/>
      <c r="H712" s="501"/>
      <c r="I712" s="483"/>
      <c r="J712" s="501"/>
      <c r="K712" s="501"/>
    </row>
    <row r="713" spans="1:11">
      <c r="A713" s="483"/>
      <c r="B713" s="483"/>
      <c r="C713" s="483"/>
      <c r="D713" s="445"/>
      <c r="E713" s="445"/>
      <c r="F713" s="445"/>
      <c r="H713" s="501"/>
      <c r="I713" s="483"/>
      <c r="J713" s="501"/>
      <c r="K713" s="501"/>
    </row>
    <row r="714" spans="1:11">
      <c r="A714" s="483"/>
      <c r="B714" s="485" t="s">
        <v>2741</v>
      </c>
      <c r="C714" s="483"/>
      <c r="D714" s="1290" t="s">
        <v>1201</v>
      </c>
      <c r="E714" s="1290"/>
      <c r="F714" s="1290"/>
      <c r="H714" s="501"/>
      <c r="I714" s="483"/>
      <c r="J714" s="501"/>
      <c r="K714" s="501"/>
    </row>
    <row r="715" spans="1:11">
      <c r="A715" s="483"/>
      <c r="B715" s="483"/>
      <c r="C715" s="483"/>
      <c r="D715" s="1290"/>
      <c r="E715" s="1290"/>
      <c r="F715" s="1290"/>
      <c r="H715" s="501"/>
      <c r="I715" s="483"/>
      <c r="J715" s="501"/>
      <c r="K715" s="501"/>
    </row>
    <row r="716" spans="1:11">
      <c r="A716" s="483"/>
      <c r="B716" s="483"/>
      <c r="C716" s="483"/>
      <c r="D716" s="445"/>
      <c r="E716" s="445"/>
      <c r="F716" s="445"/>
      <c r="H716" s="501"/>
      <c r="I716" s="483"/>
      <c r="J716" s="501"/>
      <c r="K716" s="501"/>
    </row>
    <row r="717" spans="1:11" ht="14.25">
      <c r="A717" s="484"/>
      <c r="B717" s="485" t="s">
        <v>2741</v>
      </c>
      <c r="C717" s="483"/>
      <c r="D717" s="1290" t="s">
        <v>1077</v>
      </c>
      <c r="E717" s="1290"/>
      <c r="F717" s="1290"/>
      <c r="H717" s="501"/>
      <c r="I717" s="483"/>
      <c r="J717" s="501"/>
      <c r="K717" s="501"/>
    </row>
    <row r="718" spans="1:11">
      <c r="A718" s="483"/>
      <c r="B718" s="483"/>
      <c r="C718" s="483"/>
      <c r="D718" s="1290"/>
      <c r="E718" s="1290"/>
      <c r="F718" s="1290"/>
      <c r="H718" s="501"/>
      <c r="I718" s="483"/>
      <c r="J718" s="501"/>
      <c r="K718" s="501"/>
    </row>
    <row r="719" spans="1:11">
      <c r="A719" s="483"/>
      <c r="B719" s="483"/>
      <c r="C719" s="483"/>
      <c r="D719" s="1290"/>
      <c r="E719" s="1290"/>
      <c r="F719" s="1290"/>
      <c r="H719" s="501"/>
      <c r="I719" s="483"/>
      <c r="J719" s="501"/>
      <c r="K719" s="501"/>
    </row>
    <row r="720" spans="1:11" ht="15" customHeight="1">
      <c r="A720" s="483"/>
      <c r="B720" s="483"/>
      <c r="C720" s="483"/>
      <c r="D720" s="1290"/>
      <c r="E720" s="1290"/>
      <c r="F720" s="1290"/>
      <c r="H720" s="501"/>
      <c r="I720" s="483"/>
      <c r="J720" s="501"/>
      <c r="K720" s="501"/>
    </row>
    <row r="721" spans="1:11" ht="15" customHeight="1">
      <c r="A721" s="483"/>
      <c r="B721" s="483"/>
      <c r="C721" s="483"/>
      <c r="D721" s="1290"/>
      <c r="E721" s="1290"/>
      <c r="F721" s="1290"/>
      <c r="H721" s="501"/>
      <c r="I721" s="483"/>
      <c r="J721" s="501"/>
      <c r="K721" s="501"/>
    </row>
    <row r="722" spans="1:11">
      <c r="A722" s="483"/>
      <c r="B722" s="483"/>
      <c r="C722" s="483"/>
      <c r="D722" s="1290"/>
      <c r="E722" s="1290"/>
      <c r="F722" s="1290"/>
      <c r="H722" s="501"/>
      <c r="I722" s="483"/>
      <c r="J722" s="501"/>
      <c r="K722" s="501"/>
    </row>
    <row r="723" spans="1:11">
      <c r="A723" s="483"/>
      <c r="B723" s="483"/>
      <c r="C723" s="483"/>
      <c r="D723" s="1290"/>
      <c r="E723" s="1290"/>
      <c r="F723" s="1290"/>
      <c r="H723" s="501"/>
      <c r="I723" s="483"/>
      <c r="J723" s="501"/>
      <c r="K723" s="501"/>
    </row>
    <row r="724" spans="1:11">
      <c r="A724" s="483"/>
      <c r="B724" s="483"/>
      <c r="C724" s="483"/>
      <c r="D724" s="1290"/>
      <c r="E724" s="1290"/>
      <c r="F724" s="1290"/>
      <c r="H724" s="501"/>
      <c r="I724" s="483"/>
      <c r="J724" s="501"/>
      <c r="K724" s="501"/>
    </row>
    <row r="725" spans="1:11" ht="15" customHeight="1">
      <c r="A725" s="483"/>
      <c r="B725" s="483"/>
      <c r="C725" s="483"/>
      <c r="D725" s="1290"/>
      <c r="E725" s="1290"/>
      <c r="F725" s="1290"/>
      <c r="H725" s="501"/>
      <c r="I725" s="483"/>
      <c r="J725" s="501"/>
      <c r="K725" s="501"/>
    </row>
    <row r="726" spans="1:11">
      <c r="A726" s="483"/>
      <c r="B726" s="483"/>
      <c r="C726" s="483"/>
      <c r="D726" s="1290"/>
      <c r="E726" s="1290"/>
      <c r="F726" s="1290"/>
      <c r="H726" s="501"/>
      <c r="I726" s="483"/>
      <c r="J726" s="501"/>
      <c r="K726" s="501"/>
    </row>
    <row r="727" spans="1:11">
      <c r="A727" s="483"/>
      <c r="B727" s="483"/>
      <c r="C727" s="483"/>
      <c r="D727" s="1290"/>
      <c r="E727" s="1290"/>
      <c r="F727" s="1290"/>
      <c r="H727" s="501"/>
      <c r="I727" s="483"/>
      <c r="J727" s="501"/>
      <c r="K727" s="501"/>
    </row>
    <row r="728" spans="1:11">
      <c r="A728" s="483"/>
      <c r="B728" s="483"/>
      <c r="C728" s="483"/>
      <c r="D728" s="1290"/>
      <c r="E728" s="1290"/>
      <c r="F728" s="1290"/>
      <c r="H728" s="501"/>
      <c r="I728" s="483"/>
      <c r="J728" s="501"/>
      <c r="K728" s="501"/>
    </row>
    <row r="729" spans="1:11">
      <c r="A729" s="483"/>
      <c r="B729" s="483"/>
      <c r="C729" s="483"/>
      <c r="D729" s="1290"/>
      <c r="E729" s="1290"/>
      <c r="F729" s="1290"/>
      <c r="H729" s="501"/>
      <c r="I729" s="483"/>
      <c r="J729" s="501"/>
      <c r="K729" s="501"/>
    </row>
    <row r="730" spans="1:11">
      <c r="A730" s="483"/>
      <c r="B730" s="485" t="s">
        <v>2741</v>
      </c>
      <c r="C730" s="483"/>
      <c r="D730" s="1290" t="s">
        <v>2394</v>
      </c>
      <c r="E730" s="1290"/>
      <c r="F730" s="1290"/>
      <c r="H730" s="501"/>
      <c r="I730" s="483"/>
      <c r="J730" s="501"/>
      <c r="K730" s="501"/>
    </row>
    <row r="731" spans="1:11">
      <c r="A731" s="483"/>
      <c r="B731" s="483"/>
      <c r="C731" s="483"/>
      <c r="D731" s="1290"/>
      <c r="E731" s="1290"/>
      <c r="F731" s="1290"/>
      <c r="H731" s="501"/>
      <c r="I731" s="483"/>
      <c r="J731" s="501"/>
      <c r="K731" s="501"/>
    </row>
    <row r="732" spans="1:11">
      <c r="A732" s="483"/>
      <c r="B732" s="483"/>
      <c r="C732" s="483"/>
      <c r="D732" s="1290"/>
      <c r="E732" s="1290"/>
      <c r="F732" s="1290"/>
      <c r="H732" s="501"/>
      <c r="I732" s="483"/>
      <c r="J732" s="501"/>
      <c r="K732" s="501"/>
    </row>
    <row r="733" spans="1:11">
      <c r="A733" s="483"/>
      <c r="B733" s="483"/>
      <c r="C733" s="483"/>
      <c r="D733" s="445"/>
      <c r="E733" s="445"/>
      <c r="F733" s="445"/>
      <c r="H733" s="501"/>
      <c r="I733" s="483"/>
      <c r="J733" s="501"/>
      <c r="K733" s="501"/>
    </row>
    <row r="734" spans="1:11">
      <c r="A734" s="483"/>
      <c r="B734" s="485" t="s">
        <v>2741</v>
      </c>
      <c r="C734" s="483"/>
      <c r="D734" s="1290" t="s">
        <v>2393</v>
      </c>
      <c r="E734" s="1290"/>
      <c r="F734" s="1290"/>
      <c r="H734" s="501"/>
      <c r="I734" s="483"/>
      <c r="J734" s="501"/>
      <c r="K734" s="501"/>
    </row>
    <row r="735" spans="1:11">
      <c r="A735" s="483"/>
      <c r="B735" s="483"/>
      <c r="C735" s="483"/>
      <c r="D735" s="1290"/>
      <c r="E735" s="1290"/>
      <c r="F735" s="1290"/>
      <c r="H735" s="501"/>
      <c r="I735" s="483"/>
      <c r="J735" s="501"/>
      <c r="K735" s="501"/>
    </row>
    <row r="736" spans="1:11">
      <c r="A736" s="483"/>
      <c r="B736" s="483"/>
      <c r="C736" s="483"/>
      <c r="D736" s="1290"/>
      <c r="E736" s="1290"/>
      <c r="F736" s="1290"/>
      <c r="H736" s="501"/>
      <c r="I736" s="483"/>
      <c r="J736" s="501"/>
      <c r="K736" s="501"/>
    </row>
    <row r="737" spans="1:11">
      <c r="A737" s="483"/>
      <c r="B737" s="483"/>
      <c r="C737" s="483"/>
      <c r="H737" s="501"/>
      <c r="I737" s="483"/>
      <c r="J737" s="501"/>
      <c r="K737" s="501"/>
    </row>
    <row r="738" spans="1:11">
      <c r="A738" s="483"/>
      <c r="B738" s="485" t="s">
        <v>2741</v>
      </c>
      <c r="C738" s="483"/>
      <c r="D738" s="1290" t="s">
        <v>2392</v>
      </c>
      <c r="E738" s="1290"/>
      <c r="F738" s="1290"/>
      <c r="H738" s="501"/>
      <c r="I738" s="483"/>
      <c r="J738" s="501"/>
      <c r="K738" s="501"/>
    </row>
    <row r="739" spans="1:11">
      <c r="A739" s="483"/>
      <c r="B739" s="483"/>
      <c r="C739" s="483"/>
      <c r="D739" s="1290"/>
      <c r="E739" s="1290"/>
      <c r="F739" s="1290"/>
      <c r="H739" s="501"/>
      <c r="I739" s="483"/>
      <c r="J739" s="501"/>
      <c r="K739" s="501"/>
    </row>
    <row r="740" spans="1:11">
      <c r="A740" s="483"/>
      <c r="B740" s="483"/>
      <c r="C740" s="483"/>
      <c r="D740" s="1290"/>
      <c r="E740" s="1290"/>
      <c r="F740" s="1290"/>
      <c r="H740" s="501"/>
      <c r="I740" s="483"/>
      <c r="J740" s="501"/>
      <c r="K740" s="501"/>
    </row>
    <row r="741" spans="1:11">
      <c r="A741" s="483"/>
      <c r="B741" s="483"/>
      <c r="C741" s="483"/>
      <c r="D741" s="1290"/>
      <c r="E741" s="1290"/>
      <c r="F741" s="1290"/>
      <c r="H741" s="501"/>
      <c r="I741" s="483"/>
      <c r="J741" s="501"/>
      <c r="K741" s="501"/>
    </row>
    <row r="742" spans="1:11">
      <c r="A742" s="483"/>
      <c r="B742" s="483"/>
      <c r="C742" s="483"/>
      <c r="H742" s="501"/>
      <c r="I742" s="483"/>
      <c r="J742" s="501"/>
      <c r="K742" s="501"/>
    </row>
    <row r="743" spans="1:11" ht="14.25">
      <c r="A743" s="484"/>
      <c r="B743" s="485" t="s">
        <v>2741</v>
      </c>
      <c r="C743" s="483"/>
      <c r="D743" s="1290" t="s">
        <v>1078</v>
      </c>
      <c r="E743" s="1290"/>
      <c r="F743" s="1290"/>
      <c r="H743" s="501"/>
      <c r="I743" s="483"/>
      <c r="J743" s="501"/>
      <c r="K743" s="501"/>
    </row>
    <row r="744" spans="1:11">
      <c r="A744" s="483"/>
      <c r="B744" s="483"/>
      <c r="C744" s="483"/>
      <c r="D744" s="1290"/>
      <c r="E744" s="1290"/>
      <c r="F744" s="1290"/>
      <c r="H744" s="501"/>
      <c r="I744" s="483"/>
      <c r="J744" s="501"/>
      <c r="K744" s="501"/>
    </row>
    <row r="745" spans="1:11">
      <c r="A745" s="483"/>
      <c r="B745" s="483"/>
      <c r="C745" s="483"/>
      <c r="D745" s="1290"/>
      <c r="E745" s="1290"/>
      <c r="F745" s="1290"/>
      <c r="H745" s="501"/>
      <c r="I745" s="483"/>
      <c r="J745" s="501"/>
      <c r="K745" s="501"/>
    </row>
    <row r="746" spans="1:11">
      <c r="A746" s="483"/>
      <c r="B746" s="483"/>
      <c r="C746" s="483"/>
      <c r="D746" s="1290"/>
      <c r="E746" s="1290"/>
      <c r="F746" s="1290"/>
      <c r="H746" s="501"/>
      <c r="I746" s="483"/>
      <c r="J746" s="501"/>
      <c r="K746" s="501"/>
    </row>
    <row r="747" spans="1:11">
      <c r="A747" s="483"/>
      <c r="B747" s="483"/>
      <c r="C747" s="483"/>
      <c r="D747" s="1290"/>
      <c r="E747" s="1290"/>
      <c r="F747" s="1290"/>
      <c r="H747" s="501"/>
      <c r="I747" s="483"/>
      <c r="J747" s="501"/>
      <c r="K747" s="501"/>
    </row>
    <row r="748" spans="1:11">
      <c r="A748" s="483"/>
      <c r="B748" s="483"/>
      <c r="C748" s="483"/>
      <c r="D748" s="492"/>
      <c r="H748" s="501"/>
      <c r="I748" s="483"/>
      <c r="J748" s="501"/>
      <c r="K748" s="501"/>
    </row>
    <row r="749" spans="1:11" ht="14.25">
      <c r="A749" s="484"/>
      <c r="B749" s="485" t="s">
        <v>2741</v>
      </c>
      <c r="C749" s="483"/>
      <c r="D749" s="1290" t="s">
        <v>2101</v>
      </c>
      <c r="E749" s="1290"/>
      <c r="F749" s="1290"/>
      <c r="H749" s="501"/>
      <c r="I749" s="483"/>
      <c r="J749" s="501"/>
      <c r="K749" s="501"/>
    </row>
    <row r="750" spans="1:11">
      <c r="A750" s="483"/>
      <c r="B750" s="483"/>
      <c r="C750" s="483"/>
      <c r="D750" s="1290"/>
      <c r="E750" s="1290"/>
      <c r="F750" s="1290"/>
      <c r="H750" s="501"/>
      <c r="I750" s="483"/>
      <c r="J750" s="501"/>
      <c r="K750" s="501"/>
    </row>
    <row r="751" spans="1:11">
      <c r="A751" s="483"/>
      <c r="B751" s="483"/>
      <c r="C751" s="483"/>
      <c r="D751" s="1290"/>
      <c r="E751" s="1290"/>
      <c r="F751" s="1290"/>
      <c r="H751" s="501"/>
      <c r="I751" s="483"/>
      <c r="J751" s="501"/>
      <c r="K751" s="501"/>
    </row>
    <row r="752" spans="1:11">
      <c r="A752" s="483"/>
      <c r="B752" s="483"/>
      <c r="C752" s="483"/>
      <c r="D752" s="1290"/>
      <c r="E752" s="1290"/>
      <c r="F752" s="1290"/>
      <c r="H752" s="501"/>
      <c r="I752" s="483"/>
      <c r="J752" s="501"/>
      <c r="K752" s="501"/>
    </row>
    <row r="753" spans="1:11">
      <c r="A753" s="483"/>
      <c r="B753" s="483"/>
      <c r="C753" s="483"/>
      <c r="D753" s="1290"/>
      <c r="E753" s="1290"/>
      <c r="F753" s="1290"/>
      <c r="H753" s="501"/>
      <c r="I753" s="483"/>
      <c r="J753" s="501"/>
      <c r="K753" s="501"/>
    </row>
    <row r="754" spans="1:11">
      <c r="A754" s="483"/>
      <c r="B754" s="483"/>
      <c r="C754" s="483"/>
      <c r="D754" s="1290"/>
      <c r="E754" s="1290"/>
      <c r="F754" s="1290"/>
      <c r="H754" s="501"/>
      <c r="I754" s="483"/>
      <c r="J754" s="501"/>
      <c r="K754" s="501"/>
    </row>
    <row r="755" spans="1:11">
      <c r="A755" s="483"/>
      <c r="B755" s="483"/>
      <c r="C755" s="483"/>
      <c r="D755" s="1290"/>
      <c r="E755" s="1290"/>
      <c r="F755" s="1290"/>
      <c r="H755" s="501"/>
      <c r="I755" s="483"/>
      <c r="J755" s="501"/>
      <c r="K755" s="501"/>
    </row>
    <row r="756" spans="1:11">
      <c r="A756" s="483"/>
      <c r="B756" s="483"/>
      <c r="C756" s="483"/>
      <c r="D756" s="1328" t="s">
        <v>2615</v>
      </c>
      <c r="E756" s="1328"/>
      <c r="F756" s="1328"/>
      <c r="H756" s="501"/>
      <c r="I756" s="483"/>
      <c r="J756" s="501"/>
      <c r="K756" s="501"/>
    </row>
    <row r="757" spans="1:11">
      <c r="A757" s="483"/>
      <c r="B757" s="483"/>
      <c r="C757" s="483"/>
      <c r="D757" s="341"/>
      <c r="H757" s="501"/>
      <c r="I757" s="483"/>
      <c r="J757" s="501"/>
      <c r="K757" s="501"/>
    </row>
    <row r="758" spans="1:11">
      <c r="A758" s="1298" t="s">
        <v>1060</v>
      </c>
      <c r="B758" s="1298"/>
      <c r="C758" s="1298"/>
      <c r="D758" s="1298"/>
      <c r="E758" s="1298"/>
      <c r="F758" s="1298"/>
      <c r="G758" s="1298"/>
      <c r="H758" s="1025"/>
      <c r="I758" s="1151"/>
      <c r="J758" s="501"/>
      <c r="K758" s="501"/>
    </row>
    <row r="759" spans="1:11">
      <c r="A759" s="483"/>
      <c r="B759" s="483"/>
      <c r="C759" s="483"/>
      <c r="D759" s="492"/>
      <c r="G759" s="501"/>
      <c r="H759" s="501"/>
      <c r="I759" s="483"/>
      <c r="J759" s="501"/>
      <c r="K759" s="501"/>
    </row>
    <row r="760" spans="1:11" ht="13.7" customHeight="1">
      <c r="C760" s="483"/>
      <c r="D760" s="1292" t="s">
        <v>1070</v>
      </c>
      <c r="E760" s="1292"/>
      <c r="F760" s="1292"/>
      <c r="G760" s="501"/>
      <c r="H760" s="501"/>
      <c r="I760" s="483"/>
      <c r="J760" s="501"/>
      <c r="K760" s="501"/>
    </row>
    <row r="761" spans="1:11">
      <c r="A761" s="483"/>
      <c r="B761" s="483"/>
      <c r="C761" s="483"/>
      <c r="D761" s="1297" t="s">
        <v>1071</v>
      </c>
      <c r="E761" s="1297"/>
      <c r="F761" s="1297"/>
      <c r="G761" s="501"/>
      <c r="H761" s="501"/>
      <c r="I761" s="483"/>
      <c r="J761" s="501"/>
      <c r="K761" s="501"/>
    </row>
    <row r="762" spans="1:11">
      <c r="A762" s="483"/>
      <c r="B762" s="483"/>
      <c r="C762" s="483"/>
      <c r="G762" s="501"/>
      <c r="H762" s="501"/>
      <c r="I762" s="483"/>
      <c r="J762" s="501"/>
      <c r="K762" s="501"/>
    </row>
    <row r="763" spans="1:11" ht="14.25">
      <c r="A763" s="484"/>
      <c r="B763" s="485" t="s">
        <v>2744</v>
      </c>
      <c r="D763" s="1290" t="s">
        <v>1072</v>
      </c>
      <c r="E763" s="1290"/>
      <c r="F763" s="1290"/>
      <c r="G763" s="501"/>
      <c r="H763" s="501"/>
      <c r="I763" s="483"/>
      <c r="J763" s="501"/>
      <c r="K763" s="501"/>
    </row>
    <row r="764" spans="1:11" ht="10.5" customHeight="1">
      <c r="D764" s="1290"/>
      <c r="E764" s="1290"/>
      <c r="F764" s="1290"/>
      <c r="G764" s="501"/>
      <c r="H764" s="501"/>
      <c r="I764" s="483"/>
      <c r="J764" s="501"/>
      <c r="K764" s="501"/>
    </row>
    <row r="765" spans="1:11">
      <c r="D765" s="1290"/>
      <c r="E765" s="1290"/>
      <c r="F765" s="1290"/>
      <c r="G765" s="501"/>
      <c r="H765" s="501"/>
      <c r="I765" s="483"/>
      <c r="J765" s="501"/>
      <c r="K765" s="501"/>
    </row>
    <row r="766" spans="1:11">
      <c r="D766" s="1290"/>
      <c r="E766" s="1290"/>
      <c r="F766" s="1290"/>
      <c r="G766" s="501"/>
      <c r="H766" s="501"/>
      <c r="I766" s="483"/>
      <c r="J766" s="501"/>
      <c r="K766" s="501"/>
    </row>
    <row r="767" spans="1:11">
      <c r="D767" s="1290"/>
      <c r="E767" s="1290"/>
      <c r="F767" s="1290"/>
      <c r="G767" s="501"/>
      <c r="H767" s="501"/>
      <c r="I767" s="483"/>
      <c r="J767" s="501"/>
      <c r="K767" s="501"/>
    </row>
    <row r="768" spans="1:11" ht="15.6" customHeight="1">
      <c r="D768" s="1290"/>
      <c r="E768" s="1290"/>
      <c r="F768" s="1290"/>
      <c r="G768" s="501"/>
      <c r="H768" s="501"/>
      <c r="I768" s="483"/>
      <c r="J768" s="501"/>
      <c r="K768" s="501"/>
    </row>
    <row r="769" spans="1:11">
      <c r="D769" s="499"/>
      <c r="E769" s="446"/>
      <c r="F769" s="446"/>
      <c r="G769" s="501"/>
      <c r="H769" s="501"/>
      <c r="I769" s="483"/>
      <c r="J769" s="501"/>
      <c r="K769" s="501"/>
    </row>
    <row r="770" spans="1:11" s="505" customFormat="1" ht="14.25">
      <c r="A770" s="503"/>
      <c r="B770" s="485" t="s">
        <v>2744</v>
      </c>
      <c r="C770" s="504"/>
      <c r="D770" s="1290" t="s">
        <v>1241</v>
      </c>
      <c r="E770" s="1290"/>
      <c r="F770" s="1290"/>
      <c r="I770" s="1152"/>
    </row>
    <row r="771" spans="1:11" s="505" customFormat="1">
      <c r="A771" s="504"/>
      <c r="B771" s="504"/>
      <c r="C771" s="504"/>
      <c r="D771" s="1290"/>
      <c r="E771" s="1290"/>
      <c r="F771" s="1290"/>
      <c r="I771" s="1152"/>
    </row>
    <row r="772" spans="1:11" s="505" customFormat="1">
      <c r="A772" s="504"/>
      <c r="B772" s="504"/>
      <c r="C772" s="504"/>
      <c r="D772" s="1290"/>
      <c r="E772" s="1290"/>
      <c r="F772" s="1290"/>
      <c r="I772" s="1152"/>
    </row>
    <row r="773" spans="1:11" s="505" customFormat="1">
      <c r="A773" s="504"/>
      <c r="B773" s="504"/>
      <c r="C773" s="504"/>
      <c r="D773" s="1290"/>
      <c r="E773" s="1290"/>
      <c r="F773" s="1290"/>
      <c r="I773" s="1152"/>
    </row>
    <row r="774" spans="1:11" s="505" customFormat="1">
      <c r="A774" s="504"/>
      <c r="B774" s="504"/>
      <c r="C774" s="504"/>
      <c r="D774" s="499"/>
      <c r="I774" s="1152"/>
    </row>
    <row r="775" spans="1:11" s="505" customFormat="1" ht="14.25">
      <c r="A775" s="484"/>
      <c r="B775" s="485" t="s">
        <v>2741</v>
      </c>
      <c r="C775" s="504"/>
      <c r="D775" s="1301" t="s">
        <v>1242</v>
      </c>
      <c r="E775" s="1301"/>
      <c r="F775" s="1301"/>
      <c r="I775" s="1152"/>
    </row>
    <row r="776" spans="1:11" s="505" customFormat="1">
      <c r="A776" s="504"/>
      <c r="B776" s="504"/>
      <c r="C776" s="504"/>
      <c r="D776" s="1301"/>
      <c r="E776" s="1301"/>
      <c r="F776" s="1301"/>
      <c r="I776" s="1152"/>
    </row>
    <row r="777" spans="1:11" s="505" customFormat="1">
      <c r="A777" s="504"/>
      <c r="B777" s="504"/>
      <c r="C777" s="504"/>
      <c r="D777" s="1301"/>
      <c r="E777" s="1301"/>
      <c r="F777" s="1301"/>
      <c r="I777" s="1152"/>
    </row>
    <row r="778" spans="1:11">
      <c r="D778" s="499"/>
      <c r="E778" s="446"/>
      <c r="F778" s="446"/>
      <c r="G778" s="501"/>
      <c r="H778" s="501"/>
      <c r="I778" s="483"/>
      <c r="J778" s="501"/>
      <c r="K778" s="501"/>
    </row>
    <row r="779" spans="1:11" ht="14.25">
      <c r="A779" s="484"/>
      <c r="B779" s="485" t="s">
        <v>2741</v>
      </c>
      <c r="D779" s="1290" t="s">
        <v>1198</v>
      </c>
      <c r="E779" s="1290"/>
      <c r="F779" s="1290"/>
      <c r="G779" s="501"/>
      <c r="H779" s="501"/>
      <c r="I779" s="483"/>
      <c r="J779" s="501"/>
      <c r="K779" s="501"/>
    </row>
    <row r="780" spans="1:11">
      <c r="D780" s="1290"/>
      <c r="E780" s="1290"/>
      <c r="F780" s="1290"/>
      <c r="G780" s="501"/>
      <c r="H780" s="501"/>
      <c r="I780" s="483"/>
      <c r="J780" s="501"/>
      <c r="K780" s="501"/>
    </row>
    <row r="781" spans="1:11">
      <c r="D781" s="445"/>
      <c r="E781" s="445"/>
      <c r="F781" s="445"/>
      <c r="G781" s="501"/>
      <c r="H781" s="501"/>
      <c r="I781" s="483"/>
      <c r="J781" s="501"/>
      <c r="K781" s="501"/>
    </row>
    <row r="782" spans="1:11">
      <c r="B782" s="485" t="s">
        <v>2741</v>
      </c>
      <c r="D782" s="1290" t="s">
        <v>1215</v>
      </c>
      <c r="E782" s="1290"/>
      <c r="F782" s="1290"/>
      <c r="G782" s="501"/>
      <c r="H782" s="501"/>
      <c r="I782" s="483"/>
      <c r="J782" s="501"/>
      <c r="K782" s="501"/>
    </row>
    <row r="783" spans="1:11">
      <c r="D783" s="1290"/>
      <c r="E783" s="1290"/>
      <c r="F783" s="1290"/>
      <c r="G783" s="501"/>
      <c r="H783" s="501"/>
      <c r="I783" s="483"/>
      <c r="J783" s="501"/>
      <c r="K783" s="501"/>
    </row>
    <row r="784" spans="1:11">
      <c r="D784" s="1290"/>
      <c r="E784" s="1290"/>
      <c r="F784" s="1290"/>
      <c r="G784" s="501"/>
      <c r="H784" s="501"/>
      <c r="I784" s="483"/>
      <c r="J784" s="501"/>
      <c r="K784" s="501"/>
    </row>
    <row r="785" spans="1:11">
      <c r="D785" s="445"/>
      <c r="E785" s="445"/>
      <c r="F785" s="445"/>
      <c r="G785" s="501"/>
      <c r="H785" s="501"/>
      <c r="I785" s="483"/>
      <c r="J785" s="501"/>
      <c r="K785" s="501"/>
    </row>
    <row r="786" spans="1:11">
      <c r="A786" s="1320" t="s">
        <v>1790</v>
      </c>
      <c r="B786" s="1320"/>
      <c r="C786" s="1320"/>
      <c r="D786" s="1320"/>
      <c r="E786" s="1320"/>
      <c r="F786" s="1320"/>
      <c r="G786" s="1320"/>
      <c r="H786" s="1023"/>
      <c r="I786" s="1147"/>
    </row>
    <row r="787" spans="1:11">
      <c r="A787" s="57"/>
      <c r="B787" s="57"/>
      <c r="C787" s="354"/>
      <c r="D787" s="3"/>
      <c r="E787" s="3"/>
      <c r="F787" s="3"/>
      <c r="G787" s="3"/>
      <c r="I787" s="490"/>
    </row>
    <row r="788" spans="1:11">
      <c r="A788" s="57"/>
      <c r="B788" s="57"/>
      <c r="C788" s="354"/>
      <c r="D788" s="1319" t="s">
        <v>1830</v>
      </c>
      <c r="E788" s="1319"/>
      <c r="F788" s="1319"/>
      <c r="G788" s="3"/>
      <c r="I788" s="490"/>
    </row>
    <row r="789" spans="1:11">
      <c r="A789" s="57"/>
      <c r="B789" s="57"/>
      <c r="C789" s="354"/>
      <c r="D789" s="1304" t="s">
        <v>1744</v>
      </c>
      <c r="E789" s="1304"/>
      <c r="F789" s="1304"/>
      <c r="G789" s="3"/>
      <c r="I789" s="490"/>
    </row>
    <row r="790" spans="1:11">
      <c r="A790" s="57"/>
      <c r="B790" s="57"/>
      <c r="C790" s="354"/>
      <c r="D790" s="447"/>
      <c r="E790" s="447"/>
      <c r="F790" s="447"/>
      <c r="G790" s="3"/>
      <c r="I790" s="490"/>
    </row>
    <row r="791" spans="1:11">
      <c r="A791" s="57"/>
      <c r="B791" s="485" t="s">
        <v>2741</v>
      </c>
      <c r="C791" s="354"/>
      <c r="D791" s="1321" t="s">
        <v>1745</v>
      </c>
      <c r="E791" s="1321"/>
      <c r="F791" s="1321"/>
      <c r="G791" s="3"/>
      <c r="I791" s="483"/>
    </row>
    <row r="792" spans="1:11">
      <c r="A792" s="57"/>
      <c r="B792" s="57"/>
      <c r="C792" s="354"/>
      <c r="D792" s="1321"/>
      <c r="E792" s="1321"/>
      <c r="F792" s="1321"/>
      <c r="G792" s="3"/>
      <c r="I792" s="490"/>
    </row>
    <row r="793" spans="1:11">
      <c r="A793" s="174"/>
      <c r="B793" s="174"/>
      <c r="C793" s="174"/>
      <c r="D793" s="1321"/>
      <c r="E793" s="1321"/>
      <c r="F793" s="1321"/>
      <c r="G793" s="118"/>
      <c r="I793" s="490"/>
    </row>
    <row r="794" spans="1:11">
      <c r="A794" s="354"/>
      <c r="B794" s="354"/>
      <c r="C794" s="354"/>
      <c r="D794" s="173"/>
      <c r="E794" s="3"/>
      <c r="F794" s="3"/>
      <c r="G794" s="3"/>
      <c r="I794" s="490"/>
    </row>
    <row r="795" spans="1:11">
      <c r="A795" s="172"/>
      <c r="B795" s="485" t="s">
        <v>2741</v>
      </c>
      <c r="C795" s="172"/>
      <c r="D795" s="1321" t="s">
        <v>1746</v>
      </c>
      <c r="E795" s="1321"/>
      <c r="F795" s="1321"/>
      <c r="G795" s="3"/>
      <c r="I795" s="483"/>
    </row>
    <row r="796" spans="1:11">
      <c r="A796" s="172"/>
      <c r="B796" s="172"/>
      <c r="C796" s="172"/>
      <c r="D796" s="1321"/>
      <c r="E796" s="1321"/>
      <c r="F796" s="1321"/>
      <c r="G796" s="3"/>
      <c r="I796" s="490"/>
    </row>
    <row r="797" spans="1:11">
      <c r="A797" s="172"/>
      <c r="B797" s="172"/>
      <c r="C797" s="172"/>
      <c r="D797" s="1321"/>
      <c r="E797" s="1321"/>
      <c r="F797" s="1321"/>
      <c r="G797" s="3"/>
      <c r="I797" s="490"/>
    </row>
    <row r="798" spans="1:11">
      <c r="A798" s="174"/>
      <c r="B798" s="174"/>
      <c r="C798" s="174"/>
      <c r="D798" s="3"/>
      <c r="E798" s="983"/>
      <c r="F798" s="983"/>
      <c r="G798" s="983"/>
      <c r="I798" s="490"/>
    </row>
    <row r="799" spans="1:11" ht="14.25">
      <c r="A799" s="175"/>
      <c r="B799" s="485" t="s">
        <v>2741</v>
      </c>
      <c r="C799" s="984"/>
      <c r="D799" s="1321" t="s">
        <v>1747</v>
      </c>
      <c r="E799" s="1321"/>
      <c r="F799" s="1321"/>
      <c r="G799" s="983"/>
      <c r="I799" s="483"/>
    </row>
    <row r="800" spans="1:11" ht="14.25">
      <c r="A800" s="175"/>
      <c r="B800" s="175"/>
      <c r="C800" s="984"/>
      <c r="D800" s="1321"/>
      <c r="E800" s="1321"/>
      <c r="F800" s="1321"/>
      <c r="G800" s="983"/>
      <c r="I800" s="490"/>
    </row>
    <row r="801" spans="1:9" ht="14.25">
      <c r="A801" s="175"/>
      <c r="B801" s="175"/>
      <c r="C801" s="984"/>
      <c r="D801" s="1321"/>
      <c r="E801" s="1321"/>
      <c r="F801" s="1321"/>
      <c r="G801" s="983"/>
      <c r="I801" s="490"/>
    </row>
    <row r="802" spans="1:9" ht="14.25">
      <c r="A802" s="175"/>
      <c r="B802" s="175"/>
      <c r="C802" s="984"/>
      <c r="D802" s="118"/>
      <c r="E802" s="3"/>
      <c r="F802" s="3"/>
      <c r="G802" s="983"/>
      <c r="I802" s="490"/>
    </row>
    <row r="803" spans="1:9" ht="14.25">
      <c r="A803" s="175"/>
      <c r="B803" s="485" t="s">
        <v>2741</v>
      </c>
      <c r="C803" s="984"/>
      <c r="D803" s="1321" t="s">
        <v>1748</v>
      </c>
      <c r="E803" s="1321"/>
      <c r="F803" s="1321"/>
      <c r="G803" s="983"/>
      <c r="I803" s="483"/>
    </row>
    <row r="804" spans="1:9" ht="14.25">
      <c r="A804" s="175"/>
      <c r="B804" s="175"/>
      <c r="C804" s="984"/>
      <c r="D804" s="1321"/>
      <c r="E804" s="1321"/>
      <c r="F804" s="1321"/>
      <c r="G804" s="983"/>
      <c r="I804" s="490"/>
    </row>
    <row r="805" spans="1:9" ht="14.25">
      <c r="A805" s="175"/>
      <c r="B805" s="175"/>
      <c r="C805" s="984"/>
      <c r="D805" s="1321"/>
      <c r="E805" s="1321"/>
      <c r="F805" s="1321"/>
      <c r="G805" s="983"/>
      <c r="I805" s="490"/>
    </row>
    <row r="806" spans="1:9" ht="14.25">
      <c r="A806" s="175"/>
      <c r="B806" s="175"/>
      <c r="C806" s="984"/>
      <c r="D806" s="1321"/>
      <c r="E806" s="1321"/>
      <c r="F806" s="1321"/>
      <c r="G806" s="983"/>
      <c r="I806" s="490"/>
    </row>
    <row r="807" spans="1:9" ht="14.25">
      <c r="A807" s="175"/>
      <c r="B807" s="175"/>
      <c r="C807" s="984"/>
      <c r="D807" s="1321"/>
      <c r="E807" s="1321"/>
      <c r="F807" s="1321"/>
      <c r="G807" s="983"/>
      <c r="I807" s="490"/>
    </row>
    <row r="808" spans="1:9" ht="14.25">
      <c r="A808" s="175"/>
      <c r="B808" s="175"/>
      <c r="C808" s="984"/>
      <c r="D808" s="1321"/>
      <c r="E808" s="1321"/>
      <c r="F808" s="1321"/>
      <c r="G808" s="983"/>
      <c r="I808" s="490"/>
    </row>
    <row r="809" spans="1:9" ht="14.25">
      <c r="A809" s="175"/>
      <c r="B809" s="175"/>
      <c r="C809" s="984"/>
      <c r="D809" s="1321" t="s">
        <v>1791</v>
      </c>
      <c r="E809" s="1321"/>
      <c r="F809" s="1321"/>
      <c r="G809" s="983"/>
      <c r="I809" s="490"/>
    </row>
    <row r="810" spans="1:9" ht="14.25">
      <c r="A810" s="175"/>
      <c r="B810" s="175"/>
      <c r="C810" s="984"/>
      <c r="D810" s="1321"/>
      <c r="E810" s="1321"/>
      <c r="F810" s="1321"/>
      <c r="G810" s="983"/>
      <c r="I810" s="490"/>
    </row>
    <row r="811" spans="1:9" ht="14.25">
      <c r="A811" s="175"/>
      <c r="B811" s="175"/>
      <c r="C811" s="984"/>
      <c r="D811" s="1321"/>
      <c r="E811" s="1321"/>
      <c r="F811" s="1321"/>
      <c r="G811" s="983"/>
      <c r="I811" s="490"/>
    </row>
    <row r="812" spans="1:9" ht="14.25">
      <c r="A812" s="175"/>
      <c r="B812" s="354"/>
      <c r="C812" s="984"/>
      <c r="D812" s="985"/>
      <c r="E812" s="985"/>
      <c r="F812" s="985"/>
      <c r="G812" s="983"/>
      <c r="I812" s="490"/>
    </row>
    <row r="813" spans="1:9" ht="14.25">
      <c r="A813" s="175"/>
      <c r="B813" s="485" t="s">
        <v>2741</v>
      </c>
      <c r="C813" s="984"/>
      <c r="D813" s="1321" t="s">
        <v>1749</v>
      </c>
      <c r="E813" s="1321"/>
      <c r="F813" s="1321"/>
      <c r="G813" s="983"/>
      <c r="I813" s="483"/>
    </row>
    <row r="814" spans="1:9" ht="14.25">
      <c r="A814" s="175"/>
      <c r="B814" s="175"/>
      <c r="C814" s="984"/>
      <c r="D814" s="1321"/>
      <c r="E814" s="1321"/>
      <c r="F814" s="1321"/>
      <c r="G814" s="983"/>
      <c r="I814" s="490"/>
    </row>
    <row r="815" spans="1:9" ht="14.25">
      <c r="A815" s="175"/>
      <c r="B815" s="175"/>
      <c r="C815" s="984"/>
      <c r="D815" s="1321"/>
      <c r="E815" s="1321"/>
      <c r="F815" s="1321"/>
      <c r="G815" s="983"/>
      <c r="I815" s="490"/>
    </row>
    <row r="816" spans="1:9" ht="14.25">
      <c r="A816" s="175"/>
      <c r="B816" s="175"/>
      <c r="C816" s="984"/>
      <c r="D816" s="1321"/>
      <c r="E816" s="1321"/>
      <c r="F816" s="1321"/>
      <c r="G816" s="983"/>
      <c r="I816" s="490"/>
    </row>
    <row r="817" spans="1:9" ht="14.25">
      <c r="A817" s="175"/>
      <c r="B817" s="175"/>
      <c r="C817" s="984"/>
      <c r="D817" s="1321"/>
      <c r="E817" s="1321"/>
      <c r="F817" s="1321"/>
      <c r="G817" s="983"/>
      <c r="I817" s="490"/>
    </row>
    <row r="818" spans="1:9" ht="14.25">
      <c r="A818" s="175"/>
      <c r="B818" s="175"/>
      <c r="C818" s="984"/>
      <c r="D818" s="1321"/>
      <c r="E818" s="1321"/>
      <c r="F818" s="1321"/>
      <c r="G818" s="983"/>
      <c r="I818" s="490"/>
    </row>
    <row r="819" spans="1:9" ht="14.25">
      <c r="A819" s="175"/>
      <c r="B819" s="175"/>
      <c r="C819" s="984"/>
      <c r="D819" s="977"/>
      <c r="E819" s="977"/>
      <c r="F819" s="977"/>
      <c r="G819" s="983"/>
      <c r="I819" s="490"/>
    </row>
    <row r="820" spans="1:9" ht="14.25">
      <c r="A820" s="175"/>
      <c r="B820" s="485" t="s">
        <v>2741</v>
      </c>
      <c r="C820" s="984"/>
      <c r="D820" s="1321" t="s">
        <v>1750</v>
      </c>
      <c r="E820" s="1321"/>
      <c r="F820" s="1321"/>
      <c r="G820" s="983"/>
      <c r="I820" s="483"/>
    </row>
    <row r="821" spans="1:9" ht="14.25">
      <c r="A821" s="175"/>
      <c r="B821" s="175"/>
      <c r="C821" s="984"/>
      <c r="D821" s="1321"/>
      <c r="E821" s="1321"/>
      <c r="F821" s="1321"/>
      <c r="G821" s="983"/>
      <c r="I821" s="490"/>
    </row>
    <row r="822" spans="1:9" ht="14.25">
      <c r="A822" s="175"/>
      <c r="B822" s="175"/>
      <c r="C822" s="984"/>
      <c r="D822" s="1321"/>
      <c r="E822" s="1321"/>
      <c r="F822" s="1321"/>
      <c r="G822" s="983"/>
      <c r="I822" s="490"/>
    </row>
    <row r="823" spans="1:9" ht="14.25">
      <c r="A823" s="175"/>
      <c r="B823" s="175"/>
      <c r="C823" s="984"/>
      <c r="D823" s="1321"/>
      <c r="E823" s="1321"/>
      <c r="F823" s="1321"/>
      <c r="G823" s="983"/>
      <c r="I823" s="490"/>
    </row>
    <row r="824" spans="1:9" ht="14.25">
      <c r="A824" s="175"/>
      <c r="B824" s="175"/>
      <c r="C824" s="984"/>
      <c r="D824" s="1321"/>
      <c r="E824" s="1321"/>
      <c r="F824" s="1321"/>
      <c r="G824" s="983"/>
      <c r="I824" s="490"/>
    </row>
    <row r="825" spans="1:9" ht="14.25">
      <c r="A825" s="175"/>
      <c r="B825" s="175"/>
      <c r="C825" s="984"/>
      <c r="D825" s="1321"/>
      <c r="E825" s="1321"/>
      <c r="F825" s="1321"/>
      <c r="G825" s="983"/>
      <c r="I825" s="490"/>
    </row>
    <row r="826" spans="1:9" ht="14.25">
      <c r="A826" s="175"/>
      <c r="B826" s="175"/>
      <c r="C826" s="984"/>
      <c r="D826" s="977"/>
      <c r="E826" s="977"/>
      <c r="F826" s="977"/>
      <c r="G826" s="983"/>
      <c r="I826" s="490"/>
    </row>
    <row r="827" spans="1:9" ht="14.25">
      <c r="A827" s="175"/>
      <c r="B827" s="485" t="s">
        <v>2741</v>
      </c>
      <c r="C827" s="984"/>
      <c r="D827" s="1295" t="s">
        <v>1751</v>
      </c>
      <c r="E827" s="1295"/>
      <c r="F827" s="1295"/>
      <c r="G827" s="983"/>
      <c r="I827" s="483"/>
    </row>
    <row r="828" spans="1:9" ht="14.25">
      <c r="A828" s="175"/>
      <c r="B828" s="175"/>
      <c r="C828" s="984"/>
      <c r="D828" s="1295"/>
      <c r="E828" s="1295"/>
      <c r="F828" s="1295"/>
      <c r="G828" s="983"/>
      <c r="I828" s="490"/>
    </row>
    <row r="829" spans="1:9">
      <c r="A829" s="13"/>
      <c r="B829" s="13"/>
      <c r="C829" s="984"/>
      <c r="D829" s="1295"/>
      <c r="E829" s="1295"/>
      <c r="F829" s="1295"/>
      <c r="G829" s="983"/>
      <c r="I829" s="490"/>
    </row>
    <row r="830" spans="1:9" ht="14.25">
      <c r="A830" s="175"/>
      <c r="B830" s="13"/>
      <c r="C830" s="984"/>
      <c r="D830" s="1295"/>
      <c r="E830" s="1295"/>
      <c r="F830" s="1295"/>
      <c r="G830" s="983"/>
      <c r="I830" s="490"/>
    </row>
    <row r="831" spans="1:9" ht="12.75" customHeight="1">
      <c r="A831" s="175"/>
      <c r="B831" s="13"/>
      <c r="C831" s="984"/>
      <c r="D831" s="1295"/>
      <c r="E831" s="1295"/>
      <c r="F831" s="1295"/>
      <c r="G831" s="983"/>
      <c r="I831" s="490"/>
    </row>
    <row r="832" spans="1:9" ht="12.75" customHeight="1">
      <c r="A832" s="175"/>
      <c r="B832" s="13"/>
      <c r="C832" s="984"/>
      <c r="D832" s="1295"/>
      <c r="E832" s="1295"/>
      <c r="F832" s="1295"/>
      <c r="G832" s="983"/>
      <c r="I832" s="490"/>
    </row>
    <row r="833" spans="1:9" ht="12.75" customHeight="1">
      <c r="A833" s="13"/>
      <c r="B833" s="13"/>
      <c r="C833" s="984"/>
      <c r="D833" s="983"/>
      <c r="E833" s="3"/>
      <c r="F833" s="3"/>
      <c r="G833" s="983"/>
      <c r="I833" s="490"/>
    </row>
    <row r="834" spans="1:9" ht="12.75" customHeight="1">
      <c r="A834" s="1313" t="s">
        <v>1752</v>
      </c>
      <c r="B834" s="1313"/>
      <c r="C834" s="1313"/>
      <c r="D834" s="1313"/>
      <c r="E834" s="1313"/>
      <c r="F834" s="1313"/>
      <c r="G834" s="1313"/>
      <c r="H834" s="1023"/>
      <c r="I834" s="1147"/>
    </row>
    <row r="835" spans="1:9" ht="12.75" customHeight="1">
      <c r="A835" s="172"/>
      <c r="B835" s="172"/>
      <c r="C835" s="984"/>
      <c r="D835" s="983"/>
      <c r="E835" s="983"/>
      <c r="F835" s="983"/>
      <c r="G835" s="983"/>
      <c r="I835" s="490"/>
    </row>
    <row r="836" spans="1:9" ht="12.75" customHeight="1">
      <c r="A836" s="175"/>
      <c r="B836" s="175"/>
      <c r="C836" s="354"/>
      <c r="D836" s="1318" t="s">
        <v>1792</v>
      </c>
      <c r="E836" s="1318"/>
      <c r="F836" s="1318"/>
      <c r="G836" s="3"/>
      <c r="I836" s="490"/>
    </row>
    <row r="837" spans="1:9" ht="14.25" customHeight="1">
      <c r="A837" s="175"/>
      <c r="B837" s="175"/>
      <c r="C837" s="354"/>
      <c r="D837" s="1266" t="s">
        <v>1753</v>
      </c>
      <c r="E837" s="1266"/>
      <c r="F837" s="1266"/>
      <c r="G837" s="3"/>
      <c r="I837" s="490"/>
    </row>
    <row r="838" spans="1:9" ht="12.75" customHeight="1">
      <c r="A838" s="175"/>
      <c r="B838" s="175"/>
      <c r="C838" s="354"/>
      <c r="D838" s="441"/>
      <c r="E838" s="441"/>
      <c r="F838" s="441"/>
      <c r="G838" s="3"/>
      <c r="I838" s="490"/>
    </row>
    <row r="839" spans="1:9" ht="12.75" customHeight="1">
      <c r="A839" s="354"/>
      <c r="B839" s="485" t="s">
        <v>2744</v>
      </c>
      <c r="C839" s="984"/>
      <c r="D839" s="1266" t="s">
        <v>1754</v>
      </c>
      <c r="E839" s="1266"/>
      <c r="F839" s="1266"/>
      <c r="G839" s="3"/>
      <c r="I839" s="490" t="s">
        <v>1854</v>
      </c>
    </row>
    <row r="840" spans="1:9" ht="14.25" customHeight="1">
      <c r="A840" s="13"/>
      <c r="B840" s="13"/>
      <c r="C840" s="984"/>
      <c r="E840" s="1031" t="s">
        <v>1869</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27" t="s">
        <v>2033</v>
      </c>
      <c r="E842" s="1327"/>
      <c r="F842" s="1327"/>
      <c r="G842" s="3"/>
      <c r="I842" s="490"/>
    </row>
    <row r="843" spans="1:9" ht="12.75" hidden="1" customHeight="1">
      <c r="A843" s="13"/>
      <c r="B843" s="13"/>
      <c r="C843" s="984"/>
      <c r="D843" s="1327"/>
      <c r="E843" s="1327"/>
      <c r="F843" s="1327"/>
      <c r="G843" s="3"/>
      <c r="I843" s="490"/>
    </row>
    <row r="844" spans="1:9" ht="12.75" hidden="1" customHeight="1">
      <c r="A844" s="13"/>
      <c r="B844" s="13"/>
      <c r="C844" s="984"/>
      <c r="D844" s="1327"/>
      <c r="E844" s="1327"/>
      <c r="F844" s="1327"/>
      <c r="G844" s="3"/>
      <c r="I844" s="490"/>
    </row>
    <row r="845" spans="1:9" ht="12.75" hidden="1" customHeight="1">
      <c r="A845" s="13"/>
      <c r="B845" s="13"/>
      <c r="C845" s="984"/>
      <c r="D845" s="1327"/>
      <c r="E845" s="1327"/>
      <c r="F845" s="1327"/>
      <c r="G845" s="3"/>
      <c r="I845" s="490"/>
    </row>
    <row r="846" spans="1:9" ht="12.75" hidden="1" customHeight="1">
      <c r="A846" s="13"/>
      <c r="B846" s="13"/>
      <c r="C846" s="984"/>
      <c r="D846" s="1327"/>
      <c r="E846" s="1327"/>
      <c r="F846" s="1327"/>
      <c r="G846" s="3"/>
      <c r="I846" s="490"/>
    </row>
    <row r="847" spans="1:9" ht="12.75" hidden="1" customHeight="1">
      <c r="A847" s="13"/>
      <c r="B847" s="13"/>
      <c r="C847" s="984"/>
      <c r="D847" s="1327"/>
      <c r="E847" s="1327"/>
      <c r="F847" s="1327"/>
      <c r="G847" s="3"/>
      <c r="I847" s="490"/>
    </row>
    <row r="848" spans="1:9" ht="12.75" hidden="1" customHeight="1">
      <c r="A848" s="13"/>
      <c r="B848" s="13"/>
      <c r="C848" s="984"/>
      <c r="D848" s="1327"/>
      <c r="E848" s="1327"/>
      <c r="F848" s="1327"/>
      <c r="G848" s="3"/>
      <c r="I848" s="490"/>
    </row>
    <row r="849" spans="1:9" ht="12.75" hidden="1" customHeight="1">
      <c r="A849" s="13"/>
      <c r="B849" s="13"/>
      <c r="C849" s="984"/>
      <c r="D849" s="1327"/>
      <c r="E849" s="1327"/>
      <c r="F849" s="1327"/>
      <c r="G849" s="3"/>
      <c r="I849" s="490"/>
    </row>
    <row r="850" spans="1:9" ht="12.75" hidden="1" customHeight="1">
      <c r="A850" s="13"/>
      <c r="B850" s="13"/>
      <c r="C850" s="984"/>
      <c r="D850" s="1327"/>
      <c r="E850" s="1327"/>
      <c r="F850" s="1327"/>
      <c r="G850" s="3"/>
      <c r="I850" s="490"/>
    </row>
    <row r="851" spans="1:9" ht="12.75" hidden="1" customHeight="1">
      <c r="A851" s="13"/>
      <c r="B851" s="13"/>
      <c r="C851" s="984"/>
      <c r="D851" s="1327"/>
      <c r="E851" s="1327"/>
      <c r="F851" s="1327"/>
      <c r="G851" s="3"/>
      <c r="I851" s="490"/>
    </row>
    <row r="852" spans="1:9" ht="12.75" hidden="1" customHeight="1">
      <c r="A852" s="13"/>
      <c r="B852" s="13"/>
      <c r="C852" s="984"/>
      <c r="D852" s="986"/>
      <c r="E852" s="3"/>
      <c r="F852" s="3"/>
      <c r="G852" s="3"/>
      <c r="I852" s="490"/>
    </row>
    <row r="853" spans="1:9" ht="12.75" customHeight="1">
      <c r="A853" s="175"/>
      <c r="B853" s="485" t="s">
        <v>2744</v>
      </c>
      <c r="C853" s="984"/>
      <c r="D853" s="1266" t="s">
        <v>1755</v>
      </c>
      <c r="E853" s="1266"/>
      <c r="F853" s="1266"/>
      <c r="G853" s="3"/>
      <c r="I853" s="490" t="s">
        <v>1857</v>
      </c>
    </row>
    <row r="854" spans="1:9" ht="12.75" customHeight="1">
      <c r="A854" s="175"/>
      <c r="B854" s="175"/>
      <c r="C854" s="984"/>
      <c r="D854" s="1266"/>
      <c r="E854" s="1266"/>
      <c r="F854" s="1266"/>
      <c r="G854" s="3"/>
      <c r="I854" s="490"/>
    </row>
    <row r="855" spans="1:9" ht="12.75" customHeight="1">
      <c r="A855" s="175"/>
      <c r="B855" s="175"/>
      <c r="C855" s="984"/>
      <c r="D855" s="1266"/>
      <c r="E855" s="1266"/>
      <c r="F855" s="1266"/>
      <c r="G855" s="3"/>
      <c r="I855" s="490"/>
    </row>
    <row r="856" spans="1:9" ht="12.75" customHeight="1">
      <c r="A856" s="175"/>
      <c r="B856" s="175"/>
      <c r="C856" s="984"/>
      <c r="D856" s="118"/>
      <c r="E856" s="3"/>
      <c r="F856" s="3"/>
      <c r="G856" s="3"/>
      <c r="I856" s="490"/>
    </row>
    <row r="857" spans="1:9" ht="12.75" customHeight="1">
      <c r="A857" s="987"/>
      <c r="B857" s="485" t="s">
        <v>2741</v>
      </c>
      <c r="C857" s="984"/>
      <c r="D857" s="1318" t="s">
        <v>1756</v>
      </c>
      <c r="E857" s="1318"/>
      <c r="F857" s="1318"/>
      <c r="G857" s="3"/>
      <c r="I857" s="490"/>
    </row>
    <row r="858" spans="1:9" ht="12.75" customHeight="1">
      <c r="A858" s="354"/>
      <c r="B858" s="987"/>
      <c r="C858" s="984"/>
      <c r="D858" s="1318"/>
      <c r="E858" s="1318"/>
      <c r="F858" s="1318"/>
      <c r="G858" s="3"/>
      <c r="I858" s="490"/>
    </row>
    <row r="859" spans="1:9" ht="12.75" customHeight="1">
      <c r="A859" s="175"/>
      <c r="B859" s="354"/>
      <c r="C859" s="984"/>
      <c r="D859" s="1266" t="s">
        <v>2028</v>
      </c>
      <c r="E859" s="1266"/>
      <c r="F859" s="1266"/>
      <c r="G859" s="3"/>
      <c r="I859" s="490"/>
    </row>
    <row r="860" spans="1:9" ht="12.75" customHeight="1">
      <c r="A860" s="175"/>
      <c r="B860" s="175"/>
      <c r="C860" s="984"/>
      <c r="D860" s="1266"/>
      <c r="E860" s="1266"/>
      <c r="F860" s="1266"/>
      <c r="G860" s="3"/>
      <c r="I860" s="490"/>
    </row>
    <row r="861" spans="1:9" ht="12.75" customHeight="1">
      <c r="A861" s="175"/>
      <c r="B861" s="175"/>
      <c r="C861" s="984"/>
      <c r="D861" s="1266"/>
      <c r="E861" s="1266"/>
      <c r="F861" s="1266"/>
      <c r="G861" s="3"/>
      <c r="I861" s="490"/>
    </row>
    <row r="862" spans="1:9" ht="12.75" customHeight="1">
      <c r="A862" s="175"/>
      <c r="B862" s="175"/>
      <c r="C862" s="984"/>
      <c r="D862" s="1266"/>
      <c r="E862" s="1266"/>
      <c r="F862" s="1266"/>
      <c r="G862" s="3"/>
      <c r="I862" s="490"/>
    </row>
    <row r="863" spans="1:9" ht="12.75" customHeight="1">
      <c r="A863" s="175"/>
      <c r="B863" s="175"/>
      <c r="C863" s="984"/>
      <c r="D863" s="1266"/>
      <c r="E863" s="1266"/>
      <c r="F863" s="1266"/>
      <c r="G863" s="3"/>
      <c r="I863" s="490"/>
    </row>
    <row r="864" spans="1:9" ht="12.75" customHeight="1">
      <c r="A864" s="175"/>
      <c r="B864" s="175"/>
      <c r="C864" s="984"/>
      <c r="D864" s="1266"/>
      <c r="E864" s="1266"/>
      <c r="F864" s="1266"/>
      <c r="G864" s="3"/>
      <c r="I864" s="490"/>
    </row>
    <row r="865" spans="1:9" ht="12.75" customHeight="1">
      <c r="A865" s="175"/>
      <c r="B865" s="175"/>
      <c r="C865" s="984"/>
      <c r="D865" s="118"/>
      <c r="E865" s="3"/>
      <c r="F865" s="3"/>
      <c r="G865" s="3"/>
      <c r="I865" s="490"/>
    </row>
    <row r="866" spans="1:9" ht="12.75" customHeight="1">
      <c r="A866" s="175"/>
      <c r="B866" s="485" t="s">
        <v>2741</v>
      </c>
      <c r="C866" s="984"/>
      <c r="D866" s="1266" t="s">
        <v>1757</v>
      </c>
      <c r="E866" s="1266"/>
      <c r="F866" s="1266"/>
      <c r="G866" s="3"/>
      <c r="I866" s="490" t="s">
        <v>1855</v>
      </c>
    </row>
    <row r="867" spans="1:9" ht="12.75" customHeight="1">
      <c r="A867" s="175"/>
      <c r="B867" s="175"/>
      <c r="C867" s="984"/>
      <c r="D867" s="1266" t="s">
        <v>1758</v>
      </c>
      <c r="E867" s="1266"/>
      <c r="F867" s="1266"/>
      <c r="G867" s="3"/>
      <c r="I867" s="490"/>
    </row>
    <row r="868" spans="1:9" ht="12.75" customHeight="1">
      <c r="A868" s="175"/>
      <c r="B868" s="175"/>
      <c r="C868" s="984"/>
      <c r="E868" s="1031" t="s">
        <v>1871</v>
      </c>
      <c r="F868" s="1033"/>
      <c r="G868" s="3"/>
      <c r="I868" s="490"/>
    </row>
    <row r="869" spans="1:9" ht="12.75" customHeight="1">
      <c r="A869" s="175"/>
      <c r="B869" s="175"/>
      <c r="C869" s="984"/>
      <c r="D869" s="118"/>
      <c r="E869" s="3"/>
      <c r="F869" s="3"/>
      <c r="G869" s="3"/>
      <c r="I869" s="490"/>
    </row>
    <row r="870" spans="1:9" ht="12.75" customHeight="1">
      <c r="A870" s="175"/>
      <c r="B870" s="485" t="s">
        <v>2741</v>
      </c>
      <c r="C870" s="984"/>
      <c r="D870" s="1266" t="s">
        <v>1759</v>
      </c>
      <c r="E870" s="1266"/>
      <c r="F870" s="1266"/>
      <c r="G870" s="3"/>
      <c r="I870" s="490" t="s">
        <v>1858</v>
      </c>
    </row>
    <row r="871" spans="1:9" ht="12.75" customHeight="1">
      <c r="A871" s="175"/>
      <c r="B871" s="175"/>
      <c r="C871" s="984"/>
      <c r="D871" s="1266"/>
      <c r="E871" s="1266"/>
      <c r="F871" s="1266"/>
      <c r="G871" s="3"/>
      <c r="I871" s="490"/>
    </row>
    <row r="872" spans="1:9" ht="12.75" customHeight="1">
      <c r="A872" s="175"/>
      <c r="B872" s="175"/>
      <c r="C872" s="984"/>
      <c r="D872" s="1266"/>
      <c r="E872" s="1266"/>
      <c r="F872" s="1266"/>
      <c r="G872" s="3"/>
      <c r="I872" s="490"/>
    </row>
    <row r="873" spans="1:9" ht="12.75" customHeight="1">
      <c r="A873" s="175"/>
      <c r="B873" s="175"/>
      <c r="C873" s="984"/>
      <c r="D873" s="1266"/>
      <c r="E873" s="1266"/>
      <c r="F873" s="1266"/>
      <c r="G873" s="3"/>
      <c r="I873" s="490"/>
    </row>
    <row r="874" spans="1:9" ht="12.75" customHeight="1">
      <c r="A874" s="172"/>
      <c r="B874" s="172"/>
      <c r="C874" s="172"/>
      <c r="D874" s="118"/>
      <c r="E874" s="3"/>
      <c r="F874" s="3"/>
      <c r="G874" s="3"/>
      <c r="I874" s="490"/>
    </row>
    <row r="875" spans="1:9" ht="12.75" customHeight="1">
      <c r="A875" s="978" t="s">
        <v>1760</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25" t="s">
        <v>1793</v>
      </c>
      <c r="E877" s="1325"/>
      <c r="F877" s="1325"/>
      <c r="G877" s="983"/>
      <c r="I877" s="490"/>
    </row>
    <row r="878" spans="1:9" ht="12.75" customHeight="1">
      <c r="A878" s="354"/>
      <c r="B878" s="354"/>
      <c r="C878" s="174"/>
      <c r="D878" s="1326" t="s">
        <v>1761</v>
      </c>
      <c r="E878" s="1326"/>
      <c r="F878" s="1326"/>
      <c r="G878" s="983"/>
      <c r="I878" s="490"/>
    </row>
    <row r="879" spans="1:9" ht="12.75" customHeight="1">
      <c r="A879" s="354"/>
      <c r="B879" s="354"/>
      <c r="C879" s="174"/>
      <c r="D879" s="990"/>
      <c r="E879" s="990"/>
      <c r="F879" s="990"/>
      <c r="G879" s="983"/>
      <c r="I879" s="490"/>
    </row>
    <row r="880" spans="1:9" ht="12.75" customHeight="1">
      <c r="A880" s="175"/>
      <c r="B880" s="485" t="s">
        <v>2744</v>
      </c>
      <c r="C880" s="354"/>
      <c r="D880" s="1305" t="s">
        <v>1762</v>
      </c>
      <c r="E880" s="1305"/>
      <c r="F880" s="1305"/>
      <c r="G880" s="983"/>
      <c r="I880" s="490" t="s">
        <v>1855</v>
      </c>
    </row>
    <row r="881" spans="1:9" ht="12.75" customHeight="1">
      <c r="A881" s="354"/>
      <c r="B881" s="354"/>
      <c r="C881" s="354"/>
      <c r="D881" s="2" t="s">
        <v>1737</v>
      </c>
      <c r="E881" s="1031" t="s">
        <v>1871</v>
      </c>
      <c r="F881" s="1034"/>
      <c r="G881" s="983"/>
      <c r="I881" s="490"/>
    </row>
    <row r="882" spans="1:9" ht="12.75" customHeight="1">
      <c r="A882" s="354"/>
      <c r="B882" s="354"/>
      <c r="C882" s="354"/>
      <c r="D882" s="118"/>
      <c r="E882" s="983"/>
      <c r="F882" s="983"/>
      <c r="G882" s="983"/>
      <c r="I882" s="490"/>
    </row>
    <row r="883" spans="1:9" ht="12.75" customHeight="1">
      <c r="A883" s="175"/>
      <c r="B883" s="485" t="s">
        <v>2744</v>
      </c>
      <c r="C883" s="354"/>
      <c r="D883" s="1266" t="s">
        <v>1763</v>
      </c>
      <c r="E883" s="1315"/>
      <c r="F883" s="1315"/>
      <c r="G883" s="3"/>
      <c r="I883" s="490" t="s">
        <v>1858</v>
      </c>
    </row>
    <row r="884" spans="1:9" ht="12.75" customHeight="1">
      <c r="A884" s="354"/>
      <c r="B884" s="354"/>
      <c r="C884" s="354"/>
      <c r="D884" s="1315"/>
      <c r="E884" s="1315"/>
      <c r="F884" s="1315"/>
      <c r="G884" s="3"/>
      <c r="I884" s="490"/>
    </row>
    <row r="885" spans="1:9" ht="12.75" customHeight="1">
      <c r="A885" s="354"/>
      <c r="B885" s="354"/>
      <c r="C885" s="354"/>
      <c r="D885" s="118"/>
      <c r="E885" s="3"/>
      <c r="F885" s="3"/>
      <c r="G885" s="3"/>
      <c r="I885" s="490"/>
    </row>
    <row r="886" spans="1:9" ht="12.75" customHeight="1">
      <c r="A886" s="354"/>
      <c r="B886" s="485" t="s">
        <v>2741</v>
      </c>
      <c r="C886" s="354"/>
      <c r="D886" s="1316" t="s">
        <v>1764</v>
      </c>
      <c r="E886" s="1316"/>
      <c r="F886" s="1316"/>
      <c r="G886" s="983"/>
      <c r="I886" s="490"/>
    </row>
    <row r="887" spans="1:9" ht="12.75" customHeight="1">
      <c r="A887" s="354"/>
      <c r="B887" s="991"/>
      <c r="C887" s="354"/>
      <c r="D887" s="1316"/>
      <c r="E887" s="1316"/>
      <c r="F887" s="1316"/>
      <c r="G887" s="983"/>
      <c r="I887" s="490"/>
    </row>
    <row r="888" spans="1:9" ht="12.75" customHeight="1">
      <c r="A888" s="175"/>
      <c r="B888"/>
      <c r="C888" s="354"/>
      <c r="D888" s="1266" t="s">
        <v>2028</v>
      </c>
      <c r="E888" s="1266"/>
      <c r="F888" s="1266"/>
      <c r="G888" s="983"/>
      <c r="I888" s="490"/>
    </row>
    <row r="889" spans="1:9" ht="12.75" customHeight="1">
      <c r="A889" s="175"/>
      <c r="B889" s="175"/>
      <c r="C889" s="354"/>
      <c r="D889" s="1266"/>
      <c r="E889" s="1266"/>
      <c r="F889" s="1266"/>
      <c r="G889" s="983"/>
      <c r="I889" s="490"/>
    </row>
    <row r="890" spans="1:9" ht="12.75" customHeight="1">
      <c r="A890" s="175"/>
      <c r="B890" s="175"/>
      <c r="C890" s="354"/>
      <c r="D890" s="1266"/>
      <c r="E890" s="1266"/>
      <c r="F890" s="1266"/>
      <c r="G890" s="983"/>
      <c r="I890" s="490"/>
    </row>
    <row r="891" spans="1:9" ht="12.75" customHeight="1">
      <c r="A891" s="175"/>
      <c r="B891" s="175"/>
      <c r="C891" s="354"/>
      <c r="D891" s="1266"/>
      <c r="E891" s="1266"/>
      <c r="F891" s="1266"/>
      <c r="G891" s="983"/>
      <c r="I891" s="490"/>
    </row>
    <row r="892" spans="1:9" ht="12.75" customHeight="1">
      <c r="A892" s="175"/>
      <c r="B892" s="175"/>
      <c r="C892" s="354"/>
      <c r="D892" s="1266"/>
      <c r="E892" s="1266"/>
      <c r="F892" s="1266"/>
      <c r="G892" s="983"/>
      <c r="I892" s="490"/>
    </row>
    <row r="893" spans="1:9" ht="12.75" customHeight="1">
      <c r="A893" s="175"/>
      <c r="B893" s="175"/>
      <c r="C893" s="354"/>
      <c r="D893" s="1266"/>
      <c r="E893" s="1266"/>
      <c r="F893" s="1266"/>
      <c r="G893" s="983"/>
      <c r="I893" s="490"/>
    </row>
    <row r="894" spans="1:9" ht="12.75" customHeight="1">
      <c r="A894" s="175"/>
      <c r="B894" s="175"/>
      <c r="C894" s="354"/>
      <c r="D894" s="118"/>
      <c r="E894" s="983"/>
      <c r="F894" s="983"/>
      <c r="G894" s="983"/>
      <c r="I894" s="490"/>
    </row>
    <row r="895" spans="1:9" ht="12.75" customHeight="1">
      <c r="A895" s="175"/>
      <c r="B895" s="485" t="s">
        <v>2741</v>
      </c>
      <c r="C895" s="354"/>
      <c r="D895" s="1306" t="s">
        <v>1757</v>
      </c>
      <c r="E895" s="1306"/>
      <c r="F895" s="1306"/>
      <c r="G895" s="983"/>
      <c r="I895" s="490"/>
    </row>
    <row r="896" spans="1:9" ht="12.75" customHeight="1">
      <c r="A896" s="175"/>
      <c r="B896" s="175"/>
      <c r="C896" s="354"/>
      <c r="D896" s="1306" t="s">
        <v>1758</v>
      </c>
      <c r="E896" s="1306"/>
      <c r="F896" s="1306"/>
      <c r="G896" s="983"/>
      <c r="I896" s="490"/>
    </row>
    <row r="897" spans="1:9" ht="12.75" customHeight="1">
      <c r="A897" s="175"/>
      <c r="B897" s="175"/>
      <c r="C897" s="354"/>
      <c r="D897" s="2" t="s">
        <v>1270</v>
      </c>
      <c r="E897" s="1031" t="s">
        <v>1871</v>
      </c>
      <c r="F897" s="1035"/>
      <c r="G897" s="983"/>
      <c r="I897" s="490"/>
    </row>
    <row r="898" spans="1:9" ht="12.75" customHeight="1">
      <c r="A898" s="175"/>
      <c r="B898" s="175"/>
      <c r="C898" s="354"/>
      <c r="D898" s="118"/>
      <c r="E898" s="983"/>
      <c r="F898" s="983"/>
      <c r="G898" s="983"/>
      <c r="I898" s="490"/>
    </row>
    <row r="899" spans="1:9" ht="12.75" customHeight="1">
      <c r="A899" s="175"/>
      <c r="B899" s="485" t="s">
        <v>2741</v>
      </c>
      <c r="C899" s="354"/>
      <c r="D899" s="1266" t="s">
        <v>1759</v>
      </c>
      <c r="E899" s="1266"/>
      <c r="F899" s="1266"/>
      <c r="G899" s="983"/>
      <c r="I899" s="490"/>
    </row>
    <row r="900" spans="1:9" ht="12.75" customHeight="1">
      <c r="A900" s="175"/>
      <c r="B900" s="175"/>
      <c r="C900" s="354"/>
      <c r="D900" s="1266"/>
      <c r="E900" s="1266"/>
      <c r="F900" s="1266"/>
      <c r="G900" s="983"/>
      <c r="I900" s="490"/>
    </row>
    <row r="901" spans="1:9" ht="12.75" customHeight="1">
      <c r="A901" s="175"/>
      <c r="B901" s="175"/>
      <c r="C901" s="354"/>
      <c r="D901" s="1266"/>
      <c r="E901" s="1266"/>
      <c r="F901" s="1266"/>
      <c r="G901" s="983"/>
      <c r="I901" s="490"/>
    </row>
    <row r="902" spans="1:9" ht="12.75" customHeight="1">
      <c r="A902" s="175"/>
      <c r="B902" s="175"/>
      <c r="C902" s="354"/>
      <c r="D902" s="1266"/>
      <c r="E902" s="1266"/>
      <c r="F902" s="1266"/>
      <c r="G902" s="983"/>
      <c r="I902" s="490"/>
    </row>
    <row r="903" spans="1:9" ht="12.75" customHeight="1">
      <c r="A903" s="118"/>
      <c r="B903" s="118"/>
      <c r="C903" s="984"/>
      <c r="D903" s="983"/>
      <c r="E903" s="983"/>
      <c r="F903" s="983"/>
      <c r="G903" s="983"/>
      <c r="I903" s="490"/>
    </row>
    <row r="904" spans="1:9" ht="12.75" customHeight="1">
      <c r="A904" s="1313" t="s">
        <v>1794</v>
      </c>
      <c r="B904" s="1313"/>
      <c r="C904" s="1313"/>
      <c r="D904" s="1313"/>
      <c r="E904" s="1313"/>
      <c r="F904" s="1313"/>
      <c r="G904" s="1313"/>
      <c r="H904" s="1023"/>
      <c r="I904" s="1147"/>
    </row>
    <row r="905" spans="1:9" ht="12.75" customHeight="1">
      <c r="A905" s="57"/>
      <c r="B905" s="57"/>
      <c r="C905" s="57"/>
      <c r="D905" s="57"/>
      <c r="E905" s="57"/>
      <c r="F905" s="57"/>
      <c r="G905" s="57"/>
      <c r="I905" s="490"/>
    </row>
    <row r="906" spans="1:9" ht="12.75" customHeight="1">
      <c r="A906" s="57"/>
      <c r="B906" s="57"/>
      <c r="C906" s="57"/>
      <c r="D906" s="1329" t="s">
        <v>1800</v>
      </c>
      <c r="E906" s="1329"/>
      <c r="F906" s="1329"/>
      <c r="G906" s="57"/>
      <c r="I906" s="490"/>
    </row>
    <row r="907" spans="1:9" ht="12.75" customHeight="1">
      <c r="A907" s="57"/>
      <c r="B907" s="57"/>
      <c r="C907" s="57"/>
      <c r="D907" s="976"/>
      <c r="E907" s="976"/>
      <c r="F907" s="976"/>
      <c r="G907" s="57"/>
      <c r="I907" s="490"/>
    </row>
    <row r="908" spans="1:9" ht="12.75" customHeight="1">
      <c r="A908" s="57"/>
      <c r="B908" s="485" t="s">
        <v>2744</v>
      </c>
      <c r="C908" s="57"/>
      <c r="D908" s="979" t="s">
        <v>1801</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29" t="s">
        <v>1795</v>
      </c>
      <c r="E910" s="1329"/>
      <c r="F910" s="1329"/>
      <c r="G910" s="983"/>
      <c r="I910" s="490"/>
    </row>
    <row r="911" spans="1:9" ht="12.75" customHeight="1">
      <c r="A911" s="172"/>
      <c r="B911" s="172"/>
      <c r="C911" s="172"/>
      <c r="D911" s="1305" t="s">
        <v>1765</v>
      </c>
      <c r="E911" s="1305"/>
      <c r="F911" s="1305"/>
      <c r="G911" s="983"/>
      <c r="I911" s="490"/>
    </row>
    <row r="912" spans="1:9" ht="12.75" customHeight="1">
      <c r="A912" s="984"/>
      <c r="B912" s="984"/>
      <c r="C912" s="984"/>
      <c r="D912" s="2"/>
      <c r="E912" s="983"/>
      <c r="F912" s="983"/>
      <c r="G912" s="983"/>
      <c r="I912" s="490"/>
    </row>
    <row r="913" spans="1:9" ht="12.75" customHeight="1">
      <c r="A913" s="175"/>
      <c r="B913" s="485" t="s">
        <v>2744</v>
      </c>
      <c r="C913" s="354"/>
      <c r="D913" s="1266" t="s">
        <v>1769</v>
      </c>
      <c r="E913" s="1266"/>
      <c r="F913" s="1266"/>
      <c r="G913" s="3"/>
      <c r="I913" s="490"/>
    </row>
    <row r="914" spans="1:9" ht="12.75" customHeight="1">
      <c r="A914" s="354"/>
      <c r="B914" s="354"/>
      <c r="C914" s="354"/>
      <c r="D914" s="1266"/>
      <c r="E914" s="1266"/>
      <c r="F914" s="1266"/>
      <c r="G914" s="3"/>
      <c r="I914" s="490"/>
    </row>
    <row r="915" spans="1:9" ht="12.75" customHeight="1">
      <c r="A915" s="172"/>
      <c r="B915" s="172"/>
      <c r="C915" s="172"/>
      <c r="D915" s="1266" t="s">
        <v>1768</v>
      </c>
      <c r="E915" s="1266"/>
      <c r="F915" s="1266"/>
      <c r="G915" s="983"/>
      <c r="I915" s="490"/>
    </row>
    <row r="916" spans="1:9" ht="12.75" customHeight="1">
      <c r="A916" s="172"/>
      <c r="B916" s="172"/>
      <c r="C916" s="172"/>
      <c r="D916" s="1266"/>
      <c r="E916" s="1266"/>
      <c r="F916" s="1266"/>
      <c r="G916" s="983"/>
      <c r="I916" s="490"/>
    </row>
    <row r="917" spans="1:9" ht="12.75" customHeight="1">
      <c r="A917" s="172"/>
      <c r="B917" s="172"/>
      <c r="C917" s="172"/>
      <c r="D917" s="3"/>
      <c r="E917" s="3"/>
      <c r="F917" s="983"/>
      <c r="G917" s="983"/>
      <c r="I917" s="490"/>
    </row>
    <row r="918" spans="1:9" ht="12.75" customHeight="1">
      <c r="A918" s="175"/>
      <c r="B918" s="485" t="s">
        <v>2744</v>
      </c>
      <c r="C918" s="174"/>
      <c r="D918" s="1270" t="s">
        <v>1766</v>
      </c>
      <c r="E918" s="1270"/>
      <c r="F918" s="1270"/>
      <c r="G918" s="983"/>
      <c r="I918" s="490"/>
    </row>
    <row r="919" spans="1:9" ht="12.75" customHeight="1">
      <c r="A919" s="175"/>
      <c r="B919" s="175"/>
      <c r="C919" s="174"/>
      <c r="D919" s="1270"/>
      <c r="E919" s="1270"/>
      <c r="F919" s="1270"/>
      <c r="G919" s="983"/>
      <c r="I919" s="490"/>
    </row>
    <row r="920" spans="1:9" ht="12.75" customHeight="1">
      <c r="A920" s="175"/>
      <c r="B920" s="175"/>
      <c r="C920" s="174"/>
      <c r="D920" s="1270"/>
      <c r="E920" s="1270"/>
      <c r="F920" s="1270"/>
      <c r="G920" s="983"/>
      <c r="I920" s="490"/>
    </row>
    <row r="921" spans="1:9" ht="12.75" customHeight="1">
      <c r="A921" s="175"/>
      <c r="B921" s="175"/>
      <c r="C921" s="174"/>
      <c r="D921" s="1270"/>
      <c r="E921" s="1270"/>
      <c r="F921" s="1270"/>
      <c r="G921" s="983"/>
      <c r="I921" s="490"/>
    </row>
    <row r="922" spans="1:9" ht="12.75" customHeight="1">
      <c r="A922" s="175"/>
      <c r="B922" s="175"/>
      <c r="C922" s="174"/>
      <c r="D922" s="1270"/>
      <c r="E922" s="1270"/>
      <c r="F922" s="1270"/>
      <c r="G922" s="983"/>
      <c r="I922" s="490"/>
    </row>
    <row r="923" spans="1:9" ht="12.75" customHeight="1">
      <c r="A923" s="174"/>
      <c r="B923" s="174"/>
      <c r="C923" s="174"/>
      <c r="D923" s="1270"/>
      <c r="E923" s="1270"/>
      <c r="F923" s="1270"/>
      <c r="G923" s="983"/>
      <c r="I923" s="490"/>
    </row>
    <row r="924" spans="1:9" ht="12.75" customHeight="1">
      <c r="A924" s="174"/>
      <c r="B924" s="174"/>
      <c r="C924" s="174"/>
      <c r="D924" s="1270"/>
      <c r="E924" s="1270"/>
      <c r="F924" s="1270"/>
      <c r="G924" s="983"/>
      <c r="I924" s="490"/>
    </row>
    <row r="925" spans="1:9" ht="12.75" customHeight="1">
      <c r="A925" s="174"/>
      <c r="B925" s="174"/>
      <c r="C925" s="174"/>
      <c r="D925" s="1270"/>
      <c r="E925" s="1270"/>
      <c r="F925" s="1270"/>
      <c r="G925" s="983"/>
      <c r="I925" s="490"/>
    </row>
    <row r="926" spans="1:9" ht="12.75" customHeight="1">
      <c r="A926" s="174"/>
      <c r="B926" s="174"/>
      <c r="C926" s="174"/>
      <c r="D926" s="335"/>
      <c r="E926" s="335"/>
      <c r="F926" s="335"/>
      <c r="G926" s="983"/>
      <c r="I926" s="490"/>
    </row>
    <row r="927" spans="1:9" ht="12.75" customHeight="1">
      <c r="A927" s="984"/>
      <c r="B927" s="485" t="s">
        <v>2741</v>
      </c>
      <c r="C927" s="984"/>
      <c r="D927" s="1266" t="s">
        <v>1770</v>
      </c>
      <c r="E927" s="1266"/>
      <c r="F927" s="1266"/>
      <c r="G927" s="983"/>
      <c r="I927" s="490"/>
    </row>
    <row r="928" spans="1:9" ht="12.75" customHeight="1">
      <c r="A928" s="984"/>
      <c r="B928" s="984"/>
      <c r="C928" s="984"/>
      <c r="D928" s="1266"/>
      <c r="E928" s="1266"/>
      <c r="F928" s="1266"/>
      <c r="G928" s="983"/>
      <c r="I928" s="490"/>
    </row>
    <row r="929" spans="1:9" ht="12.75" customHeight="1">
      <c r="A929" s="984"/>
      <c r="B929" s="984"/>
      <c r="C929" s="984"/>
      <c r="D929" s="983"/>
      <c r="E929" s="983"/>
      <c r="F929" s="983"/>
      <c r="G929" s="983"/>
      <c r="I929" s="490"/>
    </row>
    <row r="930" spans="1:9" ht="12.75" customHeight="1">
      <c r="A930" s="984"/>
      <c r="B930" s="485" t="s">
        <v>2741</v>
      </c>
      <c r="C930" s="984"/>
      <c r="D930" s="1295" t="s">
        <v>1771</v>
      </c>
      <c r="E930" s="1295"/>
      <c r="F930" s="1295"/>
      <c r="G930" s="983"/>
      <c r="I930" s="490"/>
    </row>
    <row r="931" spans="1:9" ht="12.75" customHeight="1">
      <c r="A931" s="984"/>
      <c r="B931" s="984"/>
      <c r="C931" s="984"/>
      <c r="D931" s="1295"/>
      <c r="E931" s="1295"/>
      <c r="F931" s="1295"/>
      <c r="G931" s="983"/>
      <c r="I931" s="490"/>
    </row>
    <row r="932" spans="1:9" ht="12.75" customHeight="1">
      <c r="A932" s="984"/>
      <c r="B932" s="984"/>
      <c r="C932" s="984"/>
      <c r="D932" s="1295"/>
      <c r="E932" s="1295"/>
      <c r="F932" s="1295"/>
      <c r="G932" s="983"/>
      <c r="I932" s="490"/>
    </row>
    <row r="933" spans="1:9" ht="12.75" customHeight="1">
      <c r="A933" s="984"/>
      <c r="B933" s="984"/>
      <c r="C933" s="984"/>
      <c r="D933" s="1295"/>
      <c r="E933" s="1295"/>
      <c r="F933" s="1295"/>
      <c r="G933" s="983"/>
      <c r="I933" s="490"/>
    </row>
    <row r="934" spans="1:9" ht="12.75" customHeight="1">
      <c r="A934" s="984"/>
      <c r="B934" s="984"/>
      <c r="C934" s="984"/>
      <c r="D934" s="118"/>
      <c r="E934" s="983"/>
      <c r="F934" s="983"/>
      <c r="G934" s="983"/>
      <c r="I934" s="490"/>
    </row>
    <row r="935" spans="1:9" ht="12.75" customHeight="1">
      <c r="A935" s="984"/>
      <c r="B935" s="485" t="s">
        <v>2741</v>
      </c>
      <c r="C935" s="984"/>
      <c r="D935" s="1305" t="s">
        <v>2029</v>
      </c>
      <c r="E935" s="1305"/>
      <c r="F935" s="1305"/>
      <c r="G935" s="983"/>
      <c r="I935" s="490"/>
    </row>
    <row r="936" spans="1:9" ht="12.75" customHeight="1">
      <c r="A936" s="984"/>
      <c r="B936" s="984"/>
      <c r="C936" s="984"/>
      <c r="D936" s="118"/>
      <c r="E936" s="983"/>
      <c r="F936" s="983"/>
      <c r="G936" s="983"/>
      <c r="I936" s="490"/>
    </row>
    <row r="937" spans="1:9" ht="12.75" customHeight="1">
      <c r="A937" s="984"/>
      <c r="B937" s="485" t="s">
        <v>2741</v>
      </c>
      <c r="C937" s="984"/>
      <c r="D937" s="1305" t="s">
        <v>2030</v>
      </c>
      <c r="E937" s="1305"/>
      <c r="F937" s="1305"/>
      <c r="G937" s="983"/>
      <c r="I937" s="490"/>
    </row>
    <row r="938" spans="1:9" ht="12.75" customHeight="1">
      <c r="A938" s="174"/>
      <c r="B938" s="174"/>
      <c r="C938" s="174"/>
      <c r="D938" s="2"/>
      <c r="E938" s="3"/>
      <c r="F938" s="983"/>
      <c r="G938" s="983"/>
      <c r="I938" s="490"/>
    </row>
    <row r="939" spans="1:9" ht="12.75" customHeight="1">
      <c r="A939" s="992"/>
      <c r="B939" s="485" t="s">
        <v>2744</v>
      </c>
      <c r="C939" s="993"/>
      <c r="D939" s="1270" t="s">
        <v>1767</v>
      </c>
      <c r="E939" s="1270"/>
      <c r="F939" s="1270"/>
      <c r="G939" s="994"/>
      <c r="I939" s="490"/>
    </row>
    <row r="940" spans="1:9" ht="12.75" customHeight="1">
      <c r="A940" s="992"/>
      <c r="B940" s="992"/>
      <c r="C940" s="993"/>
      <c r="D940" s="1270"/>
      <c r="E940" s="1270"/>
      <c r="F940" s="1270"/>
      <c r="G940" s="994"/>
      <c r="I940" s="490"/>
    </row>
    <row r="941" spans="1:9" ht="12.75" customHeight="1">
      <c r="A941" s="992"/>
      <c r="B941" s="992"/>
      <c r="C941" s="993"/>
      <c r="D941" s="1270"/>
      <c r="E941" s="1270"/>
      <c r="F941" s="1270"/>
      <c r="G941" s="994"/>
      <c r="I941" s="490"/>
    </row>
    <row r="942" spans="1:9" ht="12.75" customHeight="1">
      <c r="A942" s="992"/>
      <c r="B942" s="992"/>
      <c r="C942" s="993"/>
      <c r="D942" s="1270"/>
      <c r="E942" s="1270"/>
      <c r="F942" s="1270"/>
      <c r="G942" s="994"/>
      <c r="I942" s="490"/>
    </row>
    <row r="943" spans="1:9" ht="12.75" customHeight="1">
      <c r="A943" s="992"/>
      <c r="B943" s="992"/>
      <c r="C943" s="993"/>
      <c r="D943" s="1270"/>
      <c r="E943" s="1270"/>
      <c r="F943" s="1270"/>
      <c r="G943" s="994"/>
      <c r="I943" s="490"/>
    </row>
    <row r="944" spans="1:9" ht="12.75" customHeight="1">
      <c r="A944" s="992"/>
      <c r="B944" s="992"/>
      <c r="C944" s="993"/>
      <c r="D944" s="1270"/>
      <c r="E944" s="1270"/>
      <c r="F944" s="1270"/>
      <c r="G944" s="994"/>
      <c r="I944" s="490"/>
    </row>
    <row r="945" spans="1:9" ht="12.75" customHeight="1">
      <c r="A945" s="992"/>
      <c r="B945" s="992"/>
      <c r="C945" s="993"/>
      <c r="D945" s="1270"/>
      <c r="E945" s="1270"/>
      <c r="F945" s="1270"/>
      <c r="G945" s="994"/>
      <c r="I945" s="490"/>
    </row>
    <row r="946" spans="1:9" ht="12.75" customHeight="1">
      <c r="A946" s="992"/>
      <c r="B946" s="992"/>
      <c r="C946" s="993"/>
      <c r="D946" s="1270"/>
      <c r="E946" s="1270"/>
      <c r="F946" s="1270"/>
      <c r="G946" s="994"/>
      <c r="I946" s="490"/>
    </row>
    <row r="947" spans="1:9" ht="12.75" customHeight="1">
      <c r="A947" s="992"/>
      <c r="B947" s="992"/>
      <c r="C947" s="993"/>
      <c r="D947" s="1270"/>
      <c r="E947" s="1270"/>
      <c r="F947" s="1270"/>
      <c r="G947" s="994"/>
      <c r="I947" s="490"/>
    </row>
    <row r="948" spans="1:9" ht="12.75" customHeight="1">
      <c r="A948" s="174"/>
      <c r="B948" s="174"/>
      <c r="C948" s="174"/>
      <c r="D948" s="2"/>
      <c r="E948" s="3"/>
      <c r="F948" s="983"/>
      <c r="G948" s="983"/>
      <c r="I948" s="490"/>
    </row>
    <row r="949" spans="1:9" ht="12.75" customHeight="1">
      <c r="A949" s="175"/>
      <c r="B949" s="485" t="s">
        <v>2744</v>
      </c>
      <c r="C949" s="174"/>
      <c r="D949" s="1330" t="s">
        <v>1861</v>
      </c>
      <c r="E949" s="1330"/>
      <c r="F949" s="1330"/>
      <c r="G949" s="983"/>
      <c r="I949" s="490"/>
    </row>
    <row r="950" spans="1:9" ht="12.75" customHeight="1">
      <c r="A950" s="175"/>
      <c r="B950" s="175"/>
      <c r="C950" s="174"/>
      <c r="D950" s="1330"/>
      <c r="E950" s="1330"/>
      <c r="F950" s="1330"/>
      <c r="G950" s="983"/>
      <c r="I950" s="490"/>
    </row>
    <row r="951" spans="1:9" ht="12.75" customHeight="1">
      <c r="A951" s="175"/>
      <c r="B951" s="175"/>
      <c r="C951" s="174"/>
      <c r="D951" s="1330"/>
      <c r="E951" s="1330"/>
      <c r="F951" s="1330"/>
      <c r="G951" s="983"/>
      <c r="I951" s="490"/>
    </row>
    <row r="952" spans="1:9" ht="12.75" customHeight="1">
      <c r="A952" s="175"/>
      <c r="B952" s="175"/>
      <c r="C952" s="174"/>
      <c r="D952" s="1330"/>
      <c r="E952" s="1330"/>
      <c r="F952" s="1330"/>
      <c r="G952" s="983"/>
      <c r="I952" s="490"/>
    </row>
    <row r="953" spans="1:9" ht="12.75" customHeight="1">
      <c r="A953" s="175"/>
      <c r="B953" s="175"/>
      <c r="C953" s="174"/>
      <c r="D953" s="1330"/>
      <c r="E953" s="1330"/>
      <c r="F953" s="1330"/>
      <c r="G953" s="983"/>
      <c r="I953" s="490"/>
    </row>
    <row r="954" spans="1:9" ht="12.75" customHeight="1">
      <c r="A954" s="175"/>
      <c r="B954" s="175"/>
      <c r="C954" s="174"/>
      <c r="D954" s="1330"/>
      <c r="E954" s="1330"/>
      <c r="F954" s="1330"/>
      <c r="G954" s="983"/>
      <c r="I954" s="490"/>
    </row>
    <row r="955" spans="1:9" ht="12.75" customHeight="1">
      <c r="A955" s="175"/>
      <c r="B955" s="175"/>
      <c r="C955" s="174"/>
      <c r="D955" s="1330"/>
      <c r="E955" s="1330"/>
      <c r="F955" s="1330"/>
      <c r="G955" s="983"/>
      <c r="I955" s="490"/>
    </row>
    <row r="956" spans="1:9" ht="12.75" customHeight="1">
      <c r="A956" s="175"/>
      <c r="B956" s="175"/>
      <c r="C956" s="174"/>
      <c r="D956" s="1021"/>
      <c r="E956" s="1021"/>
      <c r="F956" s="1021"/>
      <c r="G956" s="983"/>
      <c r="I956" s="490"/>
    </row>
    <row r="957" spans="1:9" ht="12.75" customHeight="1">
      <c r="A957" s="175"/>
      <c r="B957" s="485" t="s">
        <v>2744</v>
      </c>
      <c r="C957" s="174"/>
      <c r="D957" s="1269" t="s">
        <v>2094</v>
      </c>
      <c r="E957" s="1269"/>
      <c r="F957" s="1269"/>
      <c r="G957" s="983"/>
      <c r="I957" s="490"/>
    </row>
    <row r="958" spans="1:9" ht="12.75" customHeight="1">
      <c r="A958" s="175"/>
      <c r="B958" s="175"/>
      <c r="C958" s="174"/>
      <c r="D958" s="1269"/>
      <c r="E958" s="1269"/>
      <c r="F958" s="1269"/>
      <c r="G958" s="983"/>
      <c r="I958" s="490"/>
    </row>
    <row r="959" spans="1:9" ht="12.75" customHeight="1">
      <c r="A959" s="175"/>
      <c r="B959" s="175"/>
      <c r="C959" s="174"/>
      <c r="D959" s="1269"/>
      <c r="E959" s="1269"/>
      <c r="F959" s="1269"/>
      <c r="G959" s="983"/>
      <c r="I959" s="490"/>
    </row>
    <row r="960" spans="1:9" ht="12.75" customHeight="1">
      <c r="A960" s="175"/>
      <c r="B960" s="175"/>
      <c r="C960" s="174"/>
      <c r="D960" s="1269"/>
      <c r="E960" s="1269"/>
      <c r="F960" s="1269"/>
      <c r="G960" s="983"/>
      <c r="I960" s="490"/>
    </row>
    <row r="961" spans="1:9" ht="12.75" customHeight="1">
      <c r="A961" s="175"/>
      <c r="B961" s="175"/>
      <c r="C961" s="174"/>
      <c r="D961" s="1269"/>
      <c r="E961" s="1269"/>
      <c r="F961" s="1269"/>
      <c r="G961" s="983"/>
      <c r="I961" s="490"/>
    </row>
    <row r="962" spans="1:9" ht="12.75" customHeight="1">
      <c r="A962" s="175"/>
      <c r="B962" s="175"/>
      <c r="C962" s="174"/>
      <c r="D962" s="1269"/>
      <c r="E962" s="1269"/>
      <c r="F962" s="1269"/>
      <c r="G962" s="983"/>
      <c r="I962" s="490"/>
    </row>
    <row r="963" spans="1:9" ht="12.75" customHeight="1">
      <c r="A963" s="175"/>
      <c r="B963" s="175"/>
      <c r="C963" s="174"/>
      <c r="D963" s="1021"/>
      <c r="E963" s="1021"/>
      <c r="F963" s="1021"/>
      <c r="G963" s="983"/>
      <c r="I963" s="490"/>
    </row>
    <row r="964" spans="1:9" ht="12.75" customHeight="1">
      <c r="A964" s="984"/>
      <c r="B964" s="485" t="s">
        <v>2741</v>
      </c>
      <c r="C964" s="984"/>
      <c r="D964" s="1295" t="s">
        <v>1772</v>
      </c>
      <c r="E964" s="1295"/>
      <c r="F964" s="1295"/>
      <c r="G964" s="983"/>
      <c r="I964" s="490"/>
    </row>
    <row r="965" spans="1:9" ht="12.75" customHeight="1">
      <c r="A965" s="984"/>
      <c r="B965" s="984"/>
      <c r="C965" s="984"/>
      <c r="D965" s="1295"/>
      <c r="E965" s="1295"/>
      <c r="F965" s="1295"/>
      <c r="G965" s="983"/>
      <c r="I965" s="490"/>
    </row>
    <row r="966" spans="1:9" ht="12.75" customHeight="1">
      <c r="A966" s="984"/>
      <c r="B966" s="984"/>
      <c r="C966" s="984"/>
      <c r="D966" s="1295"/>
      <c r="E966" s="1295"/>
      <c r="F966" s="1295"/>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2741</v>
      </c>
      <c r="C969" s="174"/>
      <c r="D969" s="1270" t="s">
        <v>1860</v>
      </c>
      <c r="E969" s="1270"/>
      <c r="F969" s="1270"/>
      <c r="G969" s="983"/>
      <c r="I969" s="490"/>
    </row>
    <row r="970" spans="1:9" ht="12.75" customHeight="1">
      <c r="A970" s="175"/>
      <c r="B970" s="175"/>
      <c r="C970" s="174"/>
      <c r="D970" s="1270"/>
      <c r="E970" s="1270"/>
      <c r="F970" s="1270"/>
      <c r="G970" s="983"/>
      <c r="I970" s="490"/>
    </row>
    <row r="971" spans="1:9" ht="12.75" customHeight="1">
      <c r="A971" s="175"/>
      <c r="B971" s="175"/>
      <c r="C971" s="174"/>
      <c r="D971" s="1270"/>
      <c r="E971" s="1270"/>
      <c r="F971" s="1270"/>
      <c r="G971" s="983"/>
      <c r="I971" s="490"/>
    </row>
    <row r="972" spans="1:9" ht="12.75" customHeight="1">
      <c r="A972" s="175"/>
      <c r="B972" s="175"/>
      <c r="C972" s="174"/>
      <c r="D972" s="1270"/>
      <c r="E972" s="1270"/>
      <c r="F972" s="1270"/>
      <c r="G972" s="983"/>
      <c r="I972" s="490"/>
    </row>
    <row r="973" spans="1:9" ht="12.75" customHeight="1">
      <c r="A973" s="984"/>
      <c r="B973" s="984"/>
      <c r="C973" s="984"/>
      <c r="D973" s="975"/>
      <c r="E973" s="975"/>
      <c r="F973" s="975"/>
      <c r="G973" s="975"/>
      <c r="I973" s="490"/>
    </row>
    <row r="974" spans="1:9" ht="12.75" customHeight="1">
      <c r="A974" s="354"/>
      <c r="B974" s="354"/>
      <c r="C974" s="354"/>
      <c r="D974" s="1325" t="s">
        <v>1773</v>
      </c>
      <c r="E974" s="1325"/>
      <c r="F974" s="1325"/>
      <c r="G974" s="3"/>
      <c r="I974" s="490"/>
    </row>
    <row r="975" spans="1:9" ht="12.75" customHeight="1">
      <c r="A975" s="175"/>
      <c r="B975" s="485" t="s">
        <v>2741</v>
      </c>
      <c r="C975" s="354"/>
      <c r="D975" s="1305" t="s">
        <v>1796</v>
      </c>
      <c r="E975" s="1305"/>
      <c r="F975" s="1305"/>
      <c r="G975" s="3"/>
      <c r="I975" s="490"/>
    </row>
    <row r="976" spans="1:9" ht="12.75" customHeight="1">
      <c r="A976" s="354"/>
      <c r="B976" s="354"/>
      <c r="C976" s="354"/>
      <c r="D976" s="3"/>
      <c r="E976" s="3"/>
      <c r="F976" s="3"/>
      <c r="G976" s="3"/>
      <c r="I976" s="490"/>
    </row>
    <row r="977" spans="1:9" ht="12.75" customHeight="1">
      <c r="A977" s="354"/>
      <c r="B977" s="354"/>
      <c r="C977" s="354"/>
      <c r="D977" s="1325" t="s">
        <v>1774</v>
      </c>
      <c r="E977" s="1325"/>
      <c r="F977" s="1325"/>
      <c r="G977"/>
      <c r="I977" s="490"/>
    </row>
    <row r="978" spans="1:9" ht="12.75" customHeight="1">
      <c r="A978" s="175"/>
      <c r="B978" s="485" t="s">
        <v>2741</v>
      </c>
      <c r="C978" s="354"/>
      <c r="D978" s="1266" t="s">
        <v>2031</v>
      </c>
      <c r="E978" s="1266"/>
      <c r="F978" s="1266"/>
      <c r="G978"/>
      <c r="I978" s="490"/>
    </row>
    <row r="979" spans="1:9" ht="12.75" customHeight="1">
      <c r="A979" s="175"/>
      <c r="B979" s="175"/>
      <c r="C979" s="354"/>
      <c r="D979" s="1266"/>
      <c r="E979" s="1266"/>
      <c r="F979" s="1266"/>
      <c r="G979"/>
      <c r="I979" s="490"/>
    </row>
    <row r="980" spans="1:9" ht="12.75" customHeight="1">
      <c r="A980" s="175"/>
      <c r="B980" s="175"/>
      <c r="C980" s="354"/>
      <c r="D980" s="1266"/>
      <c r="E980" s="1266"/>
      <c r="F980" s="1266"/>
      <c r="G980"/>
      <c r="I980" s="490"/>
    </row>
    <row r="981" spans="1:9" ht="12.75" customHeight="1">
      <c r="A981" s="175"/>
      <c r="B981" s="175"/>
      <c r="C981" s="354"/>
      <c r="D981" s="1266"/>
      <c r="E981" s="1266"/>
      <c r="F981" s="1266"/>
      <c r="G981"/>
      <c r="I981" s="490"/>
    </row>
    <row r="982" spans="1:9" ht="12.75" customHeight="1">
      <c r="A982" s="175"/>
      <c r="B982" s="175"/>
      <c r="C982" s="354"/>
      <c r="D982" s="1266"/>
      <c r="E982" s="1266"/>
      <c r="F982" s="1266"/>
      <c r="G982"/>
      <c r="I982" s="490"/>
    </row>
    <row r="983" spans="1:9" ht="12.75" customHeight="1">
      <c r="A983" s="175"/>
      <c r="B983" s="175"/>
      <c r="C983" s="354"/>
      <c r="D983" s="1266"/>
      <c r="E983" s="1266"/>
      <c r="F983" s="1266"/>
      <c r="G983"/>
      <c r="I983" s="490"/>
    </row>
    <row r="984" spans="1:9" ht="12.75" customHeight="1">
      <c r="A984" s="175"/>
      <c r="B984" s="175"/>
      <c r="C984" s="354"/>
      <c r="D984" s="1266"/>
      <c r="E984" s="1266"/>
      <c r="F984" s="1266"/>
      <c r="G984"/>
      <c r="I984" s="490"/>
    </row>
    <row r="985" spans="1:9" ht="12.75" customHeight="1">
      <c r="A985" s="175"/>
      <c r="B985" s="175"/>
      <c r="C985" s="354"/>
      <c r="D985" s="1266"/>
      <c r="E985" s="1266"/>
      <c r="F985" s="1266"/>
      <c r="G985"/>
      <c r="I985" s="490"/>
    </row>
    <row r="986" spans="1:9" ht="12.75" customHeight="1">
      <c r="A986" s="175"/>
      <c r="B986" s="175"/>
      <c r="C986" s="354"/>
      <c r="D986" s="1266"/>
      <c r="E986" s="1266"/>
      <c r="F986" s="1266"/>
      <c r="G986"/>
      <c r="I986" s="490"/>
    </row>
    <row r="987" spans="1:9" ht="12.75" customHeight="1">
      <c r="A987" s="175"/>
      <c r="B987" s="175"/>
      <c r="C987" s="354"/>
      <c r="D987" s="1266"/>
      <c r="E987" s="1266"/>
      <c r="F987" s="1266"/>
      <c r="G987"/>
      <c r="I987" s="490"/>
    </row>
    <row r="988" spans="1:9" ht="12.75" customHeight="1">
      <c r="A988" s="175"/>
      <c r="B988" s="175"/>
      <c r="C988" s="354"/>
      <c r="D988" s="1266"/>
      <c r="E988" s="1266"/>
      <c r="F988" s="1266"/>
      <c r="G988"/>
      <c r="I988" s="490"/>
    </row>
    <row r="989" spans="1:9" ht="12.75" customHeight="1">
      <c r="A989" s="175"/>
      <c r="B989" s="175"/>
      <c r="C989" s="354"/>
      <c r="D989" s="1266"/>
      <c r="E989" s="1266"/>
      <c r="F989" s="1266"/>
      <c r="G989"/>
      <c r="I989" s="490"/>
    </row>
    <row r="990" spans="1:9" ht="12.75" customHeight="1">
      <c r="A990" s="175"/>
      <c r="B990" s="175"/>
      <c r="C990" s="354"/>
      <c r="D990" s="1266"/>
      <c r="E990" s="1266"/>
      <c r="F990" s="1266"/>
      <c r="G990"/>
      <c r="I990" s="490"/>
    </row>
    <row r="991" spans="1:9" ht="12.75" customHeight="1">
      <c r="A991" s="175"/>
      <c r="B991" s="175"/>
      <c r="C991" s="354"/>
      <c r="D991" s="1266"/>
      <c r="E991" s="1266"/>
      <c r="F991" s="1266"/>
      <c r="G991"/>
      <c r="I991" s="490"/>
    </row>
    <row r="992" spans="1:9" ht="12.75" customHeight="1">
      <c r="A992" s="175"/>
      <c r="B992" s="175"/>
      <c r="C992" s="354"/>
      <c r="D992" s="1266"/>
      <c r="E992" s="1266"/>
      <c r="F992" s="1266"/>
      <c r="G992" s="3"/>
      <c r="I992" s="490"/>
    </row>
    <row r="993" spans="1:9" ht="12.75" customHeight="1">
      <c r="A993" s="354"/>
      <c r="B993" s="354"/>
      <c r="C993" s="354"/>
      <c r="D993" s="3"/>
      <c r="E993" s="3"/>
      <c r="F993" s="3"/>
      <c r="G993" s="3"/>
      <c r="I993" s="490"/>
    </row>
    <row r="994" spans="1:9" ht="12.75" customHeight="1">
      <c r="A994" s="1313" t="s">
        <v>1775</v>
      </c>
      <c r="B994" s="1313"/>
      <c r="C994" s="1313"/>
      <c r="D994" s="1313"/>
      <c r="E994" s="1313"/>
      <c r="F994" s="1313"/>
      <c r="G994" s="1313"/>
      <c r="H994" s="1023"/>
      <c r="I994" s="1147"/>
    </row>
    <row r="995" spans="1:9" ht="12.75" customHeight="1">
      <c r="A995" s="118"/>
      <c r="B995" s="118"/>
      <c r="C995" s="354"/>
      <c r="D995" s="3"/>
      <c r="E995" s="3"/>
      <c r="F995" s="3"/>
      <c r="G995" s="3"/>
      <c r="I995" s="490"/>
    </row>
    <row r="996" spans="1:9" ht="12.75" customHeight="1">
      <c r="A996" s="354"/>
      <c r="B996" s="354"/>
      <c r="C996" s="984"/>
      <c r="D996" s="1325" t="s">
        <v>1797</v>
      </c>
      <c r="E996" s="1325"/>
      <c r="F996" s="1325"/>
      <c r="G996" s="3"/>
      <c r="I996" s="490"/>
    </row>
    <row r="997" spans="1:9" ht="12.75" customHeight="1">
      <c r="A997" s="172"/>
      <c r="B997" s="172"/>
      <c r="C997" s="172"/>
      <c r="D997" s="1305" t="s">
        <v>1776</v>
      </c>
      <c r="E997" s="1305"/>
      <c r="F997" s="1305"/>
      <c r="G997" s="3"/>
      <c r="I997" s="490"/>
    </row>
    <row r="998" spans="1:9" ht="12.75" customHeight="1">
      <c r="A998" s="172"/>
      <c r="B998" s="172"/>
      <c r="C998" s="172"/>
      <c r="D998" s="3"/>
      <c r="E998" s="3"/>
      <c r="F998" s="983"/>
      <c r="G998"/>
      <c r="I998" s="490"/>
    </row>
    <row r="999" spans="1:9" ht="12.75" customHeight="1">
      <c r="A999" s="354"/>
      <c r="B999" s="485" t="s">
        <v>2744</v>
      </c>
      <c r="C999" s="354"/>
      <c r="D999" s="1335" t="s">
        <v>1889</v>
      </c>
      <c r="E999" s="1335"/>
      <c r="F999" s="1335"/>
      <c r="G999"/>
      <c r="I999" s="490"/>
    </row>
    <row r="1000" spans="1:9" ht="12.75" customHeight="1">
      <c r="A1000" s="354"/>
      <c r="B1000" s="354"/>
      <c r="C1000" s="354"/>
      <c r="D1000" s="1335"/>
      <c r="E1000" s="1335"/>
      <c r="F1000" s="1335"/>
      <c r="G1000"/>
      <c r="I1000" s="490"/>
    </row>
    <row r="1001" spans="1:9" ht="12.75" customHeight="1">
      <c r="A1001" s="354"/>
      <c r="B1001" s="354"/>
      <c r="C1001" s="354"/>
      <c r="D1001" s="1033"/>
      <c r="E1001" s="1031" t="s">
        <v>1890</v>
      </c>
      <c r="F1001" s="1033"/>
      <c r="G1001"/>
      <c r="I1001" s="490"/>
    </row>
    <row r="1002" spans="1:9" ht="12.75" customHeight="1">
      <c r="A1002" s="354"/>
      <c r="B1002" s="354"/>
      <c r="C1002" s="354"/>
      <c r="D1002" s="1272" t="s">
        <v>1888</v>
      </c>
      <c r="E1002" s="1272"/>
      <c r="F1002" s="1272"/>
      <c r="G1002"/>
      <c r="I1002" s="490"/>
    </row>
    <row r="1003" spans="1:9" ht="12.75" customHeight="1">
      <c r="A1003" s="354"/>
      <c r="B1003" s="354"/>
      <c r="C1003" s="354"/>
      <c r="D1003" s="1272"/>
      <c r="E1003" s="1272"/>
      <c r="F1003" s="1272"/>
      <c r="G1003"/>
      <c r="I1003" s="490"/>
    </row>
    <row r="1004" spans="1:9" ht="12.75" customHeight="1">
      <c r="A1004" s="174"/>
      <c r="B1004" s="174"/>
      <c r="C1004" s="174"/>
      <c r="D1004" s="1272"/>
      <c r="E1004" s="1272"/>
      <c r="F1004" s="1272"/>
      <c r="G1004"/>
      <c r="I1004" s="490"/>
    </row>
    <row r="1005" spans="1:9" ht="12.75" customHeight="1">
      <c r="A1005" s="174"/>
      <c r="B1005" s="174"/>
      <c r="C1005" s="174"/>
      <c r="D1005" s="1272"/>
      <c r="E1005" s="1272"/>
      <c r="F1005" s="1272"/>
      <c r="G1005"/>
      <c r="I1005" s="490"/>
    </row>
    <row r="1006" spans="1:9" ht="12.75" customHeight="1">
      <c r="A1006" s="174"/>
      <c r="B1006" s="174"/>
      <c r="C1006" s="174"/>
      <c r="D1006" s="335"/>
      <c r="E1006" s="335"/>
      <c r="F1006" s="335"/>
      <c r="G1006"/>
      <c r="I1006" s="490"/>
    </row>
    <row r="1007" spans="1:9" ht="12.75" customHeight="1">
      <c r="A1007" s="174"/>
      <c r="B1007" s="485" t="s">
        <v>2741</v>
      </c>
      <c r="C1007" s="174"/>
      <c r="D1007" s="1266" t="s">
        <v>1777</v>
      </c>
      <c r="E1007" s="1266"/>
      <c r="F1007" s="1266"/>
      <c r="G1007"/>
      <c r="I1007" s="490"/>
    </row>
    <row r="1008" spans="1:9" ht="12.75" customHeight="1">
      <c r="A1008" s="174"/>
      <c r="B1008" s="174"/>
      <c r="C1008" s="174"/>
      <c r="D1008" s="1266"/>
      <c r="E1008" s="1266"/>
      <c r="F1008" s="1266"/>
      <c r="G1008"/>
      <c r="I1008" s="490"/>
    </row>
    <row r="1009" spans="1:9" ht="12.75" customHeight="1">
      <c r="A1009" s="174"/>
      <c r="B1009" s="174"/>
      <c r="C1009" s="174"/>
      <c r="D1009" s="1266"/>
      <c r="E1009" s="1266"/>
      <c r="F1009" s="1266"/>
      <c r="G1009"/>
      <c r="I1009" s="490"/>
    </row>
    <row r="1010" spans="1:9" ht="12.75" customHeight="1">
      <c r="A1010" s="174"/>
      <c r="B1010" s="174"/>
      <c r="C1010" s="174"/>
      <c r="D1010" s="1266"/>
      <c r="E1010" s="1266"/>
      <c r="F1010" s="1266"/>
      <c r="G1010"/>
      <c r="I1010" s="490"/>
    </row>
    <row r="1011" spans="1:9" ht="12.75" customHeight="1">
      <c r="A1011" s="174"/>
      <c r="B1011" s="174"/>
      <c r="C1011" s="174"/>
      <c r="D1011" s="441"/>
      <c r="E1011" s="441"/>
      <c r="F1011" s="441"/>
      <c r="G1011"/>
      <c r="I1011" s="490"/>
    </row>
    <row r="1012" spans="1:9" ht="12.75" customHeight="1">
      <c r="A1012" s="174"/>
      <c r="B1012" s="485" t="s">
        <v>2741</v>
      </c>
      <c r="C1012" s="174"/>
      <c r="D1012" s="1266" t="s">
        <v>2185</v>
      </c>
      <c r="E1012" s="1266"/>
      <c r="F1012" s="1266"/>
      <c r="G1012"/>
      <c r="I1012" s="490"/>
    </row>
    <row r="1013" spans="1:9" ht="12.75" customHeight="1">
      <c r="A1013" s="174"/>
      <c r="B1013" s="174"/>
      <c r="C1013" s="174"/>
      <c r="D1013" s="1266"/>
      <c r="E1013" s="1266"/>
      <c r="F1013" s="1266"/>
      <c r="G1013"/>
      <c r="I1013" s="490"/>
    </row>
    <row r="1014" spans="1:9" ht="12.75" customHeight="1">
      <c r="A1014" s="174"/>
      <c r="B1014" s="174"/>
      <c r="C1014" s="174"/>
      <c r="D1014" s="441"/>
      <c r="E1014" s="441"/>
      <c r="F1014" s="441"/>
      <c r="G1014"/>
      <c r="I1014" s="490"/>
    </row>
    <row r="1015" spans="1:9" ht="12.75" customHeight="1">
      <c r="A1015" s="175"/>
      <c r="B1015" s="485" t="s">
        <v>2741</v>
      </c>
      <c r="C1015" s="354"/>
      <c r="D1015" s="1305" t="s">
        <v>1778</v>
      </c>
      <c r="E1015" s="1305"/>
      <c r="F1015" s="1305"/>
      <c r="G1015"/>
      <c r="I1015" s="490"/>
    </row>
    <row r="1016" spans="1:9" ht="12.75" customHeight="1">
      <c r="A1016" s="354"/>
      <c r="B1016" s="354"/>
      <c r="C1016" s="354"/>
      <c r="D1016" s="3"/>
      <c r="E1016" s="3"/>
      <c r="F1016" s="3"/>
      <c r="G1016"/>
      <c r="I1016" s="490"/>
    </row>
    <row r="1017" spans="1:9" ht="12.75" customHeight="1">
      <c r="A1017" s="175"/>
      <c r="B1017" s="485" t="s">
        <v>2741</v>
      </c>
      <c r="C1017" s="354"/>
      <c r="D1017" s="1305" t="s">
        <v>1779</v>
      </c>
      <c r="E1017" s="1305"/>
      <c r="F1017" s="1305"/>
      <c r="G1017"/>
      <c r="I1017" s="490"/>
    </row>
    <row r="1018" spans="1:9" ht="12.75" customHeight="1">
      <c r="A1018" s="354"/>
      <c r="B1018" s="354"/>
      <c r="C1018" s="354"/>
      <c r="D1018" s="118"/>
      <c r="E1018" s="3"/>
      <c r="F1018" s="3"/>
      <c r="G1018"/>
      <c r="I1018" s="490"/>
    </row>
    <row r="1019" spans="1:9" ht="12.75" customHeight="1">
      <c r="A1019" s="175"/>
      <c r="B1019" s="485" t="s">
        <v>2744</v>
      </c>
      <c r="C1019" s="354"/>
      <c r="D1019" s="1305" t="s">
        <v>1780</v>
      </c>
      <c r="E1019" s="1305"/>
      <c r="F1019" s="1305"/>
      <c r="G1019"/>
      <c r="I1019" s="490"/>
    </row>
    <row r="1020" spans="1:9" ht="12.75" customHeight="1">
      <c r="A1020" s="354"/>
      <c r="B1020" s="354"/>
      <c r="C1020" s="354"/>
      <c r="D1020" s="118"/>
      <c r="E1020" s="3"/>
      <c r="F1020" s="3"/>
      <c r="G1020"/>
      <c r="I1020" s="490"/>
    </row>
    <row r="1021" spans="1:9" ht="12.75" customHeight="1">
      <c r="A1021" s="175"/>
      <c r="B1021" s="485" t="s">
        <v>2744</v>
      </c>
      <c r="C1021" s="354"/>
      <c r="D1021" s="1266" t="s">
        <v>1781</v>
      </c>
      <c r="E1021" s="1266"/>
      <c r="F1021" s="1266"/>
      <c r="G1021"/>
      <c r="I1021" s="490"/>
    </row>
    <row r="1022" spans="1:9" ht="12.75" customHeight="1">
      <c r="A1022" s="175"/>
      <c r="B1022" s="175"/>
      <c r="C1022" s="354"/>
      <c r="D1022" s="1266"/>
      <c r="E1022" s="1266"/>
      <c r="F1022" s="1266"/>
      <c r="G1022"/>
      <c r="I1022" s="490"/>
    </row>
    <row r="1023" spans="1:9" ht="12.75" customHeight="1">
      <c r="A1023" s="175"/>
      <c r="B1023" s="175"/>
      <c r="C1023" s="354"/>
      <c r="D1023" s="118"/>
      <c r="E1023" s="3"/>
      <c r="F1023" s="3"/>
      <c r="G1023" s="3"/>
      <c r="I1023" s="490"/>
    </row>
    <row r="1024" spans="1:9" ht="12.75" customHeight="1">
      <c r="A1024" s="254"/>
      <c r="B1024" s="485" t="s">
        <v>2741</v>
      </c>
      <c r="C1024" s="995"/>
      <c r="D1024" s="1321" t="s">
        <v>1782</v>
      </c>
      <c r="E1024" s="1321"/>
      <c r="F1024" s="1321"/>
      <c r="G1024" s="996"/>
      <c r="I1024" s="490"/>
    </row>
    <row r="1025" spans="1:9" ht="12.75" customHeight="1">
      <c r="A1025" s="995"/>
      <c r="B1025" s="995"/>
      <c r="C1025" s="995"/>
      <c r="D1025" s="1321"/>
      <c r="E1025" s="1321"/>
      <c r="F1025" s="1321"/>
      <c r="G1025" s="996"/>
      <c r="I1025" s="490"/>
    </row>
    <row r="1026" spans="1:9" ht="12.75" customHeight="1">
      <c r="A1026" s="995"/>
      <c r="B1026" s="995"/>
      <c r="C1026" s="995"/>
      <c r="D1026" s="979"/>
      <c r="E1026" s="996"/>
      <c r="F1026" s="996"/>
      <c r="G1026" s="996"/>
      <c r="I1026" s="490"/>
    </row>
    <row r="1027" spans="1:9" ht="12.75" customHeight="1">
      <c r="A1027" s="254"/>
      <c r="B1027" s="485" t="s">
        <v>2741</v>
      </c>
      <c r="C1027" s="995"/>
      <c r="D1027" s="1336" t="s">
        <v>1783</v>
      </c>
      <c r="E1027" s="1336"/>
      <c r="F1027" s="1336"/>
      <c r="G1027" s="996"/>
      <c r="I1027" s="490"/>
    </row>
    <row r="1028" spans="1:9" ht="12.75" customHeight="1">
      <c r="A1028" s="995"/>
      <c r="B1028" s="995"/>
      <c r="C1028" s="995"/>
      <c r="D1028" s="979"/>
      <c r="E1028" s="996"/>
      <c r="F1028" s="996"/>
      <c r="G1028" s="996"/>
      <c r="I1028" s="490"/>
    </row>
    <row r="1029" spans="1:9" ht="12.75" customHeight="1">
      <c r="A1029" s="175"/>
      <c r="B1029" s="485" t="s">
        <v>2741</v>
      </c>
      <c r="C1029" s="354"/>
      <c r="D1029" s="1305" t="s">
        <v>1784</v>
      </c>
      <c r="E1029" s="1305"/>
      <c r="F1029" s="1305"/>
      <c r="G1029" s="3"/>
      <c r="I1029" s="490"/>
    </row>
    <row r="1030" spans="1:9" ht="12.75" customHeight="1">
      <c r="A1030" s="175"/>
      <c r="B1030" s="175"/>
      <c r="C1030" s="354"/>
      <c r="D1030" s="118"/>
      <c r="E1030" s="3"/>
      <c r="F1030" s="3"/>
      <c r="G1030" s="3"/>
      <c r="I1030" s="490"/>
    </row>
    <row r="1031" spans="1:9" ht="12.75" customHeight="1">
      <c r="A1031" s="175"/>
      <c r="B1031" s="485" t="s">
        <v>2741</v>
      </c>
      <c r="C1031" s="354"/>
      <c r="D1031" s="1266" t="s">
        <v>1785</v>
      </c>
      <c r="E1031" s="1266"/>
      <c r="F1031" s="1266"/>
      <c r="G1031" s="3"/>
      <c r="I1031" s="490"/>
    </row>
    <row r="1032" spans="1:9" ht="12.75" customHeight="1">
      <c r="A1032" s="175"/>
      <c r="B1032" s="175"/>
      <c r="C1032" s="354"/>
      <c r="D1032" s="1266"/>
      <c r="E1032" s="1266"/>
      <c r="F1032" s="1266"/>
      <c r="G1032" s="3"/>
      <c r="I1032" s="490"/>
    </row>
    <row r="1033" spans="1:9" ht="12.75" customHeight="1">
      <c r="A1033" s="354"/>
      <c r="B1033" s="354"/>
      <c r="C1033" s="354"/>
      <c r="D1033" s="3"/>
      <c r="E1033" s="3"/>
      <c r="F1033" s="3"/>
      <c r="G1033" s="3"/>
      <c r="I1033" s="490"/>
    </row>
    <row r="1034" spans="1:9" ht="12.75" customHeight="1">
      <c r="A1034" s="1313" t="s">
        <v>1786</v>
      </c>
      <c r="B1034" s="1313"/>
      <c r="C1034" s="1313"/>
      <c r="D1034" s="1313"/>
      <c r="E1034" s="1313"/>
      <c r="F1034" s="1313"/>
      <c r="G1034" s="1313"/>
      <c r="H1034" s="1023"/>
      <c r="I1034" s="1147"/>
    </row>
    <row r="1035" spans="1:9" ht="12.75" customHeight="1">
      <c r="A1035" s="354"/>
      <c r="B1035" s="354"/>
      <c r="C1035" s="354"/>
      <c r="D1035" s="3"/>
      <c r="E1035" s="3"/>
      <c r="F1035" s="3"/>
      <c r="G1035" s="3"/>
      <c r="I1035" s="490"/>
    </row>
    <row r="1036" spans="1:9" ht="12.75" customHeight="1">
      <c r="A1036" s="354"/>
      <c r="B1036" s="354"/>
      <c r="C1036" s="354"/>
      <c r="D1036" s="1329" t="s">
        <v>1787</v>
      </c>
      <c r="E1036" s="1329"/>
      <c r="F1036" s="1329"/>
      <c r="G1036" s="3"/>
      <c r="I1036" s="490"/>
    </row>
    <row r="1037" spans="1:9" ht="12.75" customHeight="1">
      <c r="A1037" s="354"/>
      <c r="B1037" s="354"/>
      <c r="C1037" s="354"/>
      <c r="D1037" s="1336" t="s">
        <v>1788</v>
      </c>
      <c r="E1037" s="1336"/>
      <c r="F1037" s="1336"/>
      <c r="G1037" s="3"/>
      <c r="I1037" s="490"/>
    </row>
    <row r="1038" spans="1:9" ht="12.75" customHeight="1">
      <c r="A1038" s="172"/>
      <c r="B1038" s="172"/>
      <c r="C1038" s="172"/>
      <c r="D1038" s="3"/>
      <c r="E1038" s="3"/>
      <c r="F1038" s="3"/>
      <c r="G1038" s="3"/>
      <c r="I1038" s="490"/>
    </row>
    <row r="1039" spans="1:9" ht="12.75" customHeight="1">
      <c r="A1039" s="175"/>
      <c r="B1039" s="175"/>
      <c r="C1039" s="174"/>
      <c r="D1039" s="1329" t="s">
        <v>1802</v>
      </c>
      <c r="E1039" s="1329"/>
      <c r="F1039" s="1329"/>
      <c r="G1039" s="3"/>
      <c r="I1039" s="490"/>
    </row>
    <row r="1040" spans="1:9" ht="12.75" customHeight="1">
      <c r="A1040" s="354"/>
      <c r="B1040" s="485" t="s">
        <v>2744</v>
      </c>
      <c r="C1040" s="354"/>
      <c r="D1040" s="1336" t="s">
        <v>1271</v>
      </c>
      <c r="E1040" s="1336"/>
      <c r="F1040" s="1336"/>
      <c r="G1040" s="3"/>
      <c r="I1040" s="490"/>
    </row>
    <row r="1041" spans="1:9" ht="12.75" customHeight="1">
      <c r="A1041" s="354"/>
      <c r="B1041" s="175"/>
      <c r="C1041" s="354"/>
      <c r="D1041" s="1336" t="s">
        <v>1789</v>
      </c>
      <c r="E1041" s="1336"/>
      <c r="F1041" s="1336"/>
      <c r="G1041" s="3"/>
      <c r="I1041" s="490"/>
    </row>
    <row r="1042" spans="1:9" ht="12.75" customHeight="1">
      <c r="A1042" s="354"/>
      <c r="B1042" s="354"/>
      <c r="C1042" s="354"/>
      <c r="D1042" s="1336"/>
      <c r="E1042" s="1336"/>
      <c r="F1042" s="1336"/>
      <c r="G1042" s="3"/>
      <c r="I1042" s="490"/>
    </row>
    <row r="1043" spans="1:9" ht="12.75" customHeight="1">
      <c r="A1043" s="1313" t="s">
        <v>1798</v>
      </c>
      <c r="B1043" s="1313"/>
      <c r="C1043" s="1313"/>
      <c r="D1043" s="1313"/>
      <c r="E1043" s="1313"/>
      <c r="F1043" s="1313"/>
      <c r="G1043" s="1313"/>
      <c r="H1043" s="1023"/>
      <c r="I1043" s="1147"/>
    </row>
    <row r="1044" spans="1:9" ht="12.75" customHeight="1">
      <c r="A1044" s="118"/>
      <c r="B1044" s="118"/>
      <c r="C1044" s="354"/>
      <c r="D1044" s="3"/>
      <c r="E1044" s="3"/>
      <c r="F1044" s="3"/>
      <c r="G1044" s="3"/>
      <c r="I1044" s="490"/>
    </row>
    <row r="1045" spans="1:9" ht="12.75" hidden="1" customHeight="1">
      <c r="A1045" s="118"/>
      <c r="B1045" s="402"/>
      <c r="D1045" s="1337" t="s">
        <v>1272</v>
      </c>
      <c r="E1045" s="1337"/>
      <c r="F1045" s="1337"/>
      <c r="G1045" s="3"/>
      <c r="I1045" s="490"/>
    </row>
    <row r="1046" spans="1:9" ht="12.75" hidden="1" customHeight="1">
      <c r="A1046" s="118"/>
      <c r="B1046" s="485" t="s">
        <v>307</v>
      </c>
      <c r="D1046" s="1300" t="s">
        <v>1271</v>
      </c>
      <c r="E1046" s="1300"/>
      <c r="F1046" s="1300"/>
      <c r="G1046" s="3"/>
      <c r="I1046" s="490"/>
    </row>
    <row r="1047" spans="1:9" ht="12.75" hidden="1" customHeight="1">
      <c r="A1047" s="118"/>
      <c r="B1047" s="402"/>
      <c r="D1047" s="1300" t="s">
        <v>1799</v>
      </c>
      <c r="E1047" s="1300"/>
      <c r="F1047" s="1300"/>
      <c r="G1047" s="3"/>
      <c r="I1047" s="490"/>
    </row>
    <row r="1048" spans="1:9" ht="12.75" hidden="1" customHeight="1">
      <c r="A1048" s="118"/>
      <c r="B1048" s="402"/>
      <c r="D1048" s="444"/>
      <c r="E1048" s="444"/>
      <c r="F1048" s="444"/>
      <c r="G1048" s="3"/>
      <c r="I1048" s="490"/>
    </row>
    <row r="1049" spans="1:9" ht="12.75" customHeight="1">
      <c r="A1049" s="118"/>
      <c r="B1049" s="118"/>
      <c r="C1049" s="354"/>
      <c r="D1049" s="1338" t="s">
        <v>1066</v>
      </c>
      <c r="E1049" s="1338"/>
      <c r="F1049" s="1338"/>
      <c r="G1049" s="3"/>
      <c r="I1049" s="490"/>
    </row>
    <row r="1050" spans="1:9" ht="12.75" customHeight="1">
      <c r="A1050" s="319"/>
      <c r="B1050" s="319"/>
      <c r="C1050" s="319"/>
      <c r="D1050" s="1306" t="s">
        <v>2202</v>
      </c>
      <c r="E1050" s="1306"/>
      <c r="F1050" s="1306"/>
      <c r="G1050" s="98"/>
      <c r="I1050" s="490"/>
    </row>
    <row r="1051" spans="1:9" ht="12.75" customHeight="1">
      <c r="A1051" s="175"/>
      <c r="B1051" s="485" t="s">
        <v>2741</v>
      </c>
      <c r="C1051" s="354"/>
      <c r="D1051" s="1306" t="s">
        <v>985</v>
      </c>
      <c r="E1051" s="1306"/>
      <c r="F1051" s="1306"/>
      <c r="G1051" s="3"/>
      <c r="I1051" s="490"/>
    </row>
    <row r="1052" spans="1:9" ht="12.75" customHeight="1">
      <c r="A1052" s="354"/>
      <c r="B1052" s="354"/>
      <c r="C1052" s="354"/>
      <c r="D1052" s="1031" t="s">
        <v>1891</v>
      </c>
      <c r="E1052" s="96"/>
      <c r="F1052" s="96"/>
      <c r="G1052" s="3"/>
      <c r="I1052" s="490"/>
    </row>
    <row r="1053" spans="1:9">
      <c r="A1053" s="402"/>
      <c r="B1053" s="402"/>
      <c r="C1053" s="402"/>
      <c r="I1053" s="490"/>
    </row>
    <row r="1054" spans="1:9">
      <c r="A1054" s="1313" t="s">
        <v>2618</v>
      </c>
      <c r="B1054" s="1313"/>
      <c r="C1054" s="1313"/>
      <c r="D1054" s="1313"/>
      <c r="E1054" s="1313"/>
      <c r="F1054" s="1313"/>
      <c r="G1054" s="1313"/>
      <c r="H1054" s="1023"/>
      <c r="I1054" s="1147"/>
    </row>
    <row r="1055" spans="1:9">
      <c r="A1055" s="402"/>
      <c r="B1055" s="402"/>
      <c r="C1055" s="402"/>
      <c r="I1055" s="490"/>
    </row>
    <row r="1056" spans="1:9">
      <c r="A1056" s="402"/>
      <c r="B1056" s="402"/>
      <c r="C1056" s="402"/>
      <c r="D1056" s="404" t="s">
        <v>2617</v>
      </c>
      <c r="I1056" s="490"/>
    </row>
    <row r="1057" spans="1:9">
      <c r="A1057" s="402"/>
      <c r="B1057" s="402"/>
      <c r="C1057" s="402"/>
      <c r="D1057" s="402" t="s">
        <v>2621</v>
      </c>
      <c r="I1057" s="490"/>
    </row>
    <row r="1058" spans="1:9">
      <c r="A1058" s="402"/>
      <c r="B1058" s="402"/>
      <c r="C1058" s="402"/>
      <c r="D1058" s="404"/>
      <c r="I1058" s="490"/>
    </row>
    <row r="1059" spans="1:9">
      <c r="A1059" s="402"/>
      <c r="B1059" s="485" t="s">
        <v>2741</v>
      </c>
      <c r="C1059" s="402"/>
      <c r="D1059" s="1287" t="s">
        <v>1803</v>
      </c>
      <c r="E1059" s="1287"/>
      <c r="F1059" s="1287"/>
      <c r="I1059" s="490"/>
    </row>
    <row r="1060" spans="1:9">
      <c r="A1060" s="402"/>
      <c r="B1060" s="402"/>
      <c r="C1060" s="402"/>
      <c r="D1060" s="1287"/>
      <c r="E1060" s="1287"/>
      <c r="F1060" s="1287"/>
      <c r="I1060" s="490"/>
    </row>
    <row r="1061" spans="1:9">
      <c r="A1061" s="402"/>
      <c r="B1061" s="402"/>
      <c r="C1061" s="402"/>
      <c r="D1061" s="1287"/>
      <c r="E1061" s="1287"/>
      <c r="F1061" s="1287"/>
      <c r="I1061" s="490"/>
    </row>
    <row r="1062" spans="1:9">
      <c r="A1062" s="402"/>
      <c r="B1062" s="402"/>
      <c r="C1062" s="402"/>
      <c r="D1062" s="1287"/>
      <c r="E1062" s="1287"/>
      <c r="F1062" s="1287"/>
      <c r="I1062" s="490"/>
    </row>
    <row r="1063" spans="1:9">
      <c r="A1063" s="402"/>
      <c r="B1063" s="402"/>
      <c r="C1063" s="402"/>
      <c r="I1063" s="490"/>
    </row>
    <row r="1064" spans="1:9">
      <c r="A1064" s="402"/>
      <c r="B1064" s="402"/>
      <c r="C1064" s="402"/>
      <c r="D1064" s="404" t="s">
        <v>1307</v>
      </c>
      <c r="I1064" s="490"/>
    </row>
    <row r="1065" spans="1:9">
      <c r="A1065" s="402"/>
      <c r="B1065" s="402"/>
      <c r="C1065" s="402"/>
      <c r="D1065" s="402" t="s">
        <v>2622</v>
      </c>
      <c r="I1065" s="490"/>
    </row>
    <row r="1066" spans="1:9">
      <c r="A1066" s="402"/>
      <c r="B1066" s="402"/>
      <c r="C1066" s="402"/>
      <c r="I1066" s="490"/>
    </row>
    <row r="1067" spans="1:9">
      <c r="A1067" s="402"/>
      <c r="B1067" s="485" t="s">
        <v>2744</v>
      </c>
      <c r="C1067" s="402"/>
      <c r="D1067" s="402" t="s">
        <v>1801</v>
      </c>
      <c r="I1067" s="490"/>
    </row>
    <row r="1068" spans="1:9">
      <c r="A1068" s="402"/>
      <c r="B1068" s="402"/>
      <c r="C1068" s="402"/>
      <c r="I1068" s="490"/>
    </row>
    <row r="1069" spans="1:9">
      <c r="A1069" s="402"/>
      <c r="B1069" s="485" t="s">
        <v>2741</v>
      </c>
      <c r="C1069" s="402"/>
      <c r="D1069" s="1287" t="s">
        <v>1804</v>
      </c>
      <c r="E1069" s="1287"/>
      <c r="F1069" s="1287"/>
      <c r="I1069" s="490"/>
    </row>
    <row r="1070" spans="1:9">
      <c r="A1070" s="402"/>
      <c r="B1070" s="402"/>
      <c r="C1070" s="402"/>
      <c r="D1070" s="1287"/>
      <c r="E1070" s="1287"/>
      <c r="F1070" s="1287"/>
      <c r="I1070" s="490"/>
    </row>
    <row r="1071" spans="1:9">
      <c r="A1071" s="402"/>
      <c r="B1071" s="402"/>
      <c r="C1071" s="402"/>
      <c r="D1071" s="1287"/>
      <c r="E1071" s="1287"/>
      <c r="F1071" s="1287"/>
      <c r="I1071" s="490"/>
    </row>
    <row r="1072" spans="1:9">
      <c r="A1072" s="402"/>
      <c r="B1072" s="402"/>
      <c r="C1072" s="402"/>
      <c r="D1072" s="1287"/>
      <c r="E1072" s="1287"/>
      <c r="F1072" s="1287"/>
      <c r="I1072" s="490"/>
    </row>
    <row r="1073" spans="1:9">
      <c r="A1073" s="402"/>
      <c r="B1073" s="402"/>
      <c r="C1073" s="402"/>
      <c r="D1073" s="1287"/>
      <c r="E1073" s="1287"/>
      <c r="F1073" s="1287"/>
      <c r="I1073" s="490"/>
    </row>
    <row r="1074" spans="1:9">
      <c r="A1074" s="402"/>
      <c r="B1074" s="402"/>
      <c r="C1074" s="402"/>
      <c r="I1074" s="490"/>
    </row>
    <row r="1075" spans="1:9">
      <c r="A1075" s="1313" t="s">
        <v>1805</v>
      </c>
      <c r="B1075" s="1313"/>
      <c r="C1075" s="1313"/>
      <c r="D1075" s="1313"/>
      <c r="E1075" s="1313"/>
      <c r="F1075" s="1313"/>
      <c r="G1075" s="1313"/>
      <c r="H1075" s="1023"/>
      <c r="I1075" s="1147"/>
    </row>
    <row r="1076" spans="1:9">
      <c r="A1076" s="402"/>
      <c r="B1076" s="402"/>
      <c r="C1076" s="402"/>
      <c r="I1076" s="490"/>
    </row>
    <row r="1077" spans="1:9">
      <c r="A1077" s="402"/>
      <c r="B1077" s="402"/>
      <c r="C1077" s="402"/>
      <c r="I1077" s="490"/>
    </row>
    <row r="1078" spans="1:9">
      <c r="A1078" s="402"/>
      <c r="B1078" s="485" t="s">
        <v>2744</v>
      </c>
      <c r="C1078" s="402"/>
      <c r="D1078" s="527" t="s">
        <v>1808</v>
      </c>
      <c r="I1078" s="490"/>
    </row>
    <row r="1079" spans="1:9">
      <c r="A1079" s="402"/>
      <c r="B1079" s="402"/>
      <c r="C1079" s="402"/>
      <c r="D1079" s="527" t="s">
        <v>2631</v>
      </c>
      <c r="I1079" s="490"/>
    </row>
    <row r="1080" spans="1:9">
      <c r="A1080" s="402"/>
      <c r="B1080" s="402"/>
      <c r="C1080" s="402"/>
      <c r="D1080" s="527"/>
      <c r="I1080" s="490"/>
    </row>
    <row r="1081" spans="1:9">
      <c r="A1081" s="402"/>
      <c r="B1081" s="485" t="s">
        <v>2741</v>
      </c>
      <c r="C1081" s="402"/>
      <c r="D1081" s="1334" t="s">
        <v>2624</v>
      </c>
      <c r="E1081" s="1334"/>
      <c r="F1081" s="1334"/>
      <c r="I1081" s="490"/>
    </row>
    <row r="1082" spans="1:9">
      <c r="A1082" s="402"/>
      <c r="B1082" s="402"/>
      <c r="C1082" s="402"/>
      <c r="D1082" s="1334"/>
      <c r="E1082" s="1334"/>
      <c r="F1082" s="1334"/>
      <c r="I1082" s="490"/>
    </row>
    <row r="1083" spans="1:9">
      <c r="A1083" s="402"/>
      <c r="B1083" s="402"/>
      <c r="C1083" s="402"/>
      <c r="D1083" s="527" t="s">
        <v>2623</v>
      </c>
      <c r="I1083" s="490"/>
    </row>
    <row r="1084" spans="1:9">
      <c r="A1084" s="402"/>
      <c r="B1084" s="402"/>
      <c r="C1084" s="402"/>
      <c r="D1084" s="527"/>
      <c r="I1084" s="490"/>
    </row>
    <row r="1085" spans="1:9">
      <c r="A1085" s="402"/>
      <c r="B1085" s="485" t="s">
        <v>2741</v>
      </c>
      <c r="C1085" s="402"/>
      <c r="D1085" s="119" t="s">
        <v>2632</v>
      </c>
      <c r="I1085" s="490"/>
    </row>
    <row r="1086" spans="1:9">
      <c r="A1086" s="402"/>
      <c r="B1086" s="402"/>
      <c r="C1086" s="402"/>
      <c r="D1086" s="1266" t="s">
        <v>2634</v>
      </c>
      <c r="E1086" s="1266"/>
      <c r="F1086" s="1266"/>
      <c r="I1086" s="490"/>
    </row>
    <row r="1087" spans="1:9">
      <c r="A1087" s="402"/>
      <c r="B1087" s="402"/>
      <c r="C1087" s="402"/>
      <c r="D1087" s="1266"/>
      <c r="E1087" s="1266"/>
      <c r="F1087" s="1266"/>
      <c r="I1087" s="490"/>
    </row>
    <row r="1088" spans="1:9">
      <c r="A1088" s="402"/>
      <c r="B1088" s="402"/>
      <c r="C1088" s="402"/>
      <c r="D1088" s="1266"/>
      <c r="E1088" s="1266"/>
      <c r="F1088" s="1266"/>
      <c r="I1088" s="490"/>
    </row>
    <row r="1089" spans="1:9">
      <c r="A1089" s="402"/>
      <c r="B1089" s="402"/>
      <c r="C1089" s="402"/>
      <c r="D1089" s="1266"/>
      <c r="E1089" s="1266"/>
      <c r="F1089" s="1266"/>
      <c r="I1089" s="490"/>
    </row>
    <row r="1090" spans="1:9">
      <c r="A1090" s="402"/>
      <c r="B1090" s="402"/>
      <c r="C1090" s="402"/>
      <c r="D1090" s="119" t="s">
        <v>2633</v>
      </c>
      <c r="I1090" s="490"/>
    </row>
    <row r="1091" spans="1:9">
      <c r="A1091" s="402"/>
      <c r="B1091" s="402"/>
      <c r="C1091" s="402"/>
      <c r="D1091" s="119"/>
      <c r="I1091" s="490"/>
    </row>
    <row r="1092" spans="1:9">
      <c r="A1092" s="402"/>
      <c r="B1092" s="402"/>
      <c r="C1092" s="402"/>
      <c r="D1092" s="527" t="s">
        <v>1806</v>
      </c>
      <c r="I1092" s="490"/>
    </row>
    <row r="1093" spans="1:9">
      <c r="A1093" s="402"/>
      <c r="B1093" s="485" t="s">
        <v>2741</v>
      </c>
      <c r="C1093" s="402"/>
      <c r="D1093" s="1331" t="s">
        <v>1807</v>
      </c>
      <c r="E1093" s="1331"/>
      <c r="F1093" s="1331"/>
      <c r="I1093" s="490"/>
    </row>
    <row r="1094" spans="1:9">
      <c r="A1094" s="402"/>
      <c r="B1094" s="402"/>
      <c r="C1094" s="402"/>
      <c r="D1094" s="1331"/>
      <c r="E1094" s="1331"/>
      <c r="F1094" s="1331"/>
      <c r="I1094" s="490"/>
    </row>
    <row r="1095" spans="1:9">
      <c r="A1095" s="402"/>
      <c r="B1095" s="402"/>
      <c r="C1095" s="402"/>
      <c r="D1095" s="1331"/>
      <c r="E1095" s="1331"/>
      <c r="F1095" s="1331"/>
      <c r="I1095" s="490"/>
    </row>
    <row r="1096" spans="1:9">
      <c r="A1096" s="402"/>
      <c r="B1096" s="402"/>
      <c r="C1096" s="402"/>
      <c r="D1096" s="1331"/>
      <c r="E1096" s="1331"/>
      <c r="F1096" s="1331"/>
      <c r="I1096" s="490"/>
    </row>
    <row r="1097" spans="1:9">
      <c r="A1097" s="402"/>
      <c r="B1097" s="402"/>
      <c r="C1097" s="402"/>
      <c r="D1097" s="1331"/>
      <c r="E1097" s="1331"/>
      <c r="F1097" s="1331"/>
      <c r="I1097" s="490"/>
    </row>
    <row r="1098" spans="1:9">
      <c r="A1098" s="402"/>
      <c r="B1098" s="402"/>
      <c r="C1098" s="402"/>
      <c r="D1098" s="527" t="s">
        <v>2635</v>
      </c>
      <c r="I1098" s="490"/>
    </row>
    <row r="1099" spans="1:9">
      <c r="A1099" s="402"/>
      <c r="B1099" s="402"/>
      <c r="C1099" s="402"/>
      <c r="I1099" s="490"/>
    </row>
    <row r="1100" spans="1:9">
      <c r="A1100" s="402"/>
      <c r="B1100" s="485" t="s">
        <v>2741</v>
      </c>
      <c r="C1100" s="402"/>
      <c r="D1100" s="1282" t="s">
        <v>2224</v>
      </c>
      <c r="E1100" s="1282"/>
      <c r="F1100" s="1282"/>
      <c r="I1100" s="490"/>
    </row>
    <row r="1101" spans="1:9">
      <c r="A1101" s="402"/>
      <c r="B1101" s="402"/>
      <c r="C1101" s="402"/>
      <c r="D1101" s="1282"/>
      <c r="E1101" s="1282"/>
      <c r="F1101" s="1282"/>
      <c r="I1101" s="490"/>
    </row>
    <row r="1102" spans="1:9">
      <c r="A1102" s="402"/>
      <c r="B1102" s="402"/>
      <c r="C1102" s="402"/>
      <c r="D1102" s="1282"/>
      <c r="E1102" s="1282"/>
      <c r="F1102" s="1282"/>
      <c r="I1102" s="490"/>
    </row>
    <row r="1103" spans="1:9">
      <c r="A1103" s="402"/>
      <c r="B1103" s="402"/>
      <c r="C1103" s="402"/>
      <c r="I1103" s="490"/>
    </row>
    <row r="1104" spans="1:9">
      <c r="A1104" s="1313" t="s">
        <v>1809</v>
      </c>
      <c r="B1104" s="1313"/>
      <c r="C1104" s="1313"/>
      <c r="D1104" s="1313"/>
      <c r="E1104" s="1313"/>
      <c r="F1104" s="1313"/>
      <c r="G1104" s="1313"/>
      <c r="H1104" s="1023"/>
      <c r="I1104" s="1147"/>
    </row>
    <row r="1105" spans="1:9">
      <c r="A1105" s="402"/>
      <c r="B1105" s="402"/>
      <c r="C1105" s="402"/>
      <c r="I1105" s="490"/>
    </row>
    <row r="1106" spans="1:9">
      <c r="A1106" s="402"/>
      <c r="B1106" s="402"/>
      <c r="C1106" s="402"/>
      <c r="I1106" s="490"/>
    </row>
    <row r="1107" spans="1:9" ht="12.75" customHeight="1">
      <c r="A1107" s="402"/>
      <c r="B1107" s="485" t="s">
        <v>2741</v>
      </c>
      <c r="C1107" s="402"/>
      <c r="D1107" s="1332" t="s">
        <v>1903</v>
      </c>
      <c r="E1107" s="1332"/>
      <c r="F1107" s="1332"/>
      <c r="I1107" s="490"/>
    </row>
    <row r="1108" spans="1:9">
      <c r="A1108" s="402"/>
      <c r="B1108" s="402"/>
      <c r="C1108" s="402"/>
      <c r="D1108" s="1332"/>
      <c r="E1108" s="1332"/>
      <c r="F1108" s="1332"/>
      <c r="I1108" s="490"/>
    </row>
    <row r="1109" spans="1:9">
      <c r="A1109" s="402"/>
      <c r="B1109" s="402"/>
      <c r="C1109" s="402"/>
      <c r="D1109" s="1333" t="s">
        <v>2639</v>
      </c>
      <c r="E1109" s="1266"/>
      <c r="F1109" s="1266"/>
      <c r="I1109" s="490"/>
    </row>
    <row r="1110" spans="1:9">
      <c r="A1110" s="402"/>
      <c r="B1110" s="402"/>
      <c r="C1110" s="402"/>
      <c r="D1110" s="527"/>
      <c r="I1110" s="490"/>
    </row>
    <row r="1111" spans="1:9">
      <c r="A1111" s="402"/>
      <c r="B1111" s="485" t="s">
        <v>2741</v>
      </c>
      <c r="C1111" s="402"/>
      <c r="D1111" s="1331" t="s">
        <v>2587</v>
      </c>
      <c r="E1111" s="1331"/>
      <c r="F1111" s="1331"/>
      <c r="I1111" s="490"/>
    </row>
    <row r="1112" spans="1:9">
      <c r="A1112" s="402"/>
      <c r="B1112" s="402"/>
      <c r="C1112" s="402"/>
      <c r="D1112" s="1331"/>
      <c r="E1112" s="1331"/>
      <c r="F1112" s="1331"/>
      <c r="I1112" s="490"/>
    </row>
    <row r="1113" spans="1:9">
      <c r="A1113" s="402"/>
      <c r="B1113" s="402"/>
      <c r="C1113" s="402"/>
      <c r="D1113" s="1331"/>
      <c r="E1113" s="1331"/>
      <c r="F1113" s="1331"/>
      <c r="I1113" s="490"/>
    </row>
    <row r="1114" spans="1:9">
      <c r="A1114" s="402"/>
      <c r="B1114" s="402"/>
      <c r="C1114" s="402"/>
      <c r="D1114" s="527"/>
      <c r="I1114" s="490"/>
    </row>
    <row r="1115" spans="1:9">
      <c r="A1115" s="402"/>
      <c r="B1115" s="485" t="s">
        <v>2741</v>
      </c>
      <c r="C1115" s="402"/>
      <c r="D1115" s="1331" t="s">
        <v>2606</v>
      </c>
      <c r="E1115" s="1331"/>
      <c r="F1115" s="1331"/>
      <c r="I1115" s="490"/>
    </row>
    <row r="1116" spans="1:9">
      <c r="A1116" s="402"/>
      <c r="B1116" s="402"/>
      <c r="C1116" s="402"/>
      <c r="D1116" s="1331"/>
      <c r="E1116" s="1331"/>
      <c r="F1116" s="1331"/>
      <c r="I1116" s="490"/>
    </row>
    <row r="1117" spans="1:9">
      <c r="A1117" s="402"/>
      <c r="B1117" s="402"/>
      <c r="C1117" s="402"/>
      <c r="D1117" s="1331"/>
      <c r="E1117" s="1331"/>
      <c r="F1117" s="1331"/>
      <c r="I1117" s="490"/>
    </row>
    <row r="1118" spans="1:9">
      <c r="A1118" s="402"/>
      <c r="B1118" s="402"/>
      <c r="C1118" s="402"/>
      <c r="D1118" s="1331"/>
      <c r="E1118" s="1331"/>
      <c r="F1118" s="1331"/>
      <c r="I1118" s="490"/>
    </row>
    <row r="1119" spans="1:9">
      <c r="A1119" s="402"/>
      <c r="B1119" s="402"/>
      <c r="C1119" s="402"/>
      <c r="D1119" s="1331"/>
      <c r="E1119" s="1331"/>
      <c r="F1119" s="1331"/>
      <c r="I1119" s="490"/>
    </row>
    <row r="1120" spans="1:9">
      <c r="A1120" s="402"/>
      <c r="B1120" s="402"/>
      <c r="C1120" s="402"/>
      <c r="D1120" s="527"/>
      <c r="I1120" s="480"/>
    </row>
    <row r="1121" spans="1:9">
      <c r="A1121" s="402"/>
      <c r="B1121" s="485" t="s">
        <v>2741</v>
      </c>
      <c r="C1121" s="402"/>
      <c r="D1121" s="1331" t="s">
        <v>1810</v>
      </c>
      <c r="E1121" s="1331"/>
      <c r="F1121" s="1331"/>
      <c r="I1121" s="490"/>
    </row>
    <row r="1122" spans="1:9">
      <c r="A1122" s="402"/>
      <c r="B1122" s="402"/>
      <c r="C1122" s="402"/>
      <c r="D1122" s="1331"/>
      <c r="E1122" s="1331"/>
      <c r="F1122" s="1331"/>
      <c r="I1122" s="490"/>
    </row>
    <row r="1123" spans="1:9">
      <c r="A1123" s="402"/>
      <c r="B1123" s="402"/>
      <c r="C1123" s="402"/>
      <c r="D1123" s="1331"/>
      <c r="E1123" s="1331"/>
      <c r="F1123" s="1331"/>
      <c r="I1123" s="490"/>
    </row>
    <row r="1124" spans="1:9">
      <c r="A1124" s="402"/>
      <c r="B1124" s="402"/>
      <c r="C1124" s="402"/>
      <c r="D1124" s="527"/>
      <c r="I1124" s="490"/>
    </row>
    <row r="1125" spans="1:9">
      <c r="A1125" s="402"/>
      <c r="B1125" s="485" t="s">
        <v>2744</v>
      </c>
      <c r="C1125" s="402"/>
      <c r="D1125" s="1272" t="s">
        <v>1862</v>
      </c>
      <c r="E1125" s="1272"/>
      <c r="F1125" s="1272"/>
      <c r="I1125" s="490"/>
    </row>
    <row r="1126" spans="1:9">
      <c r="A1126" s="402"/>
      <c r="B1126" s="402"/>
      <c r="C1126" s="402"/>
      <c r="D1126" s="1272"/>
      <c r="E1126" s="1272"/>
      <c r="F1126" s="1272"/>
      <c r="I1126" s="490"/>
    </row>
    <row r="1127" spans="1:9">
      <c r="A1127" s="402"/>
      <c r="B1127" s="402"/>
      <c r="C1127" s="402"/>
      <c r="D1127" s="1272"/>
      <c r="E1127" s="1272"/>
      <c r="F1127" s="1272"/>
      <c r="I1127" s="490"/>
    </row>
    <row r="1128" spans="1:9">
      <c r="A1128" s="402"/>
      <c r="B1128" s="402"/>
      <c r="C1128" s="402"/>
      <c r="D1128" s="975"/>
      <c r="E1128" s="975"/>
      <c r="F1128" s="975"/>
      <c r="I1128" s="490"/>
    </row>
    <row r="1129" spans="1:9" ht="15.75" customHeight="1">
      <c r="A1129" s="402"/>
      <c r="B1129" s="485" t="s">
        <v>2741</v>
      </c>
      <c r="C1129" s="402"/>
      <c r="D1129" s="1266" t="s">
        <v>1863</v>
      </c>
      <c r="E1129" s="1266"/>
      <c r="F1129" s="1266"/>
      <c r="I1129" s="490"/>
    </row>
    <row r="1130" spans="1:9">
      <c r="A1130" s="402"/>
      <c r="B1130" s="402"/>
      <c r="C1130" s="402"/>
      <c r="D1130" s="1266"/>
      <c r="E1130" s="1266"/>
      <c r="F1130" s="1266"/>
      <c r="I1130" s="490"/>
    </row>
    <row r="1131" spans="1:9">
      <c r="A1131" s="402"/>
      <c r="B1131" s="402"/>
      <c r="C1131" s="402"/>
      <c r="D1131" s="1266"/>
      <c r="E1131" s="1266"/>
      <c r="F1131" s="1266"/>
      <c r="I1131" s="490"/>
    </row>
    <row r="1132" spans="1:9">
      <c r="A1132" s="402"/>
      <c r="B1132" s="402"/>
      <c r="C1132" s="402"/>
      <c r="D1132" s="1266"/>
      <c r="E1132" s="1266"/>
      <c r="F1132" s="1266"/>
      <c r="I1132" s="490"/>
    </row>
    <row r="1133" spans="1:9">
      <c r="A1133" s="402"/>
      <c r="B1133" s="402"/>
      <c r="C1133" s="402"/>
      <c r="D1133" s="975"/>
      <c r="E1133" s="975"/>
      <c r="F1133" s="975"/>
      <c r="I1133" s="490"/>
    </row>
    <row r="1134" spans="1:9">
      <c r="A1134" s="402"/>
      <c r="B1134" s="485" t="s">
        <v>2741</v>
      </c>
      <c r="C1134" s="402"/>
      <c r="D1134" s="1272" t="s">
        <v>2616</v>
      </c>
      <c r="E1134" s="1272"/>
      <c r="F1134" s="1272"/>
      <c r="I1134" s="490"/>
    </row>
    <row r="1135" spans="1:9">
      <c r="A1135" s="402"/>
      <c r="B1135" s="402"/>
      <c r="C1135" s="402"/>
      <c r="D1135" s="1272"/>
      <c r="E1135" s="1272"/>
      <c r="F1135" s="1272"/>
      <c r="I1135" s="490"/>
    </row>
    <row r="1136" spans="1:9">
      <c r="A1136" s="402"/>
      <c r="B1136" s="402"/>
      <c r="C1136" s="402"/>
      <c r="D1136" s="1272"/>
      <c r="E1136" s="1272"/>
      <c r="F1136" s="1272"/>
      <c r="I1136" s="490"/>
    </row>
    <row r="1137" spans="1:9">
      <c r="A1137" s="402"/>
      <c r="B1137" s="402"/>
      <c r="C1137" s="402"/>
      <c r="D1137" s="1272"/>
      <c r="E1137" s="1272"/>
      <c r="F1137" s="1272"/>
      <c r="I1137" s="490"/>
    </row>
    <row r="1138" spans="1:9">
      <c r="A1138" s="402"/>
      <c r="B1138" s="402"/>
      <c r="C1138" s="402"/>
      <c r="D1138" s="1272"/>
      <c r="E1138" s="1272"/>
      <c r="F1138" s="1272"/>
      <c r="I1138" s="490"/>
    </row>
    <row r="1139" spans="1:9">
      <c r="A1139" s="402"/>
      <c r="B1139" s="402"/>
      <c r="C1139" s="402"/>
      <c r="D1139" s="1272"/>
      <c r="E1139" s="1272"/>
      <c r="F1139" s="1272"/>
      <c r="I1139" s="490"/>
    </row>
    <row r="1140" spans="1:9">
      <c r="A1140" s="402"/>
      <c r="B1140" s="402"/>
      <c r="C1140" s="402"/>
      <c r="D1140" s="975"/>
      <c r="E1140" s="975"/>
      <c r="F1140" s="975"/>
      <c r="I1140" s="490"/>
    </row>
    <row r="1141" spans="1:9">
      <c r="A1141" s="402"/>
      <c r="B1141" s="485" t="s">
        <v>2741</v>
      </c>
      <c r="C1141" s="402"/>
      <c r="D1141" s="1287" t="s">
        <v>2588</v>
      </c>
      <c r="E1141" s="1287"/>
      <c r="F1141" s="1287"/>
      <c r="I1141" s="1153"/>
    </row>
    <row r="1142" spans="1:9">
      <c r="A1142" s="402"/>
      <c r="B1142" s="402"/>
      <c r="C1142" s="402"/>
      <c r="D1142" s="1287"/>
      <c r="E1142" s="1287"/>
      <c r="F1142" s="1287"/>
      <c r="I1142" s="490"/>
    </row>
    <row r="1143" spans="1:9">
      <c r="A1143" s="402"/>
      <c r="B1143" s="402"/>
      <c r="C1143" s="402"/>
      <c r="D1143" s="1287"/>
      <c r="E1143" s="1287"/>
      <c r="F1143" s="1287"/>
    </row>
    <row r="1144" spans="1:9">
      <c r="A1144" s="402"/>
      <c r="B1144" s="402"/>
      <c r="C1144" s="402"/>
      <c r="D1144" s="1287"/>
      <c r="E1144" s="1287"/>
      <c r="F1144" s="1287"/>
    </row>
    <row r="1145" spans="1:9">
      <c r="A1145" s="402"/>
      <c r="B1145" s="402"/>
      <c r="C1145" s="402"/>
      <c r="D1145" s="1287"/>
      <c r="E1145" s="1287"/>
      <c r="F1145" s="1287"/>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299"/>
      <c r="H1553" s="1299"/>
      <c r="I1553" s="1299"/>
    </row>
  </sheetData>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5 B24 B20 B27 B33 B41 B36 B52 B47 B56 B65 B61 B68 B80 B89 B103 B119 B128 B131 B137 B151 B72 B177 B182 B205 B213 B171 B245 B250 B256 B267 B271 B278 B290 B293 B297 B305 B217 B307 B313 B316 B318 B334 B344 B380 B360 B375 B387 B420 B423 B429 B355 B435 B467 B471 B474 B478 B481 B486 B488 B501 B494 B504 B509 B259 B527 B1081 B536 B549 B551 B554 B557 B564 B560 B567 B570 B574 B589 B591 B595 B579 B603 B600 B621 B623 B629 B632 B645 B648 B651 B658 B669 B516 B663 B690 B695 B699 B707 B714 B717 B1093 B638 B734 B738 B749 B763 B770 B775 B779 B782 B233 B674 B100 B96 B92 B201 B530 B197 B209 B228 B791 B743 B795 B799 B803 B813 B820 B839 B842 B853 B857 B866 B870 B880 B883 B886 B895 B899 B918 B939 B949 B969 B913 B927 B930 B935 B937 B964 B975 B978 B999 B1007 B1012 B1015 B827 B1019 B1021 B1017 B1024 B1027 B1029 B908 B1046 B1051 B1040 B1059 B1067 B1069 B1078 B1129 B1085 B1031 B1115 B1134 B1121 B1111 B1107 B362 B957 B511 B514 B730 B703 B611 B626 B1100 B1141"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GC2026"/>
  <sheetViews>
    <sheetView showGridLines="0" topLeftCell="A390" zoomScale="115" zoomScaleNormal="115" workbookViewId="0">
      <selection activeCell="AB402" sqref="AB402"/>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2429</v>
      </c>
      <c r="BE1" s="3"/>
      <c r="BF1" s="3"/>
    </row>
    <row r="2" spans="1:58" ht="12.95" customHeight="1">
      <c r="BD2" s="3" t="s">
        <v>2430</v>
      </c>
      <c r="BE2" s="3" t="s">
        <v>2431</v>
      </c>
      <c r="BF2" s="3" t="s">
        <v>2432</v>
      </c>
    </row>
    <row r="3" spans="1:58" ht="12.95" customHeight="1">
      <c r="BD3" s="3" t="s">
        <v>2524</v>
      </c>
      <c r="BE3" t="str">
        <f>AC220</f>
        <v xml:space="preserve">Coastal (Monterey, Napa, Orange, San Benito, San Diego, San Luis Obispo, Santa Barbara, Sonoma, and Ventura Counties) </v>
      </c>
    </row>
    <row r="4" spans="1:58" ht="12.95" customHeight="1">
      <c r="BD4" s="3" t="s">
        <v>2439</v>
      </c>
      <c r="BE4" s="1180"/>
    </row>
    <row r="5" spans="1:58" ht="12.95" customHeight="1">
      <c r="BD5" s="3" t="s">
        <v>2440</v>
      </c>
      <c r="BE5">
        <f>SUMIF($AC$726:$AC$760,"&lt;=20%",$G$726:G$760)</f>
        <v>0</v>
      </c>
      <c r="BF5" s="3" t="s">
        <v>2445</v>
      </c>
    </row>
    <row r="6" spans="1:58" ht="12.95" customHeight="1">
      <c r="BD6" s="3" t="s">
        <v>2441</v>
      </c>
      <c r="BE6" s="1183">
        <f>SUMIF($AC$726:$AC$760,"&lt;=25%",$G$726:G$760)-SUM($BE$5:BE5)</f>
        <v>0</v>
      </c>
    </row>
    <row r="7" spans="1:58" ht="12.95" customHeight="1">
      <c r="BD7" s="1181" t="s">
        <v>2433</v>
      </c>
      <c r="BE7" s="1183">
        <f>SUMIF($AC$726:$AC$760,"&lt;=30%",$G$726:G$760)-SUM($BE$5:BE6)</f>
        <v>20</v>
      </c>
    </row>
    <row r="8" spans="1:58" ht="26.25" customHeight="1">
      <c r="A8" s="1826" t="s">
        <v>100</v>
      </c>
      <c r="B8" s="1826"/>
      <c r="C8" s="1826"/>
      <c r="D8" s="1826"/>
      <c r="E8" s="1826"/>
      <c r="F8" s="1826"/>
      <c r="G8" s="1826"/>
      <c r="H8" s="1826"/>
      <c r="I8" s="1826"/>
      <c r="J8" s="1826"/>
      <c r="K8" s="1826"/>
      <c r="L8" s="1826"/>
      <c r="M8" s="1826"/>
      <c r="N8" s="1826"/>
      <c r="O8" s="1826"/>
      <c r="P8" s="1826"/>
      <c r="Q8" s="1826"/>
      <c r="R8" s="1826"/>
      <c r="S8" s="1826"/>
      <c r="T8" s="1826"/>
      <c r="U8" s="1826"/>
      <c r="V8" s="1826"/>
      <c r="W8" s="1826"/>
      <c r="X8" s="1826"/>
      <c r="Y8" s="1826"/>
      <c r="Z8" s="1826"/>
      <c r="AA8" s="1826"/>
      <c r="AB8" s="1826"/>
      <c r="AC8" s="1826"/>
      <c r="AD8" s="1826"/>
      <c r="AE8" s="1826"/>
      <c r="AF8" s="1826"/>
      <c r="AG8" s="1826"/>
      <c r="AH8" s="1826"/>
      <c r="AI8" s="1826"/>
      <c r="AJ8" s="1826"/>
      <c r="AK8" s="1826"/>
      <c r="AL8" s="1826"/>
      <c r="AM8" s="1826"/>
      <c r="AN8" s="1826"/>
      <c r="AO8" s="1826"/>
      <c r="AP8" s="1826"/>
      <c r="AQ8" s="1826"/>
      <c r="AR8" s="1826"/>
      <c r="AS8" s="1826"/>
      <c r="AT8" s="1826"/>
      <c r="AU8" s="894"/>
      <c r="AV8" s="894"/>
      <c r="AW8" s="894"/>
      <c r="AX8" s="894"/>
      <c r="AY8" s="894"/>
      <c r="BD8" s="3" t="s">
        <v>2442</v>
      </c>
      <c r="BE8" s="1183">
        <f>SUMIF($AC$726:$AC$760,"&lt;=35%",$G$726:G$760)-SUM($BE$5:BE7)</f>
        <v>0</v>
      </c>
    </row>
    <row r="9" spans="1:58" ht="12.95" customHeight="1">
      <c r="A9" s="1827" t="s">
        <v>2034</v>
      </c>
      <c r="B9" s="1827"/>
      <c r="C9" s="1827"/>
      <c r="D9" s="1827"/>
      <c r="E9" s="1827"/>
      <c r="F9" s="1827"/>
      <c r="G9" s="1827"/>
      <c r="H9" s="1827"/>
      <c r="I9" s="1827"/>
      <c r="J9" s="1827"/>
      <c r="K9" s="1827"/>
      <c r="L9" s="1827"/>
      <c r="M9" s="1827"/>
      <c r="N9" s="1827"/>
      <c r="O9" s="1827"/>
      <c r="P9" s="1827"/>
      <c r="Q9" s="1827"/>
      <c r="R9" s="1827"/>
      <c r="S9" s="1827"/>
      <c r="T9" s="1827"/>
      <c r="U9" s="1827"/>
      <c r="V9" s="1827"/>
      <c r="W9" s="1827"/>
      <c r="X9" s="1827"/>
      <c r="Y9" s="1827"/>
      <c r="Z9" s="1827"/>
      <c r="AA9" s="1827"/>
      <c r="AB9" s="1827"/>
      <c r="AC9" s="1827"/>
      <c r="AD9" s="1827"/>
      <c r="AE9" s="1827"/>
      <c r="AF9" s="1827"/>
      <c r="AG9" s="1827"/>
      <c r="AH9" s="1827"/>
      <c r="AI9" s="1827"/>
      <c r="AJ9" s="1827"/>
      <c r="AK9" s="1827"/>
      <c r="AL9" s="1827"/>
      <c r="AM9" s="1827"/>
      <c r="AN9" s="1827"/>
      <c r="AO9" s="1827"/>
      <c r="AP9" s="1827"/>
      <c r="AQ9" s="1827"/>
      <c r="AR9" s="1827"/>
      <c r="AS9" s="1827"/>
      <c r="AT9" s="1827"/>
      <c r="AU9" s="13"/>
      <c r="AV9" s="13"/>
      <c r="AW9" s="13"/>
      <c r="AX9" s="13"/>
      <c r="AY9" s="13"/>
      <c r="BD9" s="1182" t="s">
        <v>2434</v>
      </c>
      <c r="BE9" s="1183">
        <f>SUMIF($AC$726:$AC$760,"&lt;=40%",$G$726:G$760)-SUM($BE$5:BE8)</f>
        <v>0</v>
      </c>
    </row>
    <row r="10" spans="1:58" ht="12.95" customHeight="1">
      <c r="A10" s="1827" t="s">
        <v>2608</v>
      </c>
      <c r="B10" s="1827"/>
      <c r="C10" s="1827"/>
      <c r="D10" s="1827"/>
      <c r="E10" s="1827"/>
      <c r="F10" s="1827"/>
      <c r="G10" s="1827"/>
      <c r="H10" s="1827"/>
      <c r="I10" s="1827"/>
      <c r="J10" s="1827"/>
      <c r="K10" s="1827"/>
      <c r="L10" s="1827"/>
      <c r="M10" s="1827"/>
      <c r="N10" s="1827"/>
      <c r="O10" s="1827"/>
      <c r="P10" s="1827"/>
      <c r="Q10" s="1827"/>
      <c r="R10" s="1827"/>
      <c r="S10" s="1827"/>
      <c r="T10" s="1827"/>
      <c r="U10" s="1827"/>
      <c r="V10" s="1827"/>
      <c r="W10" s="1827"/>
      <c r="X10" s="1827"/>
      <c r="Y10" s="1827"/>
      <c r="Z10" s="1827"/>
      <c r="AA10" s="1827"/>
      <c r="AB10" s="1827"/>
      <c r="AC10" s="1827"/>
      <c r="AD10" s="1827"/>
      <c r="AE10" s="1827"/>
      <c r="AF10" s="1827"/>
      <c r="AG10" s="1827"/>
      <c r="AH10" s="1827"/>
      <c r="AI10" s="1827"/>
      <c r="AJ10" s="1827"/>
      <c r="AK10" s="1827"/>
      <c r="AL10" s="1827"/>
      <c r="AM10" s="1827"/>
      <c r="AN10" s="1827"/>
      <c r="AO10" s="1827"/>
      <c r="AP10" s="1827"/>
      <c r="AQ10" s="1827"/>
      <c r="AR10" s="1827"/>
      <c r="AS10" s="1827"/>
      <c r="AT10" s="1827"/>
      <c r="AU10" s="13"/>
      <c r="AV10" s="13"/>
      <c r="AW10" s="13"/>
      <c r="AX10" s="13"/>
      <c r="AY10" s="13"/>
      <c r="BD10" s="3" t="s">
        <v>2443</v>
      </c>
      <c r="BE10" s="1183">
        <f>SUMIF($AC$726:$AC$760,"&lt;=45%",$G$726:G$760)-SUM($BE$5:BE9)</f>
        <v>0</v>
      </c>
    </row>
    <row r="11" spans="1:58" ht="12.95" customHeight="1">
      <c r="A11" s="1827" t="s">
        <v>2532</v>
      </c>
      <c r="B11" s="1827"/>
      <c r="C11" s="1827"/>
      <c r="D11" s="1827"/>
      <c r="E11" s="1827"/>
      <c r="F11" s="1827"/>
      <c r="G11" s="1827"/>
      <c r="H11" s="1827"/>
      <c r="I11" s="1827"/>
      <c r="J11" s="1827"/>
      <c r="K11" s="1827"/>
      <c r="L11" s="1827"/>
      <c r="M11" s="1827"/>
      <c r="N11" s="1827"/>
      <c r="O11" s="1827"/>
      <c r="P11" s="1827"/>
      <c r="Q11" s="1827"/>
      <c r="R11" s="1827"/>
      <c r="S11" s="1827"/>
      <c r="T11" s="1827"/>
      <c r="U11" s="1827"/>
      <c r="V11" s="1827"/>
      <c r="W11" s="1827"/>
      <c r="X11" s="1827"/>
      <c r="Y11" s="1827"/>
      <c r="Z11" s="1827"/>
      <c r="AA11" s="1827"/>
      <c r="AB11" s="1827"/>
      <c r="AC11" s="1827"/>
      <c r="AD11" s="1827"/>
      <c r="AE11" s="1827"/>
      <c r="AF11" s="1827"/>
      <c r="AG11" s="1827"/>
      <c r="AH11" s="1827"/>
      <c r="AI11" s="1827"/>
      <c r="AJ11" s="1827"/>
      <c r="AK11" s="1827"/>
      <c r="AL11" s="1827"/>
      <c r="AM11" s="1827"/>
      <c r="AN11" s="1827"/>
      <c r="AO11" s="1827"/>
      <c r="AP11" s="1827"/>
      <c r="AQ11" s="1827"/>
      <c r="AR11" s="1827"/>
      <c r="AS11" s="1827"/>
      <c r="AT11" s="1827"/>
      <c r="AU11" s="13"/>
      <c r="AV11" s="13"/>
      <c r="AW11" s="13"/>
      <c r="AX11" s="13"/>
      <c r="AY11" s="13"/>
      <c r="BD11" s="1181" t="s">
        <v>2435</v>
      </c>
      <c r="BE11" s="1183">
        <f>SUMIF($AC$726:$AC$760,"&lt;=50%",$G$726:G$760)-SUM($BE$5:BE10)</f>
        <v>19</v>
      </c>
    </row>
    <row r="12" spans="1:58" ht="12.95" customHeight="1">
      <c r="A12" s="1828" t="s">
        <v>2643</v>
      </c>
      <c r="B12" s="1828"/>
      <c r="C12" s="1828"/>
      <c r="D12" s="1828"/>
      <c r="E12" s="1828"/>
      <c r="F12" s="1828"/>
      <c r="G12" s="1828"/>
      <c r="H12" s="1828"/>
      <c r="I12" s="1828"/>
      <c r="J12" s="1828"/>
      <c r="K12" s="1828"/>
      <c r="L12" s="1828"/>
      <c r="M12" s="1828"/>
      <c r="N12" s="1828"/>
      <c r="O12" s="1828"/>
      <c r="P12" s="1828"/>
      <c r="Q12" s="1828"/>
      <c r="R12" s="1828"/>
      <c r="S12" s="1828"/>
      <c r="T12" s="1828"/>
      <c r="U12" s="1828"/>
      <c r="V12" s="1828"/>
      <c r="W12" s="1828"/>
      <c r="X12" s="1828"/>
      <c r="Y12" s="1828"/>
      <c r="Z12" s="1828"/>
      <c r="AA12" s="1828"/>
      <c r="AB12" s="1828"/>
      <c r="AC12" s="1828"/>
      <c r="AD12" s="1828"/>
      <c r="AE12" s="1828"/>
      <c r="AF12" s="1828"/>
      <c r="AG12" s="1828"/>
      <c r="AH12" s="1828"/>
      <c r="AI12" s="1828"/>
      <c r="AJ12" s="1828"/>
      <c r="AK12" s="1828"/>
      <c r="AL12" s="1828"/>
      <c r="AM12" s="1828"/>
      <c r="AN12" s="1828"/>
      <c r="AO12" s="1828"/>
      <c r="AP12" s="1828"/>
      <c r="AQ12" s="1828"/>
      <c r="AR12" s="1828"/>
      <c r="AS12" s="1828"/>
      <c r="AT12" s="1828"/>
      <c r="AU12" s="6"/>
      <c r="AV12" s="6"/>
      <c r="AW12" s="6"/>
      <c r="AX12" s="6"/>
      <c r="AY12" s="6"/>
      <c r="BD12" s="3" t="s">
        <v>2444</v>
      </c>
      <c r="BE12" s="1183">
        <f>SUMIF($AC$726:$AC$760,"&lt;=55%",$G$726:G$760)-SUM($BE$5:BE11)</f>
        <v>0</v>
      </c>
    </row>
    <row r="13" spans="1:58" ht="12.95" customHeight="1">
      <c r="A13" s="1276" t="s">
        <v>2035</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895"/>
      <c r="AV13" s="895"/>
      <c r="AW13" s="895"/>
      <c r="AX13" s="895"/>
      <c r="AY13" s="895"/>
      <c r="BD13" s="1182" t="s">
        <v>2436</v>
      </c>
      <c r="BE13" s="1183">
        <f>SUMIF($AC$726:$AC$760,"&lt;=60%",$G$726:G$760)-SUM($BE$5:BE12)</f>
        <v>71</v>
      </c>
    </row>
    <row r="14" spans="1:58" ht="12.95"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895"/>
      <c r="AV14" s="895"/>
      <c r="AW14" s="895"/>
      <c r="AX14" s="895"/>
      <c r="AY14" s="895"/>
      <c r="BD14" s="1181" t="s">
        <v>2437</v>
      </c>
      <c r="BE14" s="1183">
        <f>SUMIF($AC$726:$AC$760,"&lt;=70%",$G$726:G$760)-SUM($BE$5:BE13)</f>
        <v>78</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2438</v>
      </c>
      <c r="BE15" s="1183">
        <f>SUMIF($AC$726:$AC$760,"&lt;=80%",$G$726:G$760)-SUM($BE$5:BE14)</f>
        <v>0</v>
      </c>
    </row>
    <row r="16" spans="1:58" ht="12.95" customHeight="1">
      <c r="A16" s="57" t="s">
        <v>2036</v>
      </c>
      <c r="C16" s="4"/>
      <c r="D16" s="4"/>
      <c r="E16" s="4"/>
      <c r="F16" s="4"/>
      <c r="G16" s="4"/>
      <c r="H16" s="1563" t="s">
        <v>2644</v>
      </c>
      <c r="I16" s="1527"/>
      <c r="J16" s="1527"/>
      <c r="K16" s="1527"/>
      <c r="L16" s="1527"/>
      <c r="M16" s="1527"/>
      <c r="N16" s="1527"/>
      <c r="O16" s="1527"/>
      <c r="P16" s="1527"/>
      <c r="Q16" s="1527"/>
      <c r="R16" s="1527"/>
      <c r="S16" s="1527"/>
      <c r="T16" s="1527"/>
      <c r="U16" s="1527"/>
      <c r="V16" s="1527"/>
      <c r="W16" s="1527"/>
      <c r="X16" s="1527"/>
      <c r="Y16" s="1527"/>
      <c r="Z16" s="1527"/>
      <c r="AA16" s="1527"/>
      <c r="AB16" s="1527"/>
      <c r="AC16" s="1527"/>
      <c r="AD16" s="1527"/>
      <c r="AE16" s="1527"/>
      <c r="AF16" s="1527"/>
      <c r="AG16" s="1527"/>
      <c r="AH16" s="1527"/>
      <c r="AI16" s="1527"/>
      <c r="AJ16" s="1527"/>
      <c r="BD16" s="1182" t="s">
        <v>656</v>
      </c>
      <c r="BE16" s="1183" t="str">
        <f>Application!H18</f>
        <v>1200 Main</v>
      </c>
    </row>
    <row r="17" spans="1:58" ht="12.95" customHeight="1">
      <c r="BD17" s="1181" t="s">
        <v>2450</v>
      </c>
      <c r="BE17" s="1183">
        <f>Application!AA943</f>
        <v>0</v>
      </c>
    </row>
    <row r="18" spans="1:58" ht="12.95" customHeight="1">
      <c r="A18" s="57" t="s">
        <v>101</v>
      </c>
      <c r="C18" s="4"/>
      <c r="D18" s="4"/>
      <c r="E18" s="4"/>
      <c r="F18" s="4"/>
      <c r="G18" s="4"/>
      <c r="H18" s="1425" t="s">
        <v>2645</v>
      </c>
      <c r="I18" s="1518"/>
      <c r="J18" s="1518"/>
      <c r="K18" s="1518"/>
      <c r="L18" s="1518"/>
      <c r="M18" s="1518"/>
      <c r="N18" s="1518"/>
      <c r="O18" s="1518"/>
      <c r="P18" s="1518"/>
      <c r="Q18" s="1518"/>
      <c r="R18" s="1518"/>
      <c r="S18" s="1518"/>
      <c r="T18" s="1518"/>
      <c r="U18" s="1518"/>
      <c r="V18" s="1518"/>
      <c r="W18" s="1518"/>
      <c r="X18" s="1518"/>
      <c r="Y18" s="1518"/>
      <c r="Z18" s="1518"/>
      <c r="AA18" s="1518"/>
      <c r="AB18" s="1518"/>
      <c r="AC18" s="1518"/>
      <c r="AD18" s="1518"/>
      <c r="AE18" s="1518"/>
      <c r="AF18" s="1518"/>
      <c r="AG18" s="1518"/>
      <c r="AH18" s="1518"/>
      <c r="AI18" s="1518"/>
      <c r="AJ18" s="1518"/>
      <c r="BD18" s="1182" t="s">
        <v>2451</v>
      </c>
      <c r="BE18" s="1183">
        <f>AA943</f>
        <v>0</v>
      </c>
    </row>
    <row r="19" spans="1:58" ht="12.95" customHeight="1">
      <c r="BD19" s="1181" t="s">
        <v>2452</v>
      </c>
      <c r="BE19" s="1183">
        <f>Application!M26</f>
        <v>2867974</v>
      </c>
    </row>
    <row r="20" spans="1:58" ht="12.95" customHeight="1">
      <c r="A20" s="1829" t="s">
        <v>873</v>
      </c>
      <c r="B20" s="1829"/>
      <c r="C20" s="1829"/>
      <c r="D20" s="1829"/>
      <c r="E20" s="1829"/>
      <c r="F20" s="1829"/>
      <c r="G20" s="1829"/>
      <c r="H20" s="1829"/>
      <c r="I20" s="1829"/>
      <c r="J20" s="1829"/>
      <c r="K20" s="1829"/>
      <c r="L20" s="1829"/>
      <c r="M20" s="1829"/>
      <c r="N20" s="1829"/>
      <c r="O20" s="1829"/>
      <c r="P20" s="1829"/>
      <c r="Q20" s="1829"/>
      <c r="R20" s="1829"/>
      <c r="S20" s="1829"/>
      <c r="T20" s="1829"/>
      <c r="U20" s="1829"/>
      <c r="V20" s="1829"/>
      <c r="W20" s="1829"/>
      <c r="X20" s="1829"/>
      <c r="Y20" s="1829"/>
      <c r="Z20" s="1829"/>
      <c r="AA20" s="1829"/>
      <c r="AB20" s="1829"/>
      <c r="AC20" s="1829"/>
      <c r="AD20" s="1829"/>
      <c r="AE20" s="1829"/>
      <c r="AF20" s="1829"/>
      <c r="AG20" s="1829"/>
      <c r="AH20" s="1829"/>
      <c r="AI20" s="1829"/>
      <c r="AJ20" s="1829"/>
      <c r="AK20" s="1829"/>
      <c r="AL20" s="1829"/>
      <c r="AM20" s="1829"/>
      <c r="AN20" s="1829"/>
      <c r="AO20" s="1829"/>
      <c r="AP20" s="1829"/>
      <c r="AQ20" s="1829"/>
      <c r="AR20" s="1829"/>
      <c r="AS20" s="1829"/>
      <c r="AT20" s="1829"/>
      <c r="AU20" s="896"/>
      <c r="AV20" s="896"/>
      <c r="AW20" s="896"/>
      <c r="AX20" s="896"/>
      <c r="AY20" s="896"/>
      <c r="BD20" s="1182" t="s">
        <v>2453</v>
      </c>
      <c r="BE20" s="1183">
        <f>Application!M27</f>
        <v>0</v>
      </c>
    </row>
    <row r="21" spans="1:58" ht="12.95" customHeight="1">
      <c r="A21" s="1850" t="s">
        <v>1009</v>
      </c>
      <c r="B21" s="1850"/>
      <c r="C21" s="1850"/>
      <c r="D21" s="1850"/>
      <c r="E21" s="1850"/>
      <c r="F21" s="1850"/>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897"/>
      <c r="AN21" s="897"/>
      <c r="AO21" s="897"/>
      <c r="AP21" s="897"/>
      <c r="AQ21" s="897"/>
      <c r="AR21" s="897"/>
      <c r="AS21" s="897"/>
      <c r="AT21" s="897"/>
      <c r="AU21" s="897"/>
      <c r="AV21" s="897"/>
      <c r="AW21" s="897"/>
      <c r="AX21" s="897"/>
      <c r="AY21" s="897"/>
      <c r="BD21" s="1181" t="s">
        <v>2454</v>
      </c>
      <c r="BE21" s="1183">
        <f>Application!AM562</f>
        <v>18192172</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71303707</v>
      </c>
      <c r="BF22" s="3" t="s">
        <v>2525</v>
      </c>
    </row>
    <row r="23" spans="1:58" ht="12.95" customHeight="1">
      <c r="A23" s="1332" t="s">
        <v>2102</v>
      </c>
      <c r="B23" s="1332"/>
      <c r="C23" s="1332"/>
      <c r="D23" s="1332"/>
      <c r="E23" s="1332"/>
      <c r="F23" s="1332"/>
      <c r="G23" s="1332"/>
      <c r="H23" s="1332"/>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c r="AL23" s="1332"/>
      <c r="AM23" s="1332"/>
      <c r="AN23" s="1332"/>
      <c r="AO23" s="1332"/>
      <c r="AP23" s="1332"/>
      <c r="AQ23" s="1332"/>
      <c r="AR23" s="1332"/>
      <c r="AS23" s="1332"/>
      <c r="AT23" s="1332"/>
      <c r="AU23" s="18"/>
      <c r="AV23" s="18"/>
      <c r="AW23" s="18"/>
      <c r="AX23" s="18"/>
      <c r="AY23" s="18"/>
      <c r="AZ23" s="18"/>
      <c r="BD23" s="1181" t="s">
        <v>2455</v>
      </c>
      <c r="BE23" s="1183">
        <f>'Sources and Uses Budget'!B4</f>
        <v>11000000</v>
      </c>
    </row>
    <row r="24" spans="1:58" ht="12.95" customHeight="1">
      <c r="A24" s="1332"/>
      <c r="B24" s="1332"/>
      <c r="C24" s="1332"/>
      <c r="D24" s="1332"/>
      <c r="E24" s="1332"/>
      <c r="F24" s="1332"/>
      <c r="G24" s="1332"/>
      <c r="H24" s="1332"/>
      <c r="I24" s="1332"/>
      <c r="J24" s="1332"/>
      <c r="K24" s="1332"/>
      <c r="L24" s="1332"/>
      <c r="M24" s="1332"/>
      <c r="N24" s="1332"/>
      <c r="O24" s="1332"/>
      <c r="P24" s="1332"/>
      <c r="Q24" s="1332"/>
      <c r="R24" s="1332"/>
      <c r="S24" s="1332"/>
      <c r="T24" s="1332"/>
      <c r="U24" s="1332"/>
      <c r="V24" s="1332"/>
      <c r="W24" s="1332"/>
      <c r="X24" s="1332"/>
      <c r="Y24" s="1332"/>
      <c r="Z24" s="1332"/>
      <c r="AA24" s="1332"/>
      <c r="AB24" s="1332"/>
      <c r="AC24" s="1332"/>
      <c r="AD24" s="1332"/>
      <c r="AE24" s="1332"/>
      <c r="AF24" s="1332"/>
      <c r="AG24" s="1332"/>
      <c r="AH24" s="1332"/>
      <c r="AI24" s="1332"/>
      <c r="AJ24" s="1332"/>
      <c r="AK24" s="1332"/>
      <c r="AL24" s="1332"/>
      <c r="AM24" s="1332"/>
      <c r="AN24" s="1332"/>
      <c r="AO24" s="1332"/>
      <c r="AP24" s="1332"/>
      <c r="AQ24" s="1332"/>
      <c r="AR24" s="1332"/>
      <c r="AS24" s="1332"/>
      <c r="AT24" s="1332"/>
      <c r="AU24" s="18"/>
      <c r="AV24" s="18"/>
      <c r="AW24" s="18"/>
      <c r="AX24" s="18"/>
      <c r="AY24" s="18"/>
      <c r="AZ24" s="18"/>
      <c r="BD24" s="1182" t="s">
        <v>2456</v>
      </c>
      <c r="BE24" s="1183">
        <f>Application!AG459</f>
        <v>120490</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2457</v>
      </c>
      <c r="BE25" s="1183" t="str">
        <f>Application!D208</f>
        <v>40%/60% Average Income</v>
      </c>
    </row>
    <row r="26" spans="1:58" ht="12.95" customHeight="1">
      <c r="A26" s="4"/>
      <c r="C26" s="4"/>
      <c r="D26" s="4"/>
      <c r="E26" s="4"/>
      <c r="F26" s="4"/>
      <c r="G26" s="4"/>
      <c r="H26" s="4"/>
      <c r="I26" s="4"/>
      <c r="J26" s="4"/>
      <c r="K26" s="4"/>
      <c r="L26" s="4"/>
      <c r="M26" s="1831">
        <f>'Basis &amp; Credits'!AB56</f>
        <v>2867974</v>
      </c>
      <c r="N26" s="1831"/>
      <c r="O26" s="1831"/>
      <c r="P26" s="1831"/>
      <c r="Q26" s="1831"/>
      <c r="R26" s="4" t="s">
        <v>759</v>
      </c>
      <c r="S26" s="4"/>
      <c r="T26" s="4"/>
      <c r="U26" s="4"/>
      <c r="V26" s="4"/>
      <c r="W26" s="4"/>
      <c r="X26" s="4"/>
      <c r="Y26" s="4"/>
      <c r="Z26" s="4"/>
      <c r="AF26" s="4"/>
      <c r="AG26" s="4"/>
      <c r="AH26" s="4"/>
      <c r="AI26" s="4"/>
      <c r="AJ26" s="4"/>
      <c r="AK26" s="4"/>
      <c r="BD26" s="1182" t="s">
        <v>1628</v>
      </c>
      <c r="BE26" s="1183" t="b">
        <f>Application!M365="Yes"</f>
        <v>1</v>
      </c>
    </row>
    <row r="27" spans="1:58" ht="12.95" customHeight="1">
      <c r="A27" s="4"/>
      <c r="C27" s="4"/>
      <c r="D27" s="4"/>
      <c r="E27" s="4"/>
      <c r="F27" s="4"/>
      <c r="G27" s="4"/>
      <c r="H27" s="4"/>
      <c r="I27" s="4"/>
      <c r="J27" s="4"/>
      <c r="K27" s="4"/>
      <c r="L27" s="4"/>
      <c r="M27" s="1405">
        <f>'Basis &amp; Credits'!AB78</f>
        <v>0</v>
      </c>
      <c r="N27" s="1405"/>
      <c r="O27" s="1405"/>
      <c r="P27" s="1405"/>
      <c r="Q27" s="1405"/>
      <c r="R27" s="3" t="s">
        <v>1267</v>
      </c>
      <c r="S27" s="4"/>
      <c r="T27" s="4"/>
      <c r="U27" s="4"/>
      <c r="V27" s="4"/>
      <c r="W27" s="4"/>
      <c r="X27" s="4"/>
      <c r="Y27" s="4"/>
      <c r="Z27" s="4"/>
      <c r="AF27" s="4"/>
      <c r="AG27" s="4"/>
      <c r="AH27" s="4"/>
      <c r="AI27" s="4"/>
      <c r="AJ27" s="4"/>
      <c r="AK27" s="4"/>
      <c r="BD27" s="1181" t="s">
        <v>2055</v>
      </c>
      <c r="BE27" s="1183" t="b">
        <f>Application!M364="Yes"</f>
        <v>0</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2458</v>
      </c>
      <c r="BE28" s="1183" t="b">
        <f>Application!M366="Yes"</f>
        <v>0</v>
      </c>
    </row>
    <row r="29" spans="1:58" ht="12.95" customHeight="1">
      <c r="A29" s="1533" t="s">
        <v>2103</v>
      </c>
      <c r="B29" s="1533"/>
      <c r="C29" s="1533"/>
      <c r="D29" s="1533"/>
      <c r="E29" s="1533"/>
      <c r="F29" s="1533"/>
      <c r="G29" s="1533"/>
      <c r="H29" s="1533"/>
      <c r="I29" s="1533"/>
      <c r="J29" s="1533"/>
      <c r="K29" s="1533"/>
      <c r="L29" s="1533"/>
      <c r="M29" s="1533"/>
      <c r="N29" s="1533"/>
      <c r="O29" s="1533"/>
      <c r="P29" s="1533"/>
      <c r="Q29" s="1533"/>
      <c r="R29" s="1533"/>
      <c r="S29" s="1533"/>
      <c r="T29" s="1533"/>
      <c r="U29" s="1533"/>
      <c r="V29" s="1533"/>
      <c r="W29" s="1533"/>
      <c r="X29" s="1533"/>
      <c r="Y29" s="1533"/>
      <c r="Z29" s="1533"/>
      <c r="AA29" s="1533"/>
      <c r="AB29" s="1533"/>
      <c r="AC29" s="1533"/>
      <c r="AD29" s="1533"/>
      <c r="AE29" s="1533"/>
      <c r="AF29" s="1533"/>
      <c r="AG29" s="1533"/>
      <c r="AH29" s="1533"/>
      <c r="AI29" s="1533"/>
      <c r="AJ29" s="1533"/>
      <c r="AK29" s="1533"/>
      <c r="AL29" s="1533"/>
      <c r="AM29" s="1533"/>
      <c r="AN29" s="1533"/>
      <c r="AO29" s="1533"/>
      <c r="AP29" s="1533"/>
      <c r="AQ29" s="1533"/>
      <c r="AR29" s="1533"/>
      <c r="AS29" s="1533"/>
      <c r="AT29" s="1533"/>
      <c r="BD29" s="1181" t="s">
        <v>2459</v>
      </c>
      <c r="BE29" s="1183" t="b">
        <f>Application!M367="Yes"</f>
        <v>0</v>
      </c>
    </row>
    <row r="30" spans="1:58" ht="12.95" customHeight="1">
      <c r="A30" s="1533"/>
      <c r="B30" s="1533"/>
      <c r="C30" s="1533"/>
      <c r="D30" s="1533"/>
      <c r="E30" s="1533"/>
      <c r="F30" s="1533"/>
      <c r="G30" s="1533"/>
      <c r="H30" s="1533"/>
      <c r="I30" s="1533"/>
      <c r="J30" s="1533"/>
      <c r="K30" s="1533"/>
      <c r="L30" s="1533"/>
      <c r="M30" s="1533"/>
      <c r="N30" s="1533"/>
      <c r="O30" s="1533"/>
      <c r="P30" s="1533"/>
      <c r="Q30" s="1533"/>
      <c r="R30" s="1533"/>
      <c r="S30" s="1533"/>
      <c r="T30" s="1533"/>
      <c r="U30" s="1533"/>
      <c r="V30" s="1533"/>
      <c r="W30" s="1533"/>
      <c r="X30" s="1533"/>
      <c r="Y30" s="1533"/>
      <c r="Z30" s="1533"/>
      <c r="AA30" s="1533"/>
      <c r="AB30" s="1533"/>
      <c r="AC30" s="1533"/>
      <c r="AD30" s="1533"/>
      <c r="AE30" s="1533"/>
      <c r="AF30" s="1533"/>
      <c r="AG30" s="1533"/>
      <c r="AH30" s="1533"/>
      <c r="AI30" s="1533"/>
      <c r="AJ30" s="1533"/>
      <c r="AK30" s="1533"/>
      <c r="AL30" s="1533"/>
      <c r="AM30" s="1533"/>
      <c r="AN30" s="1533"/>
      <c r="AO30" s="1533"/>
      <c r="AP30" s="1533"/>
      <c r="AQ30" s="1533"/>
      <c r="AR30" s="1533"/>
      <c r="AS30" s="1533"/>
      <c r="AT30" s="1533"/>
      <c r="AZ30" s="20"/>
      <c r="BD30" s="1182" t="s">
        <v>28</v>
      </c>
      <c r="BE30" s="1183" t="b">
        <f>Application!AJ364="Yes"</f>
        <v>0</v>
      </c>
    </row>
    <row r="31" spans="1:58" ht="12.95" customHeight="1">
      <c r="A31" s="1533"/>
      <c r="B31" s="1533"/>
      <c r="C31" s="1533"/>
      <c r="D31" s="1533"/>
      <c r="E31" s="1533"/>
      <c r="F31" s="1533"/>
      <c r="G31" s="1533"/>
      <c r="H31" s="1533"/>
      <c r="I31" s="1533"/>
      <c r="J31" s="1533"/>
      <c r="K31" s="1533"/>
      <c r="L31" s="1533"/>
      <c r="M31" s="1533"/>
      <c r="N31" s="1533"/>
      <c r="O31" s="1533"/>
      <c r="P31" s="1533"/>
      <c r="Q31" s="1533"/>
      <c r="R31" s="1533"/>
      <c r="S31" s="1533"/>
      <c r="T31" s="1533"/>
      <c r="U31" s="1533"/>
      <c r="V31" s="1533"/>
      <c r="W31" s="1533"/>
      <c r="X31" s="1533"/>
      <c r="Y31" s="1533"/>
      <c r="Z31" s="1533"/>
      <c r="AA31" s="1533"/>
      <c r="AB31" s="1533"/>
      <c r="AC31" s="1533"/>
      <c r="AD31" s="1533"/>
      <c r="AE31" s="1533"/>
      <c r="AF31" s="1533"/>
      <c r="AG31" s="1533"/>
      <c r="AH31" s="1533"/>
      <c r="AI31" s="1533"/>
      <c r="AJ31" s="1533"/>
      <c r="AK31" s="1533"/>
      <c r="AL31" s="1533"/>
      <c r="AM31" s="1533"/>
      <c r="AN31" s="1533"/>
      <c r="AO31" s="1533"/>
      <c r="AP31" s="1533"/>
      <c r="AQ31" s="1533"/>
      <c r="AR31" s="1533"/>
      <c r="AS31" s="1533"/>
      <c r="AT31" s="1533"/>
      <c r="AU31" s="20"/>
      <c r="AV31" s="20"/>
      <c r="AW31" s="20"/>
      <c r="AX31" s="20"/>
      <c r="AY31" s="20"/>
      <c r="AZ31" s="20"/>
      <c r="BD31" s="1181" t="s">
        <v>2460</v>
      </c>
      <c r="BE31" s="1183"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2461</v>
      </c>
      <c r="BE32" s="1183">
        <f>IF(ISNUMBER(Application!W473),W473,0)</f>
        <v>0</v>
      </c>
    </row>
    <row r="33" spans="1:57" ht="12.95" hidden="1" customHeight="1">
      <c r="A33" s="519" t="s">
        <v>1278</v>
      </c>
      <c r="C33" s="519"/>
      <c r="D33" s="519"/>
      <c r="E33" s="519"/>
      <c r="F33" s="519"/>
      <c r="G33" s="519"/>
      <c r="H33" s="519"/>
      <c r="I33" s="519"/>
      <c r="J33" s="519"/>
      <c r="K33" s="519"/>
      <c r="L33" s="519"/>
      <c r="M33" s="519"/>
      <c r="N33" s="519"/>
      <c r="O33" s="1380" t="s">
        <v>669</v>
      </c>
      <c r="P33" s="1380"/>
      <c r="Q33" s="1830" t="s">
        <v>2104</v>
      </c>
      <c r="R33" s="1830"/>
      <c r="S33" s="1830"/>
      <c r="T33" s="1830"/>
      <c r="U33" s="1830"/>
      <c r="V33" s="1830"/>
      <c r="W33" s="1830"/>
      <c r="X33" s="1830"/>
      <c r="Y33" s="1830"/>
      <c r="Z33" s="1830"/>
      <c r="AA33" s="1830"/>
      <c r="AB33" s="1830"/>
      <c r="AC33" s="1830"/>
      <c r="AD33" s="1830"/>
      <c r="AE33" s="1830"/>
      <c r="AF33" s="1830"/>
      <c r="AG33" s="1830"/>
      <c r="AH33" s="1830"/>
      <c r="AI33" s="1830"/>
      <c r="AJ33" s="1830"/>
      <c r="AK33" s="1830"/>
      <c r="AL33" s="1830"/>
      <c r="AM33" s="1830"/>
      <c r="AN33" s="1830"/>
      <c r="AO33" s="1830"/>
      <c r="AP33" s="1830"/>
      <c r="AQ33" s="1830"/>
      <c r="AR33" s="1830"/>
      <c r="AS33" s="1830"/>
      <c r="AT33" s="1830"/>
      <c r="AU33" s="20"/>
      <c r="AV33" s="20"/>
      <c r="AW33" s="20"/>
      <c r="AX33" s="20"/>
      <c r="AY33" s="20"/>
      <c r="BD33" s="1181" t="s">
        <v>2526</v>
      </c>
      <c r="BE33" s="1183" t="str">
        <f>Application!D220</f>
        <v>Orange County</v>
      </c>
    </row>
    <row r="34" spans="1:57" ht="12.95" hidden="1" customHeight="1">
      <c r="A34" s="1533" t="s">
        <v>2105</v>
      </c>
      <c r="B34" s="1533"/>
      <c r="C34" s="1533"/>
      <c r="D34" s="1533"/>
      <c r="E34" s="1533"/>
      <c r="F34" s="1533"/>
      <c r="G34" s="1533"/>
      <c r="H34" s="1533"/>
      <c r="I34" s="1533"/>
      <c r="J34" s="1533"/>
      <c r="K34" s="1533"/>
      <c r="L34" s="1533"/>
      <c r="M34" s="1533"/>
      <c r="N34" s="1533"/>
      <c r="O34" s="1533"/>
      <c r="P34" s="1533"/>
      <c r="Q34" s="1533"/>
      <c r="R34" s="1533"/>
      <c r="S34" s="1533"/>
      <c r="T34" s="1533"/>
      <c r="U34" s="1533"/>
      <c r="V34" s="1533"/>
      <c r="W34" s="1533"/>
      <c r="X34" s="1533"/>
      <c r="Y34" s="1533"/>
      <c r="Z34" s="1533"/>
      <c r="AA34" s="1533"/>
      <c r="AB34" s="1533"/>
      <c r="AC34" s="1533"/>
      <c r="AD34" s="1533"/>
      <c r="AE34" s="1533"/>
      <c r="AF34" s="1533"/>
      <c r="AG34" s="1533"/>
      <c r="AH34" s="1533"/>
      <c r="AI34" s="1533"/>
      <c r="AJ34" s="1533"/>
      <c r="AK34" s="1533"/>
      <c r="AL34" s="1533"/>
      <c r="AM34" s="1533"/>
      <c r="AN34" s="1533"/>
      <c r="AO34" s="1533"/>
      <c r="AP34" s="1533"/>
      <c r="AQ34" s="1533"/>
      <c r="AR34" s="1533"/>
      <c r="AS34" s="1533"/>
      <c r="AT34" s="1533"/>
      <c r="AU34" s="20"/>
      <c r="AV34" s="20"/>
      <c r="AW34" s="20"/>
      <c r="AX34" s="20"/>
      <c r="AY34" s="20"/>
      <c r="AZ34" s="20"/>
      <c r="BD34" s="1182" t="s">
        <v>2462</v>
      </c>
      <c r="BE34" s="1183" t="str">
        <f>Application!I185</f>
        <v>1200 N. Main St</v>
      </c>
    </row>
    <row r="35" spans="1:57" ht="12.95" hidden="1" customHeight="1">
      <c r="A35" s="1533"/>
      <c r="B35" s="1533"/>
      <c r="C35" s="1533"/>
      <c r="D35" s="1533"/>
      <c r="E35" s="1533"/>
      <c r="F35" s="1533"/>
      <c r="G35" s="1533"/>
      <c r="H35" s="1533"/>
      <c r="I35" s="1533"/>
      <c r="J35" s="1533"/>
      <c r="K35" s="1533"/>
      <c r="L35" s="1533"/>
      <c r="M35" s="1533"/>
      <c r="N35" s="1533"/>
      <c r="O35" s="1533"/>
      <c r="P35" s="1533"/>
      <c r="Q35" s="1533"/>
      <c r="R35" s="1533"/>
      <c r="S35" s="1533"/>
      <c r="T35" s="1533"/>
      <c r="U35" s="1533"/>
      <c r="V35" s="1533"/>
      <c r="W35" s="1533"/>
      <c r="X35" s="1533"/>
      <c r="Y35" s="1533"/>
      <c r="Z35" s="1533"/>
      <c r="AA35" s="1533"/>
      <c r="AB35" s="1533"/>
      <c r="AC35" s="1533"/>
      <c r="AD35" s="1533"/>
      <c r="AE35" s="1533"/>
      <c r="AF35" s="1533"/>
      <c r="AG35" s="1533"/>
      <c r="AH35" s="1533"/>
      <c r="AI35" s="1533"/>
      <c r="AJ35" s="1533"/>
      <c r="AK35" s="1533"/>
      <c r="AL35" s="1533"/>
      <c r="AM35" s="1533"/>
      <c r="AN35" s="1533"/>
      <c r="AO35" s="1533"/>
      <c r="AP35" s="1533"/>
      <c r="AQ35" s="1533"/>
      <c r="AR35" s="1533"/>
      <c r="AS35" s="1533"/>
      <c r="AT35" s="1533"/>
      <c r="AU35" s="20"/>
      <c r="AV35" s="20"/>
      <c r="AW35" s="20"/>
      <c r="AX35" s="20"/>
      <c r="AY35" s="20"/>
      <c r="AZ35" s="20"/>
      <c r="BD35" s="1181" t="s">
        <v>2463</v>
      </c>
      <c r="BE35" s="1183" t="str">
        <f>IF(Application!E187="","",Application!E187)</f>
        <v/>
      </c>
    </row>
    <row r="36" spans="1:57" ht="12.95" hidden="1" customHeight="1">
      <c r="A36" s="1533"/>
      <c r="B36" s="1533"/>
      <c r="C36" s="1533"/>
      <c r="D36" s="1533"/>
      <c r="E36" s="1533"/>
      <c r="F36" s="1533"/>
      <c r="G36" s="1533"/>
      <c r="H36" s="1533"/>
      <c r="I36" s="1533"/>
      <c r="J36" s="1533"/>
      <c r="K36" s="1533"/>
      <c r="L36" s="1533"/>
      <c r="M36" s="1533"/>
      <c r="N36" s="1533"/>
      <c r="O36" s="1533"/>
      <c r="P36" s="1533"/>
      <c r="Q36" s="1533"/>
      <c r="R36" s="1533"/>
      <c r="S36" s="1533"/>
      <c r="T36" s="1533"/>
      <c r="U36" s="1533"/>
      <c r="V36" s="1533"/>
      <c r="W36" s="1533"/>
      <c r="X36" s="1533"/>
      <c r="Y36" s="1533"/>
      <c r="Z36" s="1533"/>
      <c r="AA36" s="1533"/>
      <c r="AB36" s="1533"/>
      <c r="AC36" s="1533"/>
      <c r="AD36" s="1533"/>
      <c r="AE36" s="1533"/>
      <c r="AF36" s="1533"/>
      <c r="AG36" s="1533"/>
      <c r="AH36" s="1533"/>
      <c r="AI36" s="1533"/>
      <c r="AJ36" s="1533"/>
      <c r="AK36" s="1533"/>
      <c r="AL36" s="1533"/>
      <c r="AM36" s="1533"/>
      <c r="AN36" s="1533"/>
      <c r="AO36" s="1533"/>
      <c r="AP36" s="1533"/>
      <c r="AQ36" s="1533"/>
      <c r="AR36" s="1533"/>
      <c r="AS36" s="1533"/>
      <c r="AT36" s="1533"/>
      <c r="AU36" s="20"/>
      <c r="AV36" s="20"/>
      <c r="AW36" s="20"/>
      <c r="AX36" s="20"/>
      <c r="AY36" s="20"/>
      <c r="AZ36" s="20"/>
      <c r="BD36" s="1182" t="s">
        <v>2464</v>
      </c>
      <c r="BE36" s="1183" t="str">
        <f>Application!I189</f>
        <v>Santa Ana</v>
      </c>
    </row>
    <row r="37" spans="1:57" ht="12.95" hidden="1" customHeight="1">
      <c r="A37" s="1533"/>
      <c r="B37" s="1533"/>
      <c r="C37" s="1533"/>
      <c r="D37" s="1533"/>
      <c r="E37" s="1533"/>
      <c r="F37" s="1533"/>
      <c r="G37" s="1533"/>
      <c r="H37" s="1533"/>
      <c r="I37" s="1533"/>
      <c r="J37" s="1533"/>
      <c r="K37" s="1533"/>
      <c r="L37" s="1533"/>
      <c r="M37" s="1533"/>
      <c r="N37" s="1533"/>
      <c r="O37" s="1533"/>
      <c r="P37" s="1533"/>
      <c r="Q37" s="1533"/>
      <c r="R37" s="1533"/>
      <c r="S37" s="1533"/>
      <c r="T37" s="1533"/>
      <c r="U37" s="1533"/>
      <c r="V37" s="1533"/>
      <c r="W37" s="1533"/>
      <c r="X37" s="1533"/>
      <c r="Y37" s="1533"/>
      <c r="Z37" s="1533"/>
      <c r="AA37" s="1533"/>
      <c r="AB37" s="1533"/>
      <c r="AC37" s="1533"/>
      <c r="AD37" s="1533"/>
      <c r="AE37" s="1533"/>
      <c r="AF37" s="1533"/>
      <c r="AG37" s="1533"/>
      <c r="AH37" s="1533"/>
      <c r="AI37" s="1533"/>
      <c r="AJ37" s="1533"/>
      <c r="AK37" s="1533"/>
      <c r="AL37" s="1533"/>
      <c r="AM37" s="1533"/>
      <c r="AN37" s="1533"/>
      <c r="AO37" s="1533"/>
      <c r="AP37" s="1533"/>
      <c r="AQ37" s="1533"/>
      <c r="AR37" s="1533"/>
      <c r="AS37" s="1533"/>
      <c r="AT37" s="1533"/>
      <c r="AZ37" s="20"/>
      <c r="BD37" s="1181" t="s">
        <v>2465</v>
      </c>
      <c r="BE37" s="1183" t="str">
        <f>Application!T189</f>
        <v>Orange</v>
      </c>
    </row>
    <row r="38" spans="1:57" ht="12.95" hidden="1" customHeight="1">
      <c r="A38" s="3"/>
      <c r="AZ38" s="20"/>
      <c r="BD38" s="1182" t="s">
        <v>2466</v>
      </c>
      <c r="BE38" s="1183">
        <f>Application!I190</f>
        <v>92701</v>
      </c>
    </row>
    <row r="39" spans="1:57" ht="12.95" customHeight="1">
      <c r="A39" s="1266" t="s">
        <v>2106</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c r="BD39" s="1181" t="s">
        <v>2467</v>
      </c>
      <c r="BE39" s="1183">
        <f>Application!AG446</f>
        <v>190</v>
      </c>
    </row>
    <row r="40" spans="1:57"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c r="BD40" s="1182" t="s">
        <v>384</v>
      </c>
      <c r="BE40" s="1183">
        <f>Application!AG449</f>
        <v>188</v>
      </c>
    </row>
    <row r="41" spans="1:57"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c r="BD41" s="1181" t="s">
        <v>287</v>
      </c>
      <c r="BE41" s="1183">
        <f>Application!AG447</f>
        <v>0</v>
      </c>
    </row>
    <row r="42" spans="1:57"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c r="BD42" s="1182" t="s">
        <v>2468</v>
      </c>
      <c r="BE42" s="1185">
        <f>Application!AC761</f>
        <v>0.59946808510638294</v>
      </c>
    </row>
    <row r="43" spans="1:57"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c r="BD43" s="1181" t="s">
        <v>2469</v>
      </c>
      <c r="BE43" s="1185">
        <f>Application!AH761</f>
        <v>0.59946808510638305</v>
      </c>
    </row>
    <row r="44" spans="1:57"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c r="BD44" s="1182" t="s">
        <v>2470</v>
      </c>
      <c r="BE44" s="1183">
        <f>Application!AC463</f>
        <v>375282.66842105263</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2471</v>
      </c>
      <c r="BE45" s="1183">
        <f>Application!AE433</f>
        <v>1</v>
      </c>
    </row>
    <row r="46" spans="1:57" ht="12.95" customHeight="1">
      <c r="A46" s="1332" t="s">
        <v>2107</v>
      </c>
      <c r="B46" s="1332"/>
      <c r="C46" s="1332"/>
      <c r="D46" s="1332"/>
      <c r="E46" s="1332"/>
      <c r="F46" s="1332"/>
      <c r="G46" s="1332"/>
      <c r="H46" s="1332"/>
      <c r="I46" s="1332"/>
      <c r="J46" s="1332"/>
      <c r="K46" s="1332"/>
      <c r="L46" s="1332"/>
      <c r="M46" s="1332"/>
      <c r="N46" s="1332"/>
      <c r="O46" s="1332"/>
      <c r="P46" s="1332"/>
      <c r="Q46" s="1332"/>
      <c r="R46" s="1332"/>
      <c r="S46" s="1332"/>
      <c r="T46" s="1332"/>
      <c r="U46" s="1332"/>
      <c r="V46" s="1332"/>
      <c r="W46" s="1332"/>
      <c r="X46" s="1332"/>
      <c r="Y46" s="1332"/>
      <c r="Z46" s="1332"/>
      <c r="AA46" s="1332"/>
      <c r="AB46" s="1332"/>
      <c r="AC46" s="1332"/>
      <c r="AD46" s="1332"/>
      <c r="AE46" s="1332"/>
      <c r="AF46" s="1332"/>
      <c r="AG46" s="1332"/>
      <c r="AH46" s="1332"/>
      <c r="AI46" s="1332"/>
      <c r="AJ46" s="1332"/>
      <c r="AK46" s="1332"/>
      <c r="AL46" s="1332"/>
      <c r="AM46" s="1332"/>
      <c r="AN46" s="1332"/>
      <c r="AO46" s="1332"/>
      <c r="AP46" s="1332"/>
      <c r="AQ46" s="1332"/>
      <c r="AR46" s="1332"/>
      <c r="AS46" s="1332"/>
      <c r="AT46" s="1332"/>
      <c r="AU46" s="20"/>
      <c r="AV46" s="20"/>
      <c r="AW46" s="20"/>
      <c r="AX46" s="20"/>
      <c r="AY46" s="20"/>
      <c r="AZ46" s="20"/>
      <c r="BD46" s="1182" t="s">
        <v>2472</v>
      </c>
      <c r="BE46" s="1183" t="b">
        <f>Application!T195="Yes"</f>
        <v>0</v>
      </c>
    </row>
    <row r="47" spans="1:57" ht="12.95" customHeight="1">
      <c r="A47" s="1332"/>
      <c r="B47" s="1332"/>
      <c r="C47" s="1332"/>
      <c r="D47" s="1332"/>
      <c r="E47" s="1332"/>
      <c r="F47" s="1332"/>
      <c r="G47" s="1332"/>
      <c r="H47" s="1332"/>
      <c r="I47" s="1332"/>
      <c r="J47" s="1332"/>
      <c r="K47" s="1332"/>
      <c r="L47" s="1332"/>
      <c r="M47" s="1332"/>
      <c r="N47" s="1332"/>
      <c r="O47" s="1332"/>
      <c r="P47" s="1332"/>
      <c r="Q47" s="1332"/>
      <c r="R47" s="1332"/>
      <c r="S47" s="1332"/>
      <c r="T47" s="1332"/>
      <c r="U47" s="1332"/>
      <c r="V47" s="1332"/>
      <c r="W47" s="1332"/>
      <c r="X47" s="1332"/>
      <c r="Y47" s="1332"/>
      <c r="Z47" s="1332"/>
      <c r="AA47" s="1332"/>
      <c r="AB47" s="1332"/>
      <c r="AC47" s="1332"/>
      <c r="AD47" s="1332"/>
      <c r="AE47" s="1332"/>
      <c r="AF47" s="1332"/>
      <c r="AG47" s="1332"/>
      <c r="AH47" s="1332"/>
      <c r="AI47" s="1332"/>
      <c r="AJ47" s="1332"/>
      <c r="AK47" s="1332"/>
      <c r="AL47" s="1332"/>
      <c r="AM47" s="1332"/>
      <c r="AN47" s="1332"/>
      <c r="AO47" s="1332"/>
      <c r="AP47" s="1332"/>
      <c r="AQ47" s="1332"/>
      <c r="AR47" s="1332"/>
      <c r="AS47" s="1332"/>
      <c r="AT47" s="1332"/>
      <c r="AU47" s="20"/>
      <c r="AV47" s="20"/>
      <c r="AW47" s="20"/>
      <c r="AX47" s="20"/>
      <c r="AY47" s="20"/>
      <c r="AZ47" s="20"/>
      <c r="BD47" s="1181" t="s">
        <v>2473</v>
      </c>
      <c r="BE47" s="1183" t="b">
        <f>Application!T196="Yes"</f>
        <v>1</v>
      </c>
    </row>
    <row r="48" spans="1:57" ht="12.95" customHeight="1">
      <c r="A48" s="1332"/>
      <c r="B48" s="1332"/>
      <c r="C48" s="1332"/>
      <c r="D48" s="1332"/>
      <c r="E48" s="1332"/>
      <c r="F48" s="1332"/>
      <c r="G48" s="1332"/>
      <c r="H48" s="1332"/>
      <c r="I48" s="1332"/>
      <c r="J48" s="1332"/>
      <c r="K48" s="1332"/>
      <c r="L48" s="1332"/>
      <c r="M48" s="1332"/>
      <c r="N48" s="1332"/>
      <c r="O48" s="1332"/>
      <c r="P48" s="1332"/>
      <c r="Q48" s="1332"/>
      <c r="R48" s="1332"/>
      <c r="S48" s="1332"/>
      <c r="T48" s="1332"/>
      <c r="U48" s="1332"/>
      <c r="V48" s="1332"/>
      <c r="W48" s="1332"/>
      <c r="X48" s="1332"/>
      <c r="Y48" s="1332"/>
      <c r="Z48" s="1332"/>
      <c r="AA48" s="1332"/>
      <c r="AB48" s="1332"/>
      <c r="AC48" s="1332"/>
      <c r="AD48" s="1332"/>
      <c r="AE48" s="1332"/>
      <c r="AF48" s="1332"/>
      <c r="AG48" s="1332"/>
      <c r="AH48" s="1332"/>
      <c r="AI48" s="1332"/>
      <c r="AJ48" s="1332"/>
      <c r="AK48" s="1332"/>
      <c r="AL48" s="1332"/>
      <c r="AM48" s="1332"/>
      <c r="AN48" s="1332"/>
      <c r="AO48" s="1332"/>
      <c r="AP48" s="1332"/>
      <c r="AQ48" s="1332"/>
      <c r="AR48" s="1332"/>
      <c r="AS48" s="1332"/>
      <c r="AT48" s="1332"/>
      <c r="AU48" s="20"/>
      <c r="AV48" s="20"/>
      <c r="AW48" s="20"/>
      <c r="AX48" s="20"/>
      <c r="AY48" s="20"/>
      <c r="AZ48" s="20"/>
      <c r="BD48" s="1182" t="s">
        <v>2474</v>
      </c>
      <c r="BE48" s="1183" t="str">
        <f>Application!M252</f>
        <v>Kingdom Solis LLC</v>
      </c>
    </row>
    <row r="49" spans="1:57" ht="12.95" customHeight="1">
      <c r="A49" s="1332"/>
      <c r="B49" s="1332"/>
      <c r="C49" s="1332"/>
      <c r="D49" s="1332"/>
      <c r="E49" s="1332"/>
      <c r="F49" s="1332"/>
      <c r="G49" s="1332"/>
      <c r="H49" s="1332"/>
      <c r="I49" s="1332"/>
      <c r="J49" s="1332"/>
      <c r="K49" s="1332"/>
      <c r="L49" s="1332"/>
      <c r="M49" s="1332"/>
      <c r="N49" s="1332"/>
      <c r="O49" s="1332"/>
      <c r="P49" s="1332"/>
      <c r="Q49" s="1332"/>
      <c r="R49" s="1332"/>
      <c r="S49" s="1332"/>
      <c r="T49" s="1332"/>
      <c r="U49" s="1332"/>
      <c r="V49" s="1332"/>
      <c r="W49" s="1332"/>
      <c r="X49" s="1332"/>
      <c r="Y49" s="1332"/>
      <c r="Z49" s="1332"/>
      <c r="AA49" s="1332"/>
      <c r="AB49" s="1332"/>
      <c r="AC49" s="1332"/>
      <c r="AD49" s="1332"/>
      <c r="AE49" s="1332"/>
      <c r="AF49" s="1332"/>
      <c r="AG49" s="1332"/>
      <c r="AH49" s="1332"/>
      <c r="AI49" s="1332"/>
      <c r="AJ49" s="1332"/>
      <c r="AK49" s="1332"/>
      <c r="AL49" s="1332"/>
      <c r="AM49" s="1332"/>
      <c r="AN49" s="1332"/>
      <c r="AO49" s="1332"/>
      <c r="AP49" s="1332"/>
      <c r="AQ49" s="1332"/>
      <c r="AR49" s="1332"/>
      <c r="AS49" s="1332"/>
      <c r="AT49" s="1332"/>
      <c r="AU49" s="20"/>
      <c r="AV49" s="20"/>
      <c r="AW49" s="20"/>
      <c r="AX49" s="20"/>
      <c r="AY49" s="20"/>
      <c r="AZ49" s="20"/>
      <c r="BD49" s="1181" t="s">
        <v>2475</v>
      </c>
      <c r="BE49" s="1183" t="str">
        <f>Application!M255</f>
        <v>William Leach</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2476</v>
      </c>
      <c r="BE50" s="1183" t="str">
        <f>Application!AA258</f>
        <v>Kingdom Development, Inc.</v>
      </c>
    </row>
    <row r="51" spans="1:57" ht="12.95" customHeight="1">
      <c r="A51" s="1266" t="s">
        <v>2108</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c r="BD51" s="1181" t="s">
        <v>2477</v>
      </c>
      <c r="BE51" s="1183" t="str">
        <f>Application!M260</f>
        <v>1200 Main GP, LLC</v>
      </c>
    </row>
    <row r="52" spans="1:57"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c r="BD52" s="1182" t="s">
        <v>2478</v>
      </c>
      <c r="BE52" s="1183" t="str">
        <f>Application!M263</f>
        <v>Miki Nam</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2479</v>
      </c>
      <c r="BE53" s="1183" t="str">
        <f>Application!AA266</f>
        <v>Arden Residential, LLC</v>
      </c>
    </row>
    <row r="54" spans="1:57" ht="12.95" customHeight="1">
      <c r="A54" s="1266" t="s">
        <v>2109</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c r="BD54" s="1182" t="s">
        <v>2480</v>
      </c>
      <c r="BE54" s="1183">
        <f>Application!M268</f>
        <v>0</v>
      </c>
    </row>
    <row r="55" spans="1:57"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c r="BD55" s="1181" t="s">
        <v>2481</v>
      </c>
      <c r="BE55" s="1183">
        <f>Application!M271</f>
        <v>0</v>
      </c>
    </row>
    <row r="56" spans="1:57"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c r="BD56" s="1182" t="s">
        <v>2482</v>
      </c>
      <c r="BE56" s="1183">
        <f>Application!AA274</f>
        <v>0</v>
      </c>
    </row>
    <row r="57" spans="1:57"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c r="BD57" s="1181" t="s">
        <v>2483</v>
      </c>
      <c r="BE57" s="1183" t="str">
        <f>Application!H296</f>
        <v>1200 Main GP, LLC</v>
      </c>
    </row>
    <row r="58" spans="1:57"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c r="BD58" s="1182" t="s">
        <v>2484</v>
      </c>
      <c r="BE58" s="1183" t="str">
        <f>Application!H297</f>
        <v>3470 Wilshire Blvd.</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2485</v>
      </c>
      <c r="BE59" s="1183" t="str">
        <f>Application!H298</f>
        <v>Los Angeles, CA 90010</v>
      </c>
    </row>
    <row r="60" spans="1:57" ht="12.95" customHeight="1">
      <c r="A60" s="1266" t="s">
        <v>2110</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c r="BD60" s="1182" t="s">
        <v>2486</v>
      </c>
      <c r="BE60" s="1183" t="str">
        <f>Application!H299</f>
        <v>Miki Nam</v>
      </c>
    </row>
    <row r="61" spans="1:57"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c r="BD61" s="1181" t="s">
        <v>2487</v>
      </c>
      <c r="BE61" s="1183" t="str">
        <f>Application!H302</f>
        <v>garrettlee@jamisonservices.com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2488</v>
      </c>
      <c r="BE62" s="1186">
        <f>'Basis &amp; Credits'!AB50</f>
        <v>0.86991301176370495</v>
      </c>
    </row>
    <row r="63" spans="1:57" ht="12.95" customHeight="1">
      <c r="A63" s="91" t="s">
        <v>2111</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1250</v>
      </c>
      <c r="BE63" s="1186">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2489</v>
      </c>
      <c r="BE64" s="1183" t="b">
        <f>Application!X180="Yes"</f>
        <v>0</v>
      </c>
    </row>
    <row r="65" spans="1:57" ht="12.95" customHeight="1">
      <c r="A65" s="1540" t="s">
        <v>2112</v>
      </c>
      <c r="B65" s="1540"/>
      <c r="C65" s="1540"/>
      <c r="D65" s="1540"/>
      <c r="E65" s="1540"/>
      <c r="F65" s="1540"/>
      <c r="G65" s="1540"/>
      <c r="H65" s="1540"/>
      <c r="I65" s="1540"/>
      <c r="J65" s="1540"/>
      <c r="K65" s="1540"/>
      <c r="L65" s="1540"/>
      <c r="M65" s="1540"/>
      <c r="N65" s="1540"/>
      <c r="O65" s="1540"/>
      <c r="P65" s="1540"/>
      <c r="Q65" s="1540"/>
      <c r="R65" s="1540"/>
      <c r="S65" s="1540"/>
      <c r="T65" s="1540"/>
      <c r="U65" s="1540"/>
      <c r="V65" s="1540"/>
      <c r="W65" s="1540"/>
      <c r="X65" s="1540"/>
      <c r="Y65" s="1540"/>
      <c r="Z65" s="1540"/>
      <c r="AA65" s="1540"/>
      <c r="AB65" s="1540"/>
      <c r="AC65" s="1540"/>
      <c r="AD65" s="1540"/>
      <c r="AE65" s="1540"/>
      <c r="AF65" s="1540"/>
      <c r="AG65" s="1540"/>
      <c r="AH65" s="1540"/>
      <c r="AI65" s="1540"/>
      <c r="AJ65" s="1540"/>
      <c r="AK65" s="1540"/>
      <c r="AL65" s="1540"/>
      <c r="AM65" s="1540"/>
      <c r="AN65" s="1540"/>
      <c r="AO65" s="1540"/>
      <c r="AP65" s="1540"/>
      <c r="AQ65" s="1540"/>
      <c r="AR65" s="1540"/>
      <c r="AS65" s="1540"/>
      <c r="AT65" s="1540"/>
      <c r="AU65" s="21"/>
      <c r="AV65" s="21"/>
      <c r="AW65" s="21"/>
      <c r="AX65" s="21"/>
      <c r="AY65" s="21"/>
      <c r="AZ65" s="20"/>
      <c r="BD65" s="1181" t="s">
        <v>2523</v>
      </c>
      <c r="BE65" s="1183" t="str">
        <f>Z205</f>
        <v>(select)</v>
      </c>
    </row>
    <row r="66" spans="1:57" ht="12.95" customHeight="1">
      <c r="A66" s="1540"/>
      <c r="B66" s="1540"/>
      <c r="C66" s="1540"/>
      <c r="D66" s="1540"/>
      <c r="E66" s="1540"/>
      <c r="F66" s="1540"/>
      <c r="G66" s="1540"/>
      <c r="H66" s="1540"/>
      <c r="I66" s="1540"/>
      <c r="J66" s="1540"/>
      <c r="K66" s="1540"/>
      <c r="L66" s="1540"/>
      <c r="M66" s="1540"/>
      <c r="N66" s="1540"/>
      <c r="O66" s="1540"/>
      <c r="P66" s="1540"/>
      <c r="Q66" s="1540"/>
      <c r="R66" s="1540"/>
      <c r="S66" s="1540"/>
      <c r="T66" s="1540"/>
      <c r="U66" s="1540"/>
      <c r="V66" s="1540"/>
      <c r="W66" s="1540"/>
      <c r="X66" s="1540"/>
      <c r="Y66" s="1540"/>
      <c r="Z66" s="1540"/>
      <c r="AA66" s="1540"/>
      <c r="AB66" s="1540"/>
      <c r="AC66" s="1540"/>
      <c r="AD66" s="1540"/>
      <c r="AE66" s="1540"/>
      <c r="AF66" s="1540"/>
      <c r="AG66" s="1540"/>
      <c r="AH66" s="1540"/>
      <c r="AI66" s="1540"/>
      <c r="AJ66" s="1540"/>
      <c r="AK66" s="1540"/>
      <c r="AL66" s="1540"/>
      <c r="AM66" s="1540"/>
      <c r="AN66" s="1540"/>
      <c r="AO66" s="1540"/>
      <c r="AP66" s="1540"/>
      <c r="AQ66" s="1540"/>
      <c r="AR66" s="1540"/>
      <c r="AS66" s="1540"/>
      <c r="AT66" s="1540"/>
      <c r="AU66" s="21"/>
      <c r="AV66" s="21"/>
      <c r="AW66" s="21"/>
      <c r="AX66" s="21"/>
      <c r="AY66" s="21"/>
      <c r="AZ66" s="20"/>
      <c r="BD66" s="1182" t="s">
        <v>2490</v>
      </c>
      <c r="BE66" s="1183" t="b">
        <f>Application!Z205="State Farmworker Credit"</f>
        <v>0</v>
      </c>
    </row>
    <row r="67" spans="1:57" ht="12.95" customHeight="1">
      <c r="A67" s="1540"/>
      <c r="B67" s="1540"/>
      <c r="C67" s="1540"/>
      <c r="D67" s="1540"/>
      <c r="E67" s="1540"/>
      <c r="F67" s="1540"/>
      <c r="G67" s="1540"/>
      <c r="H67" s="1540"/>
      <c r="I67" s="1540"/>
      <c r="J67" s="1540"/>
      <c r="K67" s="1540"/>
      <c r="L67" s="1540"/>
      <c r="M67" s="1540"/>
      <c r="N67" s="1540"/>
      <c r="O67" s="1540"/>
      <c r="P67" s="1540"/>
      <c r="Q67" s="1540"/>
      <c r="R67" s="1540"/>
      <c r="S67" s="1540"/>
      <c r="T67" s="1540"/>
      <c r="U67" s="1540"/>
      <c r="V67" s="1540"/>
      <c r="W67" s="1540"/>
      <c r="X67" s="1540"/>
      <c r="Y67" s="1540"/>
      <c r="Z67" s="1540"/>
      <c r="AA67" s="1540"/>
      <c r="AB67" s="1540"/>
      <c r="AC67" s="1540"/>
      <c r="AD67" s="1540"/>
      <c r="AE67" s="1540"/>
      <c r="AF67" s="1540"/>
      <c r="AG67" s="1540"/>
      <c r="AH67" s="1540"/>
      <c r="AI67" s="1540"/>
      <c r="AJ67" s="1540"/>
      <c r="AK67" s="1540"/>
      <c r="AL67" s="1540"/>
      <c r="AM67" s="1540"/>
      <c r="AN67" s="1540"/>
      <c r="AO67" s="1540"/>
      <c r="AP67" s="1540"/>
      <c r="AQ67" s="1540"/>
      <c r="AR67" s="1540"/>
      <c r="AS67" s="1540"/>
      <c r="AT67" s="1540"/>
      <c r="AZ67" s="20"/>
      <c r="BD67" s="1181" t="s">
        <v>2491</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2492</v>
      </c>
      <c r="BE68" s="1183">
        <f>'Sources and Uses Budget'!D105</f>
        <v>0</v>
      </c>
    </row>
    <row r="69" spans="1:57" ht="12.95" customHeight="1">
      <c r="A69" s="1540" t="s">
        <v>2113</v>
      </c>
      <c r="B69" s="1540"/>
      <c r="C69" s="1540"/>
      <c r="D69" s="1540"/>
      <c r="E69" s="1540"/>
      <c r="F69" s="1540"/>
      <c r="G69" s="1540"/>
      <c r="H69" s="1540"/>
      <c r="I69" s="1540"/>
      <c r="J69" s="1540"/>
      <c r="K69" s="1540"/>
      <c r="L69" s="1540"/>
      <c r="M69" s="1540"/>
      <c r="N69" s="1540"/>
      <c r="O69" s="1540"/>
      <c r="P69" s="1540"/>
      <c r="Q69" s="1540"/>
      <c r="R69" s="1540"/>
      <c r="S69" s="1540"/>
      <c r="T69" s="1540"/>
      <c r="U69" s="1540"/>
      <c r="V69" s="1540"/>
      <c r="W69" s="1540"/>
      <c r="X69" s="1540"/>
      <c r="Y69" s="1540"/>
      <c r="Z69" s="1540"/>
      <c r="AA69" s="1540"/>
      <c r="AB69" s="1540"/>
      <c r="AC69" s="1540"/>
      <c r="AD69" s="1540"/>
      <c r="AE69" s="1540"/>
      <c r="AF69" s="1540"/>
      <c r="AG69" s="1540"/>
      <c r="AH69" s="1540"/>
      <c r="AI69" s="1540"/>
      <c r="AJ69" s="1540"/>
      <c r="AK69" s="1540"/>
      <c r="AL69" s="1540"/>
      <c r="AM69" s="1540"/>
      <c r="AN69" s="1540"/>
      <c r="AO69" s="1540"/>
      <c r="AP69" s="1540"/>
      <c r="AQ69" s="1540"/>
      <c r="AR69" s="1540"/>
      <c r="AS69" s="1540"/>
      <c r="AT69" s="1540"/>
      <c r="AZ69" s="20"/>
      <c r="BD69" s="1181" t="s">
        <v>2493</v>
      </c>
      <c r="BE69" s="1183" t="str">
        <f>Application!W708</f>
        <v>California Municipal Finance Authority</v>
      </c>
    </row>
    <row r="70" spans="1:57" ht="12.95" customHeight="1">
      <c r="A70" s="1540"/>
      <c r="B70" s="1540"/>
      <c r="C70" s="1540"/>
      <c r="D70" s="1540"/>
      <c r="E70" s="1540"/>
      <c r="F70" s="1540"/>
      <c r="G70" s="1540"/>
      <c r="H70" s="1540"/>
      <c r="I70" s="1540"/>
      <c r="J70" s="1540"/>
      <c r="K70" s="1540"/>
      <c r="L70" s="1540"/>
      <c r="M70" s="1540"/>
      <c r="N70" s="1540"/>
      <c r="O70" s="1540"/>
      <c r="P70" s="1540"/>
      <c r="Q70" s="1540"/>
      <c r="R70" s="1540"/>
      <c r="S70" s="1540"/>
      <c r="T70" s="1540"/>
      <c r="U70" s="1540"/>
      <c r="V70" s="1540"/>
      <c r="W70" s="1540"/>
      <c r="X70" s="1540"/>
      <c r="Y70" s="1540"/>
      <c r="Z70" s="1540"/>
      <c r="AA70" s="1540"/>
      <c r="AB70" s="1540"/>
      <c r="AC70" s="1540"/>
      <c r="AD70" s="1540"/>
      <c r="AE70" s="1540"/>
      <c r="AF70" s="1540"/>
      <c r="AG70" s="1540"/>
      <c r="AH70" s="1540"/>
      <c r="AI70" s="1540"/>
      <c r="AJ70" s="1540"/>
      <c r="AK70" s="1540"/>
      <c r="AL70" s="1540"/>
      <c r="AM70" s="1540"/>
      <c r="AN70" s="1540"/>
      <c r="AO70" s="1540"/>
      <c r="AP70" s="1540"/>
      <c r="AQ70" s="1540"/>
      <c r="AR70" s="1540"/>
      <c r="AS70" s="1540"/>
      <c r="AT70" s="1540"/>
      <c r="AU70" s="20"/>
      <c r="AV70" s="20"/>
      <c r="AW70" s="20"/>
      <c r="AX70" s="20"/>
      <c r="AY70" s="20"/>
      <c r="AZ70" s="20"/>
      <c r="BD70" s="1182" t="s">
        <v>2494</v>
      </c>
      <c r="BE70" s="1183">
        <f ca="1">'Points System'!AF843</f>
        <v>111</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2619</v>
      </c>
      <c r="BE71" s="1183">
        <f>'Points System'!AF826</f>
        <v>0</v>
      </c>
    </row>
    <row r="72" spans="1:57" ht="12.95" customHeight="1">
      <c r="A72" s="1533" t="s">
        <v>2114</v>
      </c>
      <c r="B72" s="1533"/>
      <c r="C72" s="1533"/>
      <c r="D72" s="1533"/>
      <c r="E72" s="1533"/>
      <c r="F72" s="1533"/>
      <c r="G72" s="1533"/>
      <c r="H72" s="1533"/>
      <c r="I72" s="1533"/>
      <c r="J72" s="1533"/>
      <c r="K72" s="1533"/>
      <c r="L72" s="1533"/>
      <c r="M72" s="1533"/>
      <c r="N72" s="1533"/>
      <c r="O72" s="1533"/>
      <c r="P72" s="1533"/>
      <c r="Q72" s="1533"/>
      <c r="R72" s="1533"/>
      <c r="S72" s="1533"/>
      <c r="T72" s="1533"/>
      <c r="U72" s="1533"/>
      <c r="V72" s="1533"/>
      <c r="W72" s="1533"/>
      <c r="X72" s="1533"/>
      <c r="Y72" s="1533"/>
      <c r="Z72" s="1533"/>
      <c r="AA72" s="1533"/>
      <c r="AB72" s="1533"/>
      <c r="AC72" s="1533"/>
      <c r="AD72" s="1533"/>
      <c r="AE72" s="1533"/>
      <c r="AF72" s="1533"/>
      <c r="AG72" s="1533"/>
      <c r="AH72" s="1533"/>
      <c r="AI72" s="1533"/>
      <c r="AJ72" s="1533"/>
      <c r="AK72" s="1533"/>
      <c r="AL72" s="1533"/>
      <c r="AM72" s="1533"/>
      <c r="AN72" s="1533"/>
      <c r="AO72" s="1533"/>
      <c r="AP72" s="1533"/>
      <c r="AQ72" s="1533"/>
      <c r="AR72" s="1533"/>
      <c r="AS72" s="1533"/>
      <c r="AT72" s="1533"/>
      <c r="AU72" s="20"/>
      <c r="AV72" s="20"/>
      <c r="AW72" s="20"/>
      <c r="AX72" s="20"/>
      <c r="AY72" s="20"/>
      <c r="AZ72" s="20"/>
      <c r="BD72" s="1182" t="s">
        <v>2495</v>
      </c>
      <c r="BE72" s="1183">
        <f>'Points System'!AF827</f>
        <v>10</v>
      </c>
    </row>
    <row r="73" spans="1:57" ht="12.95" customHeight="1">
      <c r="A73" s="1533"/>
      <c r="B73" s="1533"/>
      <c r="C73" s="1533"/>
      <c r="D73" s="1533"/>
      <c r="E73" s="1533"/>
      <c r="F73" s="1533"/>
      <c r="G73" s="1533"/>
      <c r="H73" s="1533"/>
      <c r="I73" s="1533"/>
      <c r="J73" s="1533"/>
      <c r="K73" s="1533"/>
      <c r="L73" s="1533"/>
      <c r="M73" s="1533"/>
      <c r="N73" s="1533"/>
      <c r="O73" s="1533"/>
      <c r="P73" s="1533"/>
      <c r="Q73" s="1533"/>
      <c r="R73" s="1533"/>
      <c r="S73" s="1533"/>
      <c r="T73" s="1533"/>
      <c r="U73" s="1533"/>
      <c r="V73" s="1533"/>
      <c r="W73" s="1533"/>
      <c r="X73" s="1533"/>
      <c r="Y73" s="1533"/>
      <c r="Z73" s="1533"/>
      <c r="AA73" s="1533"/>
      <c r="AB73" s="1533"/>
      <c r="AC73" s="1533"/>
      <c r="AD73" s="1533"/>
      <c r="AE73" s="1533"/>
      <c r="AF73" s="1533"/>
      <c r="AG73" s="1533"/>
      <c r="AH73" s="1533"/>
      <c r="AI73" s="1533"/>
      <c r="AJ73" s="1533"/>
      <c r="AK73" s="1533"/>
      <c r="AL73" s="1533"/>
      <c r="AM73" s="1533"/>
      <c r="AN73" s="1533"/>
      <c r="AO73" s="1533"/>
      <c r="AP73" s="1533"/>
      <c r="AQ73" s="1533"/>
      <c r="AR73" s="1533"/>
      <c r="AS73" s="1533"/>
      <c r="AT73" s="1533"/>
      <c r="AU73" s="20"/>
      <c r="AV73" s="20"/>
      <c r="AW73" s="20"/>
      <c r="AX73" s="20"/>
      <c r="AY73" s="20"/>
      <c r="AZ73" s="20"/>
      <c r="BD73" s="1181" t="s">
        <v>2496</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2497</v>
      </c>
      <c r="BE74" s="1183">
        <f>'Points System'!AF829</f>
        <v>10</v>
      </c>
    </row>
    <row r="75" spans="1:57" ht="12.95" customHeight="1">
      <c r="A75" s="1539" t="s">
        <v>2115</v>
      </c>
      <c r="B75" s="1539"/>
      <c r="C75" s="1539"/>
      <c r="D75" s="1539"/>
      <c r="E75" s="1539"/>
      <c r="F75" s="1539"/>
      <c r="G75" s="1539"/>
      <c r="H75" s="1539"/>
      <c r="I75" s="1539"/>
      <c r="J75" s="1539"/>
      <c r="K75" s="1539"/>
      <c r="L75" s="1539"/>
      <c r="M75" s="1539"/>
      <c r="N75" s="1539"/>
      <c r="O75" s="1539"/>
      <c r="P75" s="1539"/>
      <c r="Q75" s="1539"/>
      <c r="R75" s="1539"/>
      <c r="S75" s="1539"/>
      <c r="T75" s="1539"/>
      <c r="U75" s="1539"/>
      <c r="V75" s="1539"/>
      <c r="W75" s="1539"/>
      <c r="X75" s="1539"/>
      <c r="Y75" s="1539"/>
      <c r="Z75" s="1539"/>
      <c r="AA75" s="1539"/>
      <c r="AB75" s="1539"/>
      <c r="AC75" s="1539"/>
      <c r="AD75" s="1539"/>
      <c r="AE75" s="1539"/>
      <c r="AF75" s="1539"/>
      <c r="AG75" s="1539"/>
      <c r="AH75" s="1539"/>
      <c r="AI75" s="1539"/>
      <c r="AJ75" s="1539"/>
      <c r="AK75" s="1539"/>
      <c r="AL75" s="1539"/>
      <c r="AM75" s="1539"/>
      <c r="AN75" s="1539"/>
      <c r="AO75" s="1539"/>
      <c r="AP75" s="1539"/>
      <c r="AQ75" s="1539"/>
      <c r="AR75" s="1539"/>
      <c r="AS75" s="1539"/>
      <c r="AT75" s="1539"/>
      <c r="AU75" s="20"/>
      <c r="AV75" s="20"/>
      <c r="AW75" s="20"/>
      <c r="AX75" s="20"/>
      <c r="AY75" s="20"/>
      <c r="AZ75" s="20"/>
      <c r="BD75" s="1181" t="s">
        <v>2498</v>
      </c>
      <c r="BE75" s="1183">
        <f>'Points System'!AF830</f>
        <v>10</v>
      </c>
    </row>
    <row r="76" spans="1:57" ht="12.95" customHeight="1">
      <c r="A76" s="1539"/>
      <c r="B76" s="1539"/>
      <c r="C76" s="1539"/>
      <c r="D76" s="1539"/>
      <c r="E76" s="1539"/>
      <c r="F76" s="1539"/>
      <c r="G76" s="1539"/>
      <c r="H76" s="1539"/>
      <c r="I76" s="1539"/>
      <c r="J76" s="1539"/>
      <c r="K76" s="1539"/>
      <c r="L76" s="1539"/>
      <c r="M76" s="1539"/>
      <c r="N76" s="1539"/>
      <c r="O76" s="1539"/>
      <c r="P76" s="1539"/>
      <c r="Q76" s="1539"/>
      <c r="R76" s="1539"/>
      <c r="S76" s="1539"/>
      <c r="T76" s="1539"/>
      <c r="U76" s="1539"/>
      <c r="V76" s="1539"/>
      <c r="W76" s="1539"/>
      <c r="X76" s="1539"/>
      <c r="Y76" s="1539"/>
      <c r="Z76" s="1539"/>
      <c r="AA76" s="1539"/>
      <c r="AB76" s="1539"/>
      <c r="AC76" s="1539"/>
      <c r="AD76" s="1539"/>
      <c r="AE76" s="1539"/>
      <c r="AF76" s="1539"/>
      <c r="AG76" s="1539"/>
      <c r="AH76" s="1539"/>
      <c r="AI76" s="1539"/>
      <c r="AJ76" s="1539"/>
      <c r="AK76" s="1539"/>
      <c r="AL76" s="1539"/>
      <c r="AM76" s="1539"/>
      <c r="AN76" s="1539"/>
      <c r="AO76" s="1539"/>
      <c r="AP76" s="1539"/>
      <c r="AQ76" s="1539"/>
      <c r="AR76" s="1539"/>
      <c r="AS76" s="1539"/>
      <c r="AT76" s="1539"/>
      <c r="AU76" s="20"/>
      <c r="AV76" s="20"/>
      <c r="AW76" s="20"/>
      <c r="AX76" s="20"/>
      <c r="AY76" s="20"/>
      <c r="AZ76" s="17"/>
      <c r="BD76" s="1182" t="s">
        <v>2499</v>
      </c>
      <c r="BE76" s="1183">
        <f>'Points System'!AF833</f>
        <v>10</v>
      </c>
    </row>
    <row r="77" spans="1:57" ht="12.95" customHeight="1">
      <c r="A77" s="1539"/>
      <c r="B77" s="1539"/>
      <c r="C77" s="1539"/>
      <c r="D77" s="1539"/>
      <c r="E77" s="1539"/>
      <c r="F77" s="1539"/>
      <c r="G77" s="1539"/>
      <c r="H77" s="1539"/>
      <c r="I77" s="1539"/>
      <c r="J77" s="1539"/>
      <c r="K77" s="1539"/>
      <c r="L77" s="1539"/>
      <c r="M77" s="1539"/>
      <c r="N77" s="1539"/>
      <c r="O77" s="1539"/>
      <c r="P77" s="1539"/>
      <c r="Q77" s="1539"/>
      <c r="R77" s="1539"/>
      <c r="S77" s="1539"/>
      <c r="T77" s="1539"/>
      <c r="U77" s="1539"/>
      <c r="V77" s="1539"/>
      <c r="W77" s="1539"/>
      <c r="X77" s="1539"/>
      <c r="Y77" s="1539"/>
      <c r="Z77" s="1539"/>
      <c r="AA77" s="1539"/>
      <c r="AB77" s="1539"/>
      <c r="AC77" s="1539"/>
      <c r="AD77" s="1539"/>
      <c r="AE77" s="1539"/>
      <c r="AF77" s="1539"/>
      <c r="AG77" s="1539"/>
      <c r="AH77" s="1539"/>
      <c r="AI77" s="1539"/>
      <c r="AJ77" s="1539"/>
      <c r="AK77" s="1539"/>
      <c r="AL77" s="1539"/>
      <c r="AM77" s="1539"/>
      <c r="AN77" s="1539"/>
      <c r="AO77" s="1539"/>
      <c r="AP77" s="1539"/>
      <c r="AQ77" s="1539"/>
      <c r="AR77" s="1539"/>
      <c r="AS77" s="1539"/>
      <c r="AT77" s="1539"/>
      <c r="AU77" s="20"/>
      <c r="AV77" s="20"/>
      <c r="AW77" s="20"/>
      <c r="AX77" s="20"/>
      <c r="AY77" s="20"/>
      <c r="AZ77" s="17"/>
      <c r="BD77" s="1181" t="s">
        <v>2500</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2501</v>
      </c>
      <c r="BE78" s="1183">
        <f>'Points System'!AF836</f>
        <v>10</v>
      </c>
    </row>
    <row r="79" spans="1:57" ht="12.95" customHeight="1">
      <c r="A79" s="1540" t="s">
        <v>2116</v>
      </c>
      <c r="B79" s="1540"/>
      <c r="C79" s="1540"/>
      <c r="D79" s="1540"/>
      <c r="E79" s="1540"/>
      <c r="F79" s="1540"/>
      <c r="G79" s="1540"/>
      <c r="H79" s="1540"/>
      <c r="I79" s="1540"/>
      <c r="J79" s="1540"/>
      <c r="K79" s="1540"/>
      <c r="L79" s="1540"/>
      <c r="M79" s="1540"/>
      <c r="N79" s="1540"/>
      <c r="O79" s="1540"/>
      <c r="P79" s="1540"/>
      <c r="Q79" s="1540"/>
      <c r="R79" s="1540"/>
      <c r="S79" s="1540"/>
      <c r="T79" s="1540"/>
      <c r="U79" s="1540"/>
      <c r="V79" s="1540"/>
      <c r="W79" s="1540"/>
      <c r="X79" s="1540"/>
      <c r="Y79" s="1540"/>
      <c r="Z79" s="1540"/>
      <c r="AA79" s="1540"/>
      <c r="AB79" s="1540"/>
      <c r="AC79" s="1540"/>
      <c r="AD79" s="1540"/>
      <c r="AE79" s="1540"/>
      <c r="AF79" s="1540"/>
      <c r="AG79" s="1540"/>
      <c r="AH79" s="1540"/>
      <c r="AI79" s="1540"/>
      <c r="AJ79" s="1540"/>
      <c r="AK79" s="1540"/>
      <c r="AL79" s="1540"/>
      <c r="AM79" s="1540"/>
      <c r="AN79" s="1540"/>
      <c r="AO79" s="1540"/>
      <c r="AP79" s="1540"/>
      <c r="AQ79" s="1540"/>
      <c r="AR79" s="1540"/>
      <c r="AS79" s="1540"/>
      <c r="AT79" s="1540"/>
      <c r="AU79" s="20"/>
      <c r="AV79" s="20"/>
      <c r="AW79" s="20"/>
      <c r="AX79" s="20"/>
      <c r="AY79" s="20"/>
      <c r="AZ79" s="20"/>
      <c r="BD79" s="1181" t="s">
        <v>2620</v>
      </c>
      <c r="BE79" s="1183">
        <f>'Points System'!AF837</f>
        <v>9</v>
      </c>
    </row>
    <row r="80" spans="1:57" ht="12.95" customHeight="1">
      <c r="A80" s="1540"/>
      <c r="B80" s="1540"/>
      <c r="C80" s="1540"/>
      <c r="D80" s="1540"/>
      <c r="E80" s="1540"/>
      <c r="F80" s="1540"/>
      <c r="G80" s="1540"/>
      <c r="H80" s="1540"/>
      <c r="I80" s="1540"/>
      <c r="J80" s="1540"/>
      <c r="K80" s="1540"/>
      <c r="L80" s="1540"/>
      <c r="M80" s="1540"/>
      <c r="N80" s="1540"/>
      <c r="O80" s="1540"/>
      <c r="P80" s="1540"/>
      <c r="Q80" s="1540"/>
      <c r="R80" s="1540"/>
      <c r="S80" s="1540"/>
      <c r="T80" s="1540"/>
      <c r="U80" s="1540"/>
      <c r="V80" s="1540"/>
      <c r="W80" s="1540"/>
      <c r="X80" s="1540"/>
      <c r="Y80" s="1540"/>
      <c r="Z80" s="1540"/>
      <c r="AA80" s="1540"/>
      <c r="AB80" s="1540"/>
      <c r="AC80" s="1540"/>
      <c r="AD80" s="1540"/>
      <c r="AE80" s="1540"/>
      <c r="AF80" s="1540"/>
      <c r="AG80" s="1540"/>
      <c r="AH80" s="1540"/>
      <c r="AI80" s="1540"/>
      <c r="AJ80" s="1540"/>
      <c r="AK80" s="1540"/>
      <c r="AL80" s="1540"/>
      <c r="AM80" s="1540"/>
      <c r="AN80" s="1540"/>
      <c r="AO80" s="1540"/>
      <c r="AP80" s="1540"/>
      <c r="AQ80" s="1540"/>
      <c r="AR80" s="1540"/>
      <c r="AS80" s="1540"/>
      <c r="AT80" s="1540"/>
      <c r="AU80" s="20"/>
      <c r="AV80" s="20"/>
      <c r="AW80" s="20"/>
      <c r="AX80" s="20"/>
      <c r="AY80" s="20"/>
      <c r="AZ80" s="20"/>
      <c r="BD80" s="1182" t="s">
        <v>2502</v>
      </c>
      <c r="BE80" s="1183">
        <f>'Points System'!AF839</f>
        <v>10</v>
      </c>
    </row>
    <row r="81" spans="1:57" ht="12.95" customHeight="1">
      <c r="A81" s="1540"/>
      <c r="B81" s="1540"/>
      <c r="C81" s="1540"/>
      <c r="D81" s="1540"/>
      <c r="E81" s="1540"/>
      <c r="F81" s="1540"/>
      <c r="G81" s="1540"/>
      <c r="H81" s="1540"/>
      <c r="I81" s="1540"/>
      <c r="J81" s="1540"/>
      <c r="K81" s="1540"/>
      <c r="L81" s="1540"/>
      <c r="M81" s="1540"/>
      <c r="N81" s="1540"/>
      <c r="O81" s="1540"/>
      <c r="P81" s="1540"/>
      <c r="Q81" s="1540"/>
      <c r="R81" s="1540"/>
      <c r="S81" s="1540"/>
      <c r="T81" s="1540"/>
      <c r="U81" s="1540"/>
      <c r="V81" s="1540"/>
      <c r="W81" s="1540"/>
      <c r="X81" s="1540"/>
      <c r="Y81" s="1540"/>
      <c r="Z81" s="1540"/>
      <c r="AA81" s="1540"/>
      <c r="AB81" s="1540"/>
      <c r="AC81" s="1540"/>
      <c r="AD81" s="1540"/>
      <c r="AE81" s="1540"/>
      <c r="AF81" s="1540"/>
      <c r="AG81" s="1540"/>
      <c r="AH81" s="1540"/>
      <c r="AI81" s="1540"/>
      <c r="AJ81" s="1540"/>
      <c r="AK81" s="1540"/>
      <c r="AL81" s="1540"/>
      <c r="AM81" s="1540"/>
      <c r="AN81" s="1540"/>
      <c r="AO81" s="1540"/>
      <c r="AP81" s="1540"/>
      <c r="AQ81" s="1540"/>
      <c r="AR81" s="1540"/>
      <c r="AS81" s="1540"/>
      <c r="AT81" s="1540"/>
      <c r="AU81" s="20"/>
      <c r="AV81" s="20"/>
      <c r="AW81" s="20"/>
      <c r="AX81" s="20"/>
      <c r="AY81" s="20"/>
      <c r="AZ81" s="20"/>
      <c r="BD81" s="1181" t="s">
        <v>2503</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2504</v>
      </c>
      <c r="BE82" s="1183">
        <f>'Points System'!AF841</f>
        <v>10</v>
      </c>
    </row>
    <row r="83" spans="1:57" ht="12.95" customHeight="1">
      <c r="A83" s="1266" t="s">
        <v>2117</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c r="BD83" s="1181" t="s">
        <v>2505</v>
      </c>
      <c r="BE83" s="1187">
        <f>'Tie Breaker'!H5</f>
        <v>2.8604812350456927</v>
      </c>
    </row>
    <row r="84" spans="1:57"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c r="BD84" s="1182" t="s">
        <v>2506</v>
      </c>
      <c r="BE84" s="1183" t="str">
        <f>Application!O153</f>
        <v>City of Santa Ana</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2507</v>
      </c>
      <c r="BE85" s="1183" t="str">
        <f>Application!O154</f>
        <v>Alvaro Nunez</v>
      </c>
    </row>
    <row r="86" spans="1:57" ht="12.95" customHeight="1">
      <c r="A86" s="1266" t="s">
        <v>2118</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c r="BD86" s="1182" t="s">
        <v>2508</v>
      </c>
      <c r="BE86" s="1183" t="str">
        <f>Application!O155</f>
        <v>City Manager</v>
      </c>
    </row>
    <row r="87" spans="1:57"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c r="BD87" s="1181" t="s">
        <v>2509</v>
      </c>
      <c r="BE87" s="1183" t="str">
        <f>Application!O156</f>
        <v>20 Civic Center Plaza</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2510</v>
      </c>
      <c r="BE88" s="1183" t="str">
        <f>Application!O157</f>
        <v>Santa Ana</v>
      </c>
    </row>
    <row r="89" spans="1:57" ht="12.95" customHeight="1">
      <c r="A89" s="1551" t="s">
        <v>2119</v>
      </c>
      <c r="B89" s="1551"/>
      <c r="C89" s="1551"/>
      <c r="D89" s="1551"/>
      <c r="E89" s="1551"/>
      <c r="F89" s="1551"/>
      <c r="G89" s="1551"/>
      <c r="H89" s="1551"/>
      <c r="I89" s="1551"/>
      <c r="J89" s="1551"/>
      <c r="K89" s="1551"/>
      <c r="L89" s="1551"/>
      <c r="M89" s="1551"/>
      <c r="N89" s="1551"/>
      <c r="O89" s="1551"/>
      <c r="P89" s="1551"/>
      <c r="Q89" s="1551"/>
      <c r="R89" s="1551"/>
      <c r="S89" s="1551"/>
      <c r="T89" s="1551"/>
      <c r="U89" s="1551"/>
      <c r="V89" s="1551"/>
      <c r="W89" s="1551"/>
      <c r="X89" s="1551"/>
      <c r="Y89" s="1551"/>
      <c r="Z89" s="1551"/>
      <c r="AA89" s="1551"/>
      <c r="AB89" s="1551"/>
      <c r="AC89" s="1551"/>
      <c r="AD89" s="1551"/>
      <c r="AE89" s="1551"/>
      <c r="AF89" s="1551"/>
      <c r="AG89" s="1551"/>
      <c r="AH89" s="1551"/>
      <c r="AI89" s="1551"/>
      <c r="AJ89" s="1551"/>
      <c r="AK89" s="1551"/>
      <c r="AL89" s="1551"/>
      <c r="AM89" s="1551"/>
      <c r="AN89" s="1551"/>
      <c r="AO89" s="1551"/>
      <c r="AP89" s="1551"/>
      <c r="AQ89" s="1551"/>
      <c r="AR89" s="1551"/>
      <c r="AS89" s="1551"/>
      <c r="AT89" s="1551"/>
      <c r="AU89" s="17"/>
      <c r="AV89" s="17"/>
      <c r="AW89" s="17"/>
      <c r="AX89" s="17"/>
      <c r="AY89" s="17"/>
      <c r="AZ89" s="20"/>
      <c r="BD89" s="1181" t="s">
        <v>2511</v>
      </c>
      <c r="BE89" s="1183">
        <f>Application!O158</f>
        <v>92701</v>
      </c>
    </row>
    <row r="90" spans="1:57" ht="12.95" customHeight="1">
      <c r="A90" s="1551"/>
      <c r="B90" s="1551"/>
      <c r="C90" s="1551"/>
      <c r="D90" s="1551"/>
      <c r="E90" s="1551"/>
      <c r="F90" s="1551"/>
      <c r="G90" s="1551"/>
      <c r="H90" s="1551"/>
      <c r="I90" s="1551"/>
      <c r="J90" s="1551"/>
      <c r="K90" s="1551"/>
      <c r="L90" s="1551"/>
      <c r="M90" s="1551"/>
      <c r="N90" s="1551"/>
      <c r="O90" s="1551"/>
      <c r="P90" s="1551"/>
      <c r="Q90" s="1551"/>
      <c r="R90" s="1551"/>
      <c r="S90" s="1551"/>
      <c r="T90" s="1551"/>
      <c r="U90" s="1551"/>
      <c r="V90" s="1551"/>
      <c r="W90" s="1551"/>
      <c r="X90" s="1551"/>
      <c r="Y90" s="1551"/>
      <c r="Z90" s="1551"/>
      <c r="AA90" s="1551"/>
      <c r="AB90" s="1551"/>
      <c r="AC90" s="1551"/>
      <c r="AD90" s="1551"/>
      <c r="AE90" s="1551"/>
      <c r="AF90" s="1551"/>
      <c r="AG90" s="1551"/>
      <c r="AH90" s="1551"/>
      <c r="AI90" s="1551"/>
      <c r="AJ90" s="1551"/>
      <c r="AK90" s="1551"/>
      <c r="AL90" s="1551"/>
      <c r="AM90" s="1551"/>
      <c r="AN90" s="1551"/>
      <c r="AO90" s="1551"/>
      <c r="AP90" s="1551"/>
      <c r="AQ90" s="1551"/>
      <c r="AR90" s="1551"/>
      <c r="AS90" s="1551"/>
      <c r="AT90" s="1551"/>
      <c r="AU90" s="17"/>
      <c r="AV90" s="17"/>
      <c r="AW90" s="17"/>
      <c r="AX90" s="17"/>
      <c r="AY90" s="17"/>
      <c r="AZ90" s="20"/>
      <c r="BD90" s="1182" t="s">
        <v>2512</v>
      </c>
      <c r="BE90" s="1183" t="str">
        <f>Application!H16</f>
        <v>1200 Main GP, LLC</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2513</v>
      </c>
      <c r="BE91" s="1183" t="str">
        <f>Application!M242</f>
        <v>3470 Wilshire Blvd.</v>
      </c>
    </row>
    <row r="92" spans="1:57" ht="12.95" customHeight="1">
      <c r="A92" s="1539" t="s">
        <v>2120</v>
      </c>
      <c r="B92" s="1539"/>
      <c r="C92" s="1539"/>
      <c r="D92" s="1539"/>
      <c r="E92" s="1539"/>
      <c r="F92" s="1539"/>
      <c r="G92" s="1539"/>
      <c r="H92" s="1539"/>
      <c r="I92" s="1539"/>
      <c r="J92" s="1539"/>
      <c r="K92" s="1539"/>
      <c r="L92" s="1539"/>
      <c r="M92" s="1539"/>
      <c r="N92" s="1539"/>
      <c r="O92" s="1539"/>
      <c r="P92" s="1539"/>
      <c r="Q92" s="1539"/>
      <c r="R92" s="1539"/>
      <c r="S92" s="1539"/>
      <c r="T92" s="1539"/>
      <c r="U92" s="1539"/>
      <c r="V92" s="1539"/>
      <c r="W92" s="1539"/>
      <c r="X92" s="1539"/>
      <c r="Y92" s="1539"/>
      <c r="Z92" s="1539"/>
      <c r="AA92" s="1539"/>
      <c r="AB92" s="1539"/>
      <c r="AC92" s="1539"/>
      <c r="AD92" s="1539"/>
      <c r="AE92" s="1539"/>
      <c r="AF92" s="1539"/>
      <c r="AG92" s="1539"/>
      <c r="AH92" s="1539"/>
      <c r="AI92" s="1539"/>
      <c r="AJ92" s="1539"/>
      <c r="AK92" s="1539"/>
      <c r="AL92" s="1539"/>
      <c r="AM92" s="1539"/>
      <c r="AN92" s="1539"/>
      <c r="AO92" s="1539"/>
      <c r="AP92" s="1539"/>
      <c r="AQ92" s="1539"/>
      <c r="AR92" s="1539"/>
      <c r="AS92" s="1539"/>
      <c r="AT92" s="1539"/>
      <c r="AU92" s="20"/>
      <c r="AV92" s="20"/>
      <c r="AW92" s="20"/>
      <c r="AX92" s="20"/>
      <c r="AY92" s="20"/>
      <c r="AZ92" s="20"/>
      <c r="BD92" s="1182" t="s">
        <v>2514</v>
      </c>
      <c r="BE92" s="1183" t="str">
        <f>Application!M243</f>
        <v>Los Angeles</v>
      </c>
    </row>
    <row r="93" spans="1:57" ht="12.95" customHeight="1">
      <c r="A93" s="1539"/>
      <c r="B93" s="1539"/>
      <c r="C93" s="1539"/>
      <c r="D93" s="1539"/>
      <c r="E93" s="1539"/>
      <c r="F93" s="1539"/>
      <c r="G93" s="1539"/>
      <c r="H93" s="1539"/>
      <c r="I93" s="1539"/>
      <c r="J93" s="1539"/>
      <c r="K93" s="1539"/>
      <c r="L93" s="1539"/>
      <c r="M93" s="1539"/>
      <c r="N93" s="1539"/>
      <c r="O93" s="1539"/>
      <c r="P93" s="1539"/>
      <c r="Q93" s="1539"/>
      <c r="R93" s="1539"/>
      <c r="S93" s="1539"/>
      <c r="T93" s="1539"/>
      <c r="U93" s="1539"/>
      <c r="V93" s="1539"/>
      <c r="W93" s="1539"/>
      <c r="X93" s="1539"/>
      <c r="Y93" s="1539"/>
      <c r="Z93" s="1539"/>
      <c r="AA93" s="1539"/>
      <c r="AB93" s="1539"/>
      <c r="AC93" s="1539"/>
      <c r="AD93" s="1539"/>
      <c r="AE93" s="1539"/>
      <c r="AF93" s="1539"/>
      <c r="AG93" s="1539"/>
      <c r="AH93" s="1539"/>
      <c r="AI93" s="1539"/>
      <c r="AJ93" s="1539"/>
      <c r="AK93" s="1539"/>
      <c r="AL93" s="1539"/>
      <c r="AM93" s="1539"/>
      <c r="AN93" s="1539"/>
      <c r="AO93" s="1539"/>
      <c r="AP93" s="1539"/>
      <c r="AQ93" s="1539"/>
      <c r="AR93" s="1539"/>
      <c r="AS93" s="1539"/>
      <c r="AT93" s="1539"/>
      <c r="AU93" s="20"/>
      <c r="AV93" s="20"/>
      <c r="AW93" s="20"/>
      <c r="AX93" s="20"/>
      <c r="AY93" s="20"/>
      <c r="AZ93" s="20"/>
      <c r="BD93" s="1181" t="s">
        <v>2515</v>
      </c>
      <c r="BE93" s="1183" t="str">
        <f>Application!W243</f>
        <v>CA</v>
      </c>
    </row>
    <row r="94" spans="1:57" ht="12.95" customHeight="1">
      <c r="A94" s="1539"/>
      <c r="B94" s="1539"/>
      <c r="C94" s="1539"/>
      <c r="D94" s="1539"/>
      <c r="E94" s="1539"/>
      <c r="F94" s="1539"/>
      <c r="G94" s="1539"/>
      <c r="H94" s="1539"/>
      <c r="I94" s="1539"/>
      <c r="J94" s="1539"/>
      <c r="K94" s="1539"/>
      <c r="L94" s="1539"/>
      <c r="M94" s="1539"/>
      <c r="N94" s="1539"/>
      <c r="O94" s="1539"/>
      <c r="P94" s="1539"/>
      <c r="Q94" s="1539"/>
      <c r="R94" s="1539"/>
      <c r="S94" s="1539"/>
      <c r="T94" s="1539"/>
      <c r="U94" s="1539"/>
      <c r="V94" s="1539"/>
      <c r="W94" s="1539"/>
      <c r="X94" s="1539"/>
      <c r="Y94" s="1539"/>
      <c r="Z94" s="1539"/>
      <c r="AA94" s="1539"/>
      <c r="AB94" s="1539"/>
      <c r="AC94" s="1539"/>
      <c r="AD94" s="1539"/>
      <c r="AE94" s="1539"/>
      <c r="AF94" s="1539"/>
      <c r="AG94" s="1539"/>
      <c r="AH94" s="1539"/>
      <c r="AI94" s="1539"/>
      <c r="AJ94" s="1539"/>
      <c r="AK94" s="1539"/>
      <c r="AL94" s="1539"/>
      <c r="AM94" s="1539"/>
      <c r="AN94" s="1539"/>
      <c r="AO94" s="1539"/>
      <c r="AP94" s="1539"/>
      <c r="AQ94" s="1539"/>
      <c r="AR94" s="1539"/>
      <c r="AS94" s="1539"/>
      <c r="AT94" s="1539"/>
      <c r="AU94" s="20"/>
      <c r="AV94" s="20"/>
      <c r="AW94" s="20"/>
      <c r="AX94" s="20"/>
      <c r="AY94" s="20"/>
      <c r="AZ94" s="20"/>
      <c r="BD94" s="1182" t="s">
        <v>2516</v>
      </c>
      <c r="BE94" s="1183">
        <f>Application!AC243</f>
        <v>90010</v>
      </c>
    </row>
    <row r="95" spans="1:57" ht="12.95" customHeight="1">
      <c r="A95" s="1539"/>
      <c r="B95" s="1539"/>
      <c r="C95" s="1539"/>
      <c r="D95" s="1539"/>
      <c r="E95" s="1539"/>
      <c r="F95" s="1539"/>
      <c r="G95" s="1539"/>
      <c r="H95" s="1539"/>
      <c r="I95" s="1539"/>
      <c r="J95" s="1539"/>
      <c r="K95" s="1539"/>
      <c r="L95" s="1539"/>
      <c r="M95" s="1539"/>
      <c r="N95" s="1539"/>
      <c r="O95" s="1539"/>
      <c r="P95" s="1539"/>
      <c r="Q95" s="1539"/>
      <c r="R95" s="1539"/>
      <c r="S95" s="1539"/>
      <c r="T95" s="1539"/>
      <c r="U95" s="1539"/>
      <c r="V95" s="1539"/>
      <c r="W95" s="1539"/>
      <c r="X95" s="1539"/>
      <c r="Y95" s="1539"/>
      <c r="Z95" s="1539"/>
      <c r="AA95" s="1539"/>
      <c r="AB95" s="1539"/>
      <c r="AC95" s="1539"/>
      <c r="AD95" s="1539"/>
      <c r="AE95" s="1539"/>
      <c r="AF95" s="1539"/>
      <c r="AG95" s="1539"/>
      <c r="AH95" s="1539"/>
      <c r="AI95" s="1539"/>
      <c r="AJ95" s="1539"/>
      <c r="AK95" s="1539"/>
      <c r="AL95" s="1539"/>
      <c r="AM95" s="1539"/>
      <c r="AN95" s="1539"/>
      <c r="AO95" s="1539"/>
      <c r="AP95" s="1539"/>
      <c r="AQ95" s="1539"/>
      <c r="AR95" s="1539"/>
      <c r="AS95" s="1539"/>
      <c r="AT95" s="1539"/>
      <c r="AU95" s="20"/>
      <c r="AV95" s="20"/>
      <c r="AW95" s="20"/>
      <c r="AX95" s="20"/>
      <c r="AY95" s="20"/>
      <c r="AZ95" s="20"/>
      <c r="BD95" s="1181" t="s">
        <v>2517</v>
      </c>
      <c r="BE95" s="1183" t="str">
        <f>Application!M244</f>
        <v>Miki Nam</v>
      </c>
    </row>
    <row r="96" spans="1:57" ht="12.95" customHeight="1">
      <c r="A96" s="1539"/>
      <c r="B96" s="1539"/>
      <c r="C96" s="1539"/>
      <c r="D96" s="1539"/>
      <c r="E96" s="1539"/>
      <c r="F96" s="1539"/>
      <c r="G96" s="1539"/>
      <c r="H96" s="1539"/>
      <c r="I96" s="1539"/>
      <c r="J96" s="1539"/>
      <c r="K96" s="1539"/>
      <c r="L96" s="1539"/>
      <c r="M96" s="1539"/>
      <c r="N96" s="1539"/>
      <c r="O96" s="1539"/>
      <c r="P96" s="1539"/>
      <c r="Q96" s="1539"/>
      <c r="R96" s="1539"/>
      <c r="S96" s="1539"/>
      <c r="T96" s="1539"/>
      <c r="U96" s="1539"/>
      <c r="V96" s="1539"/>
      <c r="W96" s="1539"/>
      <c r="X96" s="1539"/>
      <c r="Y96" s="1539"/>
      <c r="Z96" s="1539"/>
      <c r="AA96" s="1539"/>
      <c r="AB96" s="1539"/>
      <c r="AC96" s="1539"/>
      <c r="AD96" s="1539"/>
      <c r="AE96" s="1539"/>
      <c r="AF96" s="1539"/>
      <c r="AG96" s="1539"/>
      <c r="AH96" s="1539"/>
      <c r="AI96" s="1539"/>
      <c r="AJ96" s="1539"/>
      <c r="AK96" s="1539"/>
      <c r="AL96" s="1539"/>
      <c r="AM96" s="1539"/>
      <c r="AN96" s="1539"/>
      <c r="AO96" s="1539"/>
      <c r="AP96" s="1539"/>
      <c r="AQ96" s="1539"/>
      <c r="AR96" s="1539"/>
      <c r="AS96" s="1539"/>
      <c r="AT96" s="1539"/>
      <c r="AU96" s="20"/>
      <c r="AV96" s="20"/>
      <c r="AW96" s="20"/>
      <c r="AX96" s="20"/>
      <c r="AY96" s="20"/>
      <c r="AZ96" s="20"/>
      <c r="BD96" s="1182" t="s">
        <v>2518</v>
      </c>
      <c r="BE96" s="1183" t="str">
        <f>Application!M246</f>
        <v>garrettlee@jamisonservices.com</v>
      </c>
    </row>
    <row r="97" spans="1:57" ht="12.95" customHeight="1">
      <c r="A97" s="1539"/>
      <c r="B97" s="1539"/>
      <c r="C97" s="1539"/>
      <c r="D97" s="1539"/>
      <c r="E97" s="1539"/>
      <c r="F97" s="1539"/>
      <c r="G97" s="1539"/>
      <c r="H97" s="1539"/>
      <c r="I97" s="1539"/>
      <c r="J97" s="1539"/>
      <c r="K97" s="1539"/>
      <c r="L97" s="1539"/>
      <c r="M97" s="1539"/>
      <c r="N97" s="1539"/>
      <c r="O97" s="1539"/>
      <c r="P97" s="1539"/>
      <c r="Q97" s="1539"/>
      <c r="R97" s="1539"/>
      <c r="S97" s="1539"/>
      <c r="T97" s="1539"/>
      <c r="U97" s="1539"/>
      <c r="V97" s="1539"/>
      <c r="W97" s="1539"/>
      <c r="X97" s="1539"/>
      <c r="Y97" s="1539"/>
      <c r="Z97" s="1539"/>
      <c r="AA97" s="1539"/>
      <c r="AB97" s="1539"/>
      <c r="AC97" s="1539"/>
      <c r="AD97" s="1539"/>
      <c r="AE97" s="1539"/>
      <c r="AF97" s="1539"/>
      <c r="AG97" s="1539"/>
      <c r="AH97" s="1539"/>
      <c r="AI97" s="1539"/>
      <c r="AJ97" s="1539"/>
      <c r="AK97" s="1539"/>
      <c r="AL97" s="1539"/>
      <c r="AM97" s="1539"/>
      <c r="AN97" s="1539"/>
      <c r="AO97" s="1539"/>
      <c r="AP97" s="1539"/>
      <c r="AQ97" s="1539"/>
      <c r="AR97" s="1539"/>
      <c r="AS97" s="1539"/>
      <c r="AT97" s="1539"/>
      <c r="AU97" s="20"/>
      <c r="AV97" s="20"/>
      <c r="AW97" s="20"/>
      <c r="AX97" s="20"/>
      <c r="AY97" s="20"/>
      <c r="AZ97" s="20"/>
      <c r="BD97" s="1181" t="s">
        <v>2519</v>
      </c>
      <c r="BE97" s="1183" t="str">
        <f>Application!M257</f>
        <v>william@kingdomdevelopment.net</v>
      </c>
    </row>
    <row r="98" spans="1:57" ht="12.95" customHeight="1">
      <c r="A98" s="1539"/>
      <c r="B98" s="1539"/>
      <c r="C98" s="1539"/>
      <c r="D98" s="1539"/>
      <c r="E98" s="1539"/>
      <c r="F98" s="1539"/>
      <c r="G98" s="1539"/>
      <c r="H98" s="1539"/>
      <c r="I98" s="1539"/>
      <c r="J98" s="1539"/>
      <c r="K98" s="1539"/>
      <c r="L98" s="1539"/>
      <c r="M98" s="1539"/>
      <c r="N98" s="1539"/>
      <c r="O98" s="1539"/>
      <c r="P98" s="1539"/>
      <c r="Q98" s="1539"/>
      <c r="R98" s="1539"/>
      <c r="S98" s="1539"/>
      <c r="T98" s="1539"/>
      <c r="U98" s="1539"/>
      <c r="V98" s="1539"/>
      <c r="W98" s="1539"/>
      <c r="X98" s="1539"/>
      <c r="Y98" s="1539"/>
      <c r="Z98" s="1539"/>
      <c r="AA98" s="1539"/>
      <c r="AB98" s="1539"/>
      <c r="AC98" s="1539"/>
      <c r="AD98" s="1539"/>
      <c r="AE98" s="1539"/>
      <c r="AF98" s="1539"/>
      <c r="AG98" s="1539"/>
      <c r="AH98" s="1539"/>
      <c r="AI98" s="1539"/>
      <c r="AJ98" s="1539"/>
      <c r="AK98" s="1539"/>
      <c r="AL98" s="1539"/>
      <c r="AM98" s="1539"/>
      <c r="AN98" s="1539"/>
      <c r="AO98" s="1539"/>
      <c r="AP98" s="1539"/>
      <c r="AQ98" s="1539"/>
      <c r="AR98" s="1539"/>
      <c r="AS98" s="1539"/>
      <c r="AT98" s="1539"/>
      <c r="AU98" s="20"/>
      <c r="AV98" s="20"/>
      <c r="AW98" s="20"/>
      <c r="AX98" s="20"/>
      <c r="AY98" s="20"/>
      <c r="AZ98" s="20"/>
      <c r="BD98" s="1182" t="s">
        <v>2520</v>
      </c>
      <c r="BE98" s="1183" t="str">
        <f>Application!M265</f>
        <v>garrettlee@jamisonservices.com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2521</v>
      </c>
      <c r="BE99" s="1183">
        <f>Application!M273</f>
        <v>0</v>
      </c>
    </row>
    <row r="100" spans="1:57" ht="12.95" customHeight="1">
      <c r="A100" s="1552" t="s">
        <v>2121</v>
      </c>
      <c r="B100" s="1552"/>
      <c r="C100" s="1552"/>
      <c r="D100" s="1552"/>
      <c r="E100" s="1552"/>
      <c r="F100" s="1552"/>
      <c r="G100" s="1552"/>
      <c r="H100" s="1552"/>
      <c r="I100" s="1552"/>
      <c r="J100" s="1552"/>
      <c r="K100" s="1552"/>
      <c r="L100" s="1552"/>
      <c r="M100" s="1552"/>
      <c r="N100" s="1552"/>
      <c r="O100" s="1552"/>
      <c r="P100" s="1552"/>
      <c r="Q100" s="1552"/>
      <c r="R100" s="1552"/>
      <c r="S100" s="1552"/>
      <c r="T100" s="1552"/>
      <c r="U100" s="1552"/>
      <c r="V100" s="1552"/>
      <c r="W100" s="1552"/>
      <c r="X100" s="1552"/>
      <c r="Y100" s="1552"/>
      <c r="Z100" s="1552"/>
      <c r="AA100" s="1552"/>
      <c r="AB100" s="1552"/>
      <c r="AC100" s="1552"/>
      <c r="AD100" s="1552"/>
      <c r="AE100" s="1552"/>
      <c r="AF100" s="1552"/>
      <c r="AG100" s="1552"/>
      <c r="AH100" s="1552"/>
      <c r="AI100" s="1552"/>
      <c r="AJ100" s="1552"/>
      <c r="AK100" s="1552"/>
      <c r="AL100" s="1552"/>
      <c r="AM100" s="1552"/>
      <c r="AN100" s="1552"/>
      <c r="AO100" s="1552"/>
      <c r="AP100" s="1552"/>
      <c r="AQ100" s="1552"/>
      <c r="AR100" s="1552"/>
      <c r="AS100" s="1552"/>
      <c r="AT100" s="1552"/>
      <c r="AU100" s="20"/>
      <c r="AV100" s="20"/>
      <c r="AW100" s="20"/>
      <c r="AX100" s="20"/>
      <c r="AY100" s="20"/>
      <c r="AZ100" s="20"/>
      <c r="BD100" s="1182" t="s">
        <v>2522</v>
      </c>
      <c r="BE100" s="1183" t="str">
        <f>Application!L288</f>
        <v>william@kingdomdevelopment.net</v>
      </c>
    </row>
    <row r="101" spans="1:57" ht="12.95" customHeight="1">
      <c r="A101" s="1552"/>
      <c r="B101" s="1552"/>
      <c r="C101" s="1552"/>
      <c r="D101" s="1552"/>
      <c r="E101" s="1552"/>
      <c r="F101" s="1552"/>
      <c r="G101" s="1552"/>
      <c r="H101" s="1552"/>
      <c r="I101" s="1552"/>
      <c r="J101" s="1552"/>
      <c r="K101" s="1552"/>
      <c r="L101" s="1552"/>
      <c r="M101" s="1552"/>
      <c r="N101" s="1552"/>
      <c r="O101" s="1552"/>
      <c r="P101" s="1552"/>
      <c r="Q101" s="1552"/>
      <c r="R101" s="1552"/>
      <c r="S101" s="1552"/>
      <c r="T101" s="1552"/>
      <c r="U101" s="1552"/>
      <c r="V101" s="1552"/>
      <c r="W101" s="1552"/>
      <c r="X101" s="1552"/>
      <c r="Y101" s="1552"/>
      <c r="Z101" s="1552"/>
      <c r="AA101" s="1552"/>
      <c r="AB101" s="1552"/>
      <c r="AC101" s="1552"/>
      <c r="AD101" s="1552"/>
      <c r="AE101" s="1552"/>
      <c r="AF101" s="1552"/>
      <c r="AG101" s="1552"/>
      <c r="AH101" s="1552"/>
      <c r="AI101" s="1552"/>
      <c r="AJ101" s="1552"/>
      <c r="AK101" s="1552"/>
      <c r="AL101" s="1552"/>
      <c r="AM101" s="1552"/>
      <c r="AN101" s="1552"/>
      <c r="AO101" s="1552"/>
      <c r="AP101" s="1552"/>
      <c r="AQ101" s="1552"/>
      <c r="AR101" s="1552"/>
      <c r="AS101" s="1552"/>
      <c r="AT101" s="1552"/>
      <c r="AU101" s="20"/>
      <c r="AV101" s="20"/>
      <c r="AW101" s="20"/>
      <c r="AX101" s="20"/>
      <c r="AY101" s="20"/>
      <c r="AZ101" s="20"/>
      <c r="BD101" s="3" t="s">
        <v>2527</v>
      </c>
      <c r="BE101">
        <f>'Sources and Uses Budget'!C105</f>
        <v>71303707</v>
      </c>
    </row>
    <row r="102" spans="1:57" ht="12.95" customHeight="1">
      <c r="A102" s="1552"/>
      <c r="B102" s="1552"/>
      <c r="C102" s="1552"/>
      <c r="D102" s="1552"/>
      <c r="E102" s="1552"/>
      <c r="F102" s="1552"/>
      <c r="G102" s="1552"/>
      <c r="H102" s="1552"/>
      <c r="I102" s="1552"/>
      <c r="J102" s="1552"/>
      <c r="K102" s="1552"/>
      <c r="L102" s="1552"/>
      <c r="M102" s="1552"/>
      <c r="N102" s="1552"/>
      <c r="O102" s="1552"/>
      <c r="P102" s="1552"/>
      <c r="Q102" s="1552"/>
      <c r="R102" s="1552"/>
      <c r="S102" s="1552"/>
      <c r="T102" s="1552"/>
      <c r="U102" s="1552"/>
      <c r="V102" s="1552"/>
      <c r="W102" s="1552"/>
      <c r="X102" s="1552"/>
      <c r="Y102" s="1552"/>
      <c r="Z102" s="1552"/>
      <c r="AA102" s="1552"/>
      <c r="AB102" s="1552"/>
      <c r="AC102" s="1552"/>
      <c r="AD102" s="1552"/>
      <c r="AE102" s="1552"/>
      <c r="AF102" s="1552"/>
      <c r="AG102" s="1552"/>
      <c r="AH102" s="1552"/>
      <c r="AI102" s="1552"/>
      <c r="AJ102" s="1552"/>
      <c r="AK102" s="1552"/>
      <c r="AL102" s="1552"/>
      <c r="AM102" s="1552"/>
      <c r="AN102" s="1552"/>
      <c r="AO102" s="1552"/>
      <c r="AP102" s="1552"/>
      <c r="AQ102" s="1552"/>
      <c r="AR102" s="1552"/>
      <c r="AS102" s="1552"/>
      <c r="AT102" s="1552"/>
      <c r="AU102" s="20"/>
      <c r="AV102" s="20"/>
      <c r="AW102" s="20"/>
      <c r="AX102" s="20"/>
      <c r="AY102" s="20"/>
      <c r="AZ102" s="20"/>
      <c r="BD102" s="3" t="s">
        <v>2528</v>
      </c>
      <c r="BE102" t="b">
        <f>T197="Yes"</f>
        <v>0</v>
      </c>
    </row>
    <row r="103" spans="1:57" ht="12.95" customHeight="1">
      <c r="A103" s="1552"/>
      <c r="B103" s="1552"/>
      <c r="C103" s="1552"/>
      <c r="D103" s="1552"/>
      <c r="E103" s="1552"/>
      <c r="F103" s="1552"/>
      <c r="G103" s="1552"/>
      <c r="H103" s="1552"/>
      <c r="I103" s="1552"/>
      <c r="J103" s="1552"/>
      <c r="K103" s="1552"/>
      <c r="L103" s="1552"/>
      <c r="M103" s="1552"/>
      <c r="N103" s="1552"/>
      <c r="O103" s="1552"/>
      <c r="P103" s="1552"/>
      <c r="Q103" s="1552"/>
      <c r="R103" s="1552"/>
      <c r="S103" s="1552"/>
      <c r="T103" s="1552"/>
      <c r="U103" s="1552"/>
      <c r="V103" s="1552"/>
      <c r="W103" s="1552"/>
      <c r="X103" s="1552"/>
      <c r="Y103" s="1552"/>
      <c r="Z103" s="1552"/>
      <c r="AA103" s="1552"/>
      <c r="AB103" s="1552"/>
      <c r="AC103" s="1552"/>
      <c r="AD103" s="1552"/>
      <c r="AE103" s="1552"/>
      <c r="AF103" s="1552"/>
      <c r="AG103" s="1552"/>
      <c r="AH103" s="1552"/>
      <c r="AI103" s="1552"/>
      <c r="AJ103" s="1552"/>
      <c r="AK103" s="1552"/>
      <c r="AL103" s="1552"/>
      <c r="AM103" s="1552"/>
      <c r="AN103" s="1552"/>
      <c r="AO103" s="1552"/>
      <c r="AP103" s="1552"/>
      <c r="AQ103" s="1552"/>
      <c r="AR103" s="1552"/>
      <c r="AS103" s="1552"/>
      <c r="AT103" s="1552"/>
      <c r="AU103" s="20"/>
      <c r="AV103" s="20"/>
      <c r="AW103" s="20"/>
      <c r="AX103" s="20"/>
      <c r="AY103" s="20"/>
      <c r="BD103" t="s">
        <v>2131</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2539</v>
      </c>
      <c r="BE104" s="1183" t="b">
        <f>T200="Yes"</f>
        <v>0</v>
      </c>
    </row>
    <row r="105" spans="1:57" ht="12.95" customHeight="1">
      <c r="A105" s="1552" t="s">
        <v>2122</v>
      </c>
      <c r="B105" s="1552"/>
      <c r="C105" s="1552"/>
      <c r="D105" s="1552"/>
      <c r="E105" s="1552"/>
      <c r="F105" s="1552"/>
      <c r="G105" s="1552"/>
      <c r="H105" s="1552"/>
      <c r="I105" s="1552"/>
      <c r="J105" s="1552"/>
      <c r="K105" s="1552"/>
      <c r="L105" s="1552"/>
      <c r="M105" s="1552"/>
      <c r="N105" s="1552"/>
      <c r="O105" s="1552"/>
      <c r="P105" s="1552"/>
      <c r="Q105" s="1552"/>
      <c r="R105" s="1552"/>
      <c r="S105" s="1552"/>
      <c r="T105" s="1552"/>
      <c r="U105" s="1552"/>
      <c r="V105" s="1552"/>
      <c r="W105" s="1552"/>
      <c r="X105" s="1552"/>
      <c r="Y105" s="1552"/>
      <c r="Z105" s="1552"/>
      <c r="AA105" s="1552"/>
      <c r="AB105" s="1552"/>
      <c r="AC105" s="1552"/>
      <c r="AD105" s="1552"/>
      <c r="AE105" s="1552"/>
      <c r="AF105" s="1552"/>
      <c r="AG105" s="1552"/>
      <c r="AH105" s="1552"/>
      <c r="AI105" s="1552"/>
      <c r="AJ105" s="1552"/>
      <c r="AK105" s="1552"/>
      <c r="AL105" s="1552"/>
      <c r="AM105" s="1552"/>
      <c r="AN105" s="1552"/>
      <c r="AO105" s="1552"/>
      <c r="AP105" s="1552"/>
      <c r="AQ105" s="1552"/>
      <c r="AR105" s="1552"/>
      <c r="AS105" s="1552"/>
      <c r="AT105" s="1552"/>
      <c r="AU105" s="20"/>
      <c r="AV105" s="20"/>
      <c r="AW105" s="20"/>
      <c r="AX105" s="20"/>
      <c r="AY105" s="20"/>
      <c r="BD105" s="3" t="s">
        <v>2544</v>
      </c>
      <c r="BE105" s="1183" t="b">
        <f>V224="Yes"</f>
        <v>0</v>
      </c>
    </row>
    <row r="106" spans="1:57" ht="12.95" customHeight="1">
      <c r="A106" s="1552"/>
      <c r="B106" s="1552"/>
      <c r="C106" s="1552"/>
      <c r="D106" s="1552"/>
      <c r="E106" s="1552"/>
      <c r="F106" s="1552"/>
      <c r="G106" s="1552"/>
      <c r="H106" s="1552"/>
      <c r="I106" s="1552"/>
      <c r="J106" s="1552"/>
      <c r="K106" s="1552"/>
      <c r="L106" s="1552"/>
      <c r="M106" s="1552"/>
      <c r="N106" s="1552"/>
      <c r="O106" s="1552"/>
      <c r="P106" s="1552"/>
      <c r="Q106" s="1552"/>
      <c r="R106" s="1552"/>
      <c r="S106" s="1552"/>
      <c r="T106" s="1552"/>
      <c r="U106" s="1552"/>
      <c r="V106" s="1552"/>
      <c r="W106" s="1552"/>
      <c r="X106" s="1552"/>
      <c r="Y106" s="1552"/>
      <c r="Z106" s="1552"/>
      <c r="AA106" s="1552"/>
      <c r="AB106" s="1552"/>
      <c r="AC106" s="1552"/>
      <c r="AD106" s="1552"/>
      <c r="AE106" s="1552"/>
      <c r="AF106" s="1552"/>
      <c r="AG106" s="1552"/>
      <c r="AH106" s="1552"/>
      <c r="AI106" s="1552"/>
      <c r="AJ106" s="1552"/>
      <c r="AK106" s="1552"/>
      <c r="AL106" s="1552"/>
      <c r="AM106" s="1552"/>
      <c r="AN106" s="1552"/>
      <c r="AO106" s="1552"/>
      <c r="AP106" s="1552"/>
      <c r="AQ106" s="1552"/>
      <c r="AR106" s="1552"/>
      <c r="AS106" s="1552"/>
      <c r="AT106" s="1552"/>
      <c r="AU106" s="20"/>
      <c r="AV106" s="20"/>
      <c r="AW106" s="20"/>
      <c r="AX106" s="20"/>
      <c r="AY106" s="20"/>
      <c r="BD106" s="3" t="s">
        <v>2545</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2546</v>
      </c>
      <c r="BE107" s="1183" t="b">
        <f t="shared" si="0"/>
        <v>0</v>
      </c>
    </row>
    <row r="108" spans="1:57" ht="12.95" customHeight="1">
      <c r="A108" s="517" t="s">
        <v>2123</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2547</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2548</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2549</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43">
        <v>16</v>
      </c>
      <c r="H113" s="1543"/>
      <c r="I113" s="3" t="s">
        <v>182</v>
      </c>
      <c r="L113" s="1543" t="s">
        <v>2646</v>
      </c>
      <c r="M113" s="1543"/>
      <c r="N113" s="1543"/>
      <c r="O113" s="1543"/>
      <c r="P113" s="1560" t="s">
        <v>2612</v>
      </c>
      <c r="Q113" s="1560"/>
      <c r="R113" s="1560"/>
      <c r="S113" s="1560"/>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44" t="s">
        <v>494</v>
      </c>
      <c r="D115" s="1544"/>
      <c r="E115" s="1544"/>
      <c r="F115" s="1544"/>
      <c r="G115" s="1544"/>
      <c r="H115" s="1544"/>
      <c r="I115" s="1544"/>
      <c r="J115" s="1544"/>
      <c r="K115" s="1544"/>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543"/>
      <c r="Z117" s="1543"/>
      <c r="AA117" s="1543"/>
      <c r="AB117" s="1543"/>
      <c r="AC117" s="1543"/>
      <c r="AD117" s="1543"/>
      <c r="AE117" s="1543"/>
      <c r="AF117" s="1543"/>
      <c r="AG117" s="1543"/>
      <c r="AH117" s="1543"/>
      <c r="AI117" s="1543"/>
      <c r="AJ117" s="1543"/>
      <c r="AK117" s="1543"/>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43" t="s">
        <v>2647</v>
      </c>
      <c r="Z120" s="1543"/>
      <c r="AA120" s="1543"/>
      <c r="AB120" s="1543"/>
      <c r="AC120" s="1543"/>
      <c r="AD120" s="1543"/>
      <c r="AE120" s="1543"/>
      <c r="AF120" s="1543"/>
      <c r="AG120" s="1543"/>
      <c r="AH120" s="1543"/>
      <c r="AI120" s="1543"/>
      <c r="AJ120" s="1543"/>
      <c r="AK120" s="1543"/>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81" t="s">
        <v>469</v>
      </c>
      <c r="CV122" s="1682"/>
      <c r="CW122" s="14"/>
      <c r="CX122" s="14" t="s">
        <v>634</v>
      </c>
      <c r="CY122" s="14"/>
      <c r="CZ122" s="14"/>
      <c r="DA122" s="14"/>
      <c r="DB122" s="14"/>
      <c r="DC122" s="14"/>
      <c r="DD122" s="14"/>
      <c r="DE122" s="14"/>
      <c r="DF122" s="14"/>
      <c r="DG122" s="1678" t="str">
        <f>T189</f>
        <v>Orange</v>
      </c>
      <c r="DH122" s="1679"/>
      <c r="DI122" s="1679"/>
      <c r="DJ122" s="1679"/>
      <c r="DK122" s="1679"/>
      <c r="DL122" s="1679"/>
      <c r="DM122" s="1680"/>
    </row>
    <row r="123" spans="1:117" ht="12.95" customHeight="1">
      <c r="A123" s="3"/>
      <c r="B123" s="3"/>
      <c r="T123" s="3"/>
      <c r="U123" s="3"/>
      <c r="V123" s="3"/>
      <c r="W123" s="3"/>
      <c r="X123" s="3"/>
      <c r="Y123" s="1543" t="s">
        <v>2648</v>
      </c>
      <c r="Z123" s="1543"/>
      <c r="AA123" s="1543"/>
      <c r="AB123" s="1543"/>
      <c r="AC123" s="1543"/>
      <c r="AD123" s="1543"/>
      <c r="AE123" s="1543"/>
      <c r="AF123" s="1543"/>
      <c r="AG123" s="1543"/>
      <c r="AH123" s="1543"/>
      <c r="AI123" s="1543"/>
      <c r="AJ123" s="1543"/>
      <c r="AK123" s="1543"/>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448"/>
      <c r="G150" s="1448"/>
      <c r="H150" s="1448"/>
      <c r="I150" s="1448"/>
      <c r="J150" s="1448"/>
      <c r="K150" s="1448"/>
      <c r="L150" s="1448"/>
      <c r="M150" s="1448"/>
      <c r="N150" s="1448"/>
      <c r="O150" s="1448"/>
      <c r="P150" s="1448"/>
      <c r="Q150" s="1448"/>
      <c r="R150" s="1448"/>
      <c r="S150" s="1448"/>
      <c r="T150" s="144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2398</v>
      </c>
    </row>
    <row r="152" spans="1:108" ht="12.95" customHeight="1">
      <c r="BM152">
        <v>4</v>
      </c>
      <c r="BN152" s="3" t="s">
        <v>2397</v>
      </c>
    </row>
    <row r="153" spans="1:108" ht="12.95" customHeight="1">
      <c r="D153" t="s">
        <v>645</v>
      </c>
      <c r="O153" s="1518" t="s">
        <v>2649</v>
      </c>
      <c r="P153" s="1518"/>
      <c r="Q153" s="1518"/>
      <c r="R153" s="1518"/>
      <c r="S153" s="1518"/>
      <c r="T153" s="1518"/>
      <c r="U153" s="1518"/>
      <c r="V153" s="1518"/>
      <c r="W153" s="1518"/>
      <c r="X153" s="1518"/>
      <c r="Y153" s="1518"/>
      <c r="Z153" s="1518"/>
      <c r="AA153" s="1518"/>
      <c r="AB153" s="1518"/>
      <c r="AC153" s="1518"/>
      <c r="AD153" s="1518"/>
      <c r="AE153" s="1518"/>
      <c r="AF153" s="1518"/>
      <c r="AG153" s="1518"/>
      <c r="AH153" s="1518"/>
      <c r="BM153">
        <v>5</v>
      </c>
      <c r="BN153" s="3" t="s">
        <v>2399</v>
      </c>
      <c r="CR153" s="31" t="s">
        <v>2641</v>
      </c>
      <c r="CS153" s="32"/>
      <c r="CT153" s="32"/>
      <c r="CU153" s="32"/>
      <c r="CV153" s="32"/>
      <c r="CW153" s="32"/>
      <c r="CX153" s="14"/>
      <c r="CY153" s="31" t="s">
        <v>2642</v>
      </c>
      <c r="CZ153" s="14"/>
      <c r="DA153" s="14"/>
      <c r="DB153" s="14"/>
      <c r="DC153" s="14"/>
      <c r="DD153" s="14"/>
    </row>
    <row r="154" spans="1:108" ht="12.95" customHeight="1">
      <c r="D154" s="303" t="s">
        <v>439</v>
      </c>
      <c r="O154" s="1369" t="s">
        <v>2650</v>
      </c>
      <c r="P154" s="1369"/>
      <c r="Q154" s="1369"/>
      <c r="R154" s="1369"/>
      <c r="S154" s="1369"/>
      <c r="T154" s="1369"/>
      <c r="U154" s="1369"/>
      <c r="V154" s="1369"/>
      <c r="W154" s="1369"/>
      <c r="X154" s="1369"/>
      <c r="Y154" s="1369"/>
      <c r="Z154" s="1369"/>
      <c r="AA154" s="1369"/>
      <c r="AB154" s="1369"/>
      <c r="AC154" s="1369"/>
      <c r="AD154" s="1369"/>
      <c r="AE154" s="1369"/>
      <c r="AF154" s="1369"/>
      <c r="AG154" s="1369"/>
      <c r="AH154" s="1369"/>
      <c r="BM154">
        <v>6</v>
      </c>
      <c r="BN154" s="3" t="s">
        <v>2400</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530" t="s">
        <v>440</v>
      </c>
      <c r="P155" s="1530"/>
      <c r="Q155" s="1530"/>
      <c r="R155" s="1530"/>
      <c r="S155" s="1530"/>
      <c r="T155" s="1530"/>
      <c r="U155" s="1530"/>
      <c r="V155" s="1530"/>
      <c r="W155" s="1530"/>
      <c r="X155" s="1530"/>
      <c r="Y155" s="1530"/>
      <c r="Z155" s="1530"/>
      <c r="AA155" s="1530"/>
      <c r="AB155" s="1530"/>
      <c r="AC155" s="1530"/>
      <c r="AD155" s="1530"/>
      <c r="AE155" s="1530"/>
      <c r="AF155" s="1530"/>
      <c r="AG155" s="1530"/>
      <c r="AH155" s="1530"/>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426" t="s">
        <v>2651</v>
      </c>
      <c r="P156" s="1426"/>
      <c r="Q156" s="1426"/>
      <c r="R156" s="1426"/>
      <c r="S156" s="1426"/>
      <c r="T156" s="1426"/>
      <c r="U156" s="1426"/>
      <c r="V156" s="1426"/>
      <c r="W156" s="1426"/>
      <c r="X156" s="1426"/>
      <c r="Y156" s="1426"/>
      <c r="Z156" s="1426"/>
      <c r="AA156" s="1426"/>
      <c r="AB156" s="1426"/>
      <c r="AC156" s="1426"/>
      <c r="AD156" s="1426"/>
      <c r="AE156" s="1426"/>
      <c r="AF156" s="1426"/>
      <c r="AG156" s="1426"/>
      <c r="AH156" s="1426"/>
      <c r="BT156" t="s">
        <v>307</v>
      </c>
      <c r="CB156" s="195" t="s">
        <v>2537</v>
      </c>
      <c r="CC156" s="196"/>
      <c r="CD156" s="196"/>
      <c r="CE156" s="196"/>
      <c r="CF156" s="196"/>
      <c r="CG156" s="196"/>
      <c r="CH156" s="196"/>
      <c r="CI156" s="3"/>
      <c r="CJ156" s="195" t="s">
        <v>2535</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18" t="s">
        <v>2652</v>
      </c>
      <c r="P157" s="1518"/>
      <c r="Q157" s="1518"/>
      <c r="R157" s="1518"/>
      <c r="S157" s="1518"/>
      <c r="T157" s="1518"/>
      <c r="U157" s="1518"/>
      <c r="V157" s="1518"/>
      <c r="W157" s="1518"/>
      <c r="X157" s="1518"/>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1906</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55">
        <v>92701</v>
      </c>
      <c r="P158" s="1555"/>
      <c r="Q158" s="1555"/>
      <c r="R158" s="1555"/>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50">
        <v>7146475200</v>
      </c>
      <c r="P159" s="1550"/>
      <c r="Q159" s="1550"/>
      <c r="R159" s="1550"/>
      <c r="S159" s="1550"/>
      <c r="T159" s="1550"/>
      <c r="V159" s="97" t="s">
        <v>271</v>
      </c>
      <c r="W159" s="1556"/>
      <c r="X159" s="1556"/>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549" t="s">
        <v>591</v>
      </c>
      <c r="P160" s="1550"/>
      <c r="Q160" s="1550"/>
      <c r="R160" s="1550"/>
      <c r="S160" s="1550"/>
      <c r="T160" s="1550"/>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2.95" customHeight="1">
      <c r="D161" t="s">
        <v>318</v>
      </c>
      <c r="O161" s="1528" t="s">
        <v>2653</v>
      </c>
      <c r="P161" s="1528"/>
      <c r="Q161" s="1528"/>
      <c r="R161" s="1528"/>
      <c r="S161" s="1528"/>
      <c r="T161" s="1528"/>
      <c r="U161" s="1528"/>
      <c r="V161" s="1528"/>
      <c r="W161" s="1528"/>
      <c r="X161" s="1528"/>
      <c r="Y161" s="1528"/>
      <c r="Z161" s="1528"/>
      <c r="AA161" s="1528"/>
      <c r="AB161" s="1528"/>
      <c r="AC161" s="1528"/>
      <c r="AD161" s="1528"/>
      <c r="AE161" s="1528"/>
      <c r="AF161" s="1528"/>
      <c r="AG161" s="1528"/>
      <c r="AH161" s="1528"/>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2.95" customHeight="1">
      <c r="C164" s="27"/>
      <c r="D164" s="1545" t="s">
        <v>2172</v>
      </c>
      <c r="E164" s="1545"/>
      <c r="F164" s="1545"/>
      <c r="G164" s="1545"/>
      <c r="H164" s="1545"/>
      <c r="I164" s="1545"/>
      <c r="J164" s="1545"/>
      <c r="K164" s="1545"/>
      <c r="L164" s="1545"/>
      <c r="M164" s="1545"/>
      <c r="N164" s="1545"/>
      <c r="O164" s="1545"/>
      <c r="P164" s="1545"/>
      <c r="Q164" s="1545"/>
      <c r="R164" s="1545"/>
      <c r="S164" s="1545"/>
      <c r="T164" s="1545"/>
      <c r="U164" s="1545"/>
      <c r="V164" s="1545"/>
      <c r="W164" s="1545"/>
      <c r="X164" s="1545"/>
      <c r="Y164" s="1545"/>
      <c r="Z164" s="1545"/>
      <c r="AA164" s="1545"/>
      <c r="AB164" s="1545"/>
      <c r="AC164" s="1545"/>
      <c r="AD164" s="1545"/>
      <c r="AE164" s="1545"/>
      <c r="AF164" s="1545"/>
      <c r="AG164" s="1545"/>
      <c r="AH164" s="1545"/>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2.95" customHeight="1">
      <c r="A169" s="1532" t="s">
        <v>539</v>
      </c>
      <c r="B169" s="1532"/>
      <c r="C169" s="1532"/>
      <c r="D169" s="1532"/>
      <c r="E169" s="1532"/>
      <c r="F169" s="1532"/>
      <c r="G169" s="1532"/>
      <c r="H169" s="1532"/>
      <c r="I169" s="1532"/>
      <c r="J169" s="1532"/>
      <c r="K169" s="1532"/>
      <c r="L169" s="1532"/>
      <c r="M169" s="1532"/>
      <c r="N169" s="1532"/>
      <c r="O169" s="1532"/>
      <c r="P169" s="1532"/>
      <c r="Q169" s="1532"/>
      <c r="R169" s="1532"/>
      <c r="S169" s="1532"/>
      <c r="T169" s="1532"/>
      <c r="U169" s="1532"/>
      <c r="V169" s="1532"/>
      <c r="W169" s="1532"/>
      <c r="X169" s="1532"/>
      <c r="Y169" s="1532"/>
      <c r="Z169" s="1532"/>
      <c r="AA169" s="1532"/>
      <c r="AB169" s="1532"/>
      <c r="AC169" s="1532"/>
      <c r="AD169" s="1532"/>
      <c r="AE169" s="1532"/>
      <c r="AF169" s="1532"/>
      <c r="AG169" s="1532"/>
      <c r="AH169" s="1532"/>
      <c r="AI169" s="1532"/>
      <c r="AJ169" s="1532"/>
      <c r="AK169" s="1532"/>
      <c r="AL169" s="1532"/>
      <c r="AM169" s="1532"/>
      <c r="AN169" s="1532"/>
      <c r="AO169" s="1532"/>
      <c r="AP169" s="1532"/>
      <c r="AQ169" s="1532"/>
      <c r="AR169" s="1532"/>
      <c r="AS169" s="1532"/>
      <c r="AT169" s="1532"/>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2.95" customHeight="1">
      <c r="A170" s="1532"/>
      <c r="B170" s="1532"/>
      <c r="C170" s="1532"/>
      <c r="D170" s="1532"/>
      <c r="E170" s="1532"/>
      <c r="F170" s="1532"/>
      <c r="G170" s="1532"/>
      <c r="H170" s="1532"/>
      <c r="I170" s="1532"/>
      <c r="J170" s="1532"/>
      <c r="K170" s="1532"/>
      <c r="L170" s="1532"/>
      <c r="M170" s="1532"/>
      <c r="N170" s="1532"/>
      <c r="O170" s="1532"/>
      <c r="P170" s="1532"/>
      <c r="Q170" s="1532"/>
      <c r="R170" s="1532"/>
      <c r="S170" s="1532"/>
      <c r="T170" s="1532"/>
      <c r="U170" s="1532"/>
      <c r="V170" s="1532"/>
      <c r="W170" s="1532"/>
      <c r="X170" s="1532"/>
      <c r="Y170" s="1532"/>
      <c r="Z170" s="1532"/>
      <c r="AA170" s="1532"/>
      <c r="AB170" s="1532"/>
      <c r="AC170" s="1532"/>
      <c r="AD170" s="1532"/>
      <c r="AE170" s="1532"/>
      <c r="AF170" s="1532"/>
      <c r="AG170" s="1532"/>
      <c r="AH170" s="1532"/>
      <c r="AI170" s="1532"/>
      <c r="AJ170" s="1532"/>
      <c r="AK170" s="1532"/>
      <c r="AL170" s="1532"/>
      <c r="AM170" s="1532"/>
      <c r="AN170" s="1532"/>
      <c r="AO170" s="1532"/>
      <c r="AP170" s="1532"/>
      <c r="AQ170" s="1532"/>
      <c r="AR170" s="1532"/>
      <c r="AS170" s="1532"/>
      <c r="AT170" s="1532"/>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2.95" customHeight="1">
      <c r="C173" s="24"/>
      <c r="D173" t="s">
        <v>321</v>
      </c>
      <c r="J173" s="1529" t="s">
        <v>371</v>
      </c>
      <c r="K173" s="1529"/>
      <c r="L173" s="1529"/>
      <c r="M173" s="1529"/>
      <c r="N173" s="1529"/>
      <c r="O173" s="1529"/>
      <c r="P173" s="1529"/>
      <c r="Q173" s="1529"/>
      <c r="R173" s="1529"/>
      <c r="S173" s="1529"/>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2.95" customHeight="1">
      <c r="C174" s="24"/>
      <c r="D174" s="3" t="s">
        <v>1202</v>
      </c>
      <c r="J174" s="1426" t="s">
        <v>2058</v>
      </c>
      <c r="K174" s="1426"/>
      <c r="L174" s="1426"/>
      <c r="M174" s="1426"/>
      <c r="N174" s="1426"/>
      <c r="O174" s="1426"/>
      <c r="P174" s="1426"/>
      <c r="Q174" s="1426"/>
      <c r="R174" s="1426"/>
      <c r="S174" s="1426"/>
      <c r="T174" s="1426"/>
      <c r="U174" s="1426"/>
      <c r="V174" s="1426"/>
      <c r="W174" s="1426"/>
      <c r="X174" s="1426"/>
      <c r="Y174" s="1426"/>
      <c r="Z174" s="1426"/>
      <c r="AA174" s="1426"/>
      <c r="AB174" s="1426"/>
      <c r="BB174" t="s">
        <v>1943</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380" t="s">
        <v>669</v>
      </c>
      <c r="V175" s="1380"/>
      <c r="BB175" t="s">
        <v>1911</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2037</v>
      </c>
      <c r="T176" s="27" t="s">
        <v>305</v>
      </c>
      <c r="U176" s="1548"/>
      <c r="V176" s="1548"/>
      <c r="W176" s="1" t="s">
        <v>306</v>
      </c>
      <c r="X176" s="1562"/>
      <c r="Y176" s="1562"/>
      <c r="BB176" t="s">
        <v>1944</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380" t="s">
        <v>669</v>
      </c>
      <c r="S177" s="1380"/>
      <c r="BB177" t="s">
        <v>2169</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1203</v>
      </c>
      <c r="AA178" t="s">
        <v>2037</v>
      </c>
      <c r="AE178" s="27" t="s">
        <v>305</v>
      </c>
      <c r="AF178" s="1561"/>
      <c r="AG178" s="1561"/>
      <c r="AH178" s="1" t="s">
        <v>306</v>
      </c>
      <c r="AI178" s="1450"/>
      <c r="AJ178" s="1450"/>
      <c r="AK178" s="1450"/>
      <c r="BB178" t="s">
        <v>2170</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2637</v>
      </c>
      <c r="X180" s="1380" t="s">
        <v>669</v>
      </c>
      <c r="Y180" s="1380"/>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578</v>
      </c>
      <c r="I184" s="1370" t="str">
        <f>H18</f>
        <v>1200 Main</v>
      </c>
      <c r="J184" s="1370"/>
      <c r="K184" s="1370"/>
      <c r="L184" s="1370"/>
      <c r="M184" s="1370"/>
      <c r="N184" s="1370"/>
      <c r="O184" s="1370"/>
      <c r="P184" s="1370"/>
      <c r="Q184" s="1370"/>
      <c r="R184" s="1370"/>
      <c r="S184" s="1370"/>
      <c r="T184" s="1370"/>
      <c r="U184" s="1370"/>
      <c r="V184" s="1370"/>
      <c r="W184" s="1370"/>
      <c r="X184" s="1370"/>
      <c r="Y184" s="1370"/>
      <c r="Z184" s="1370"/>
      <c r="AA184" s="1370"/>
      <c r="AB184" s="1370"/>
      <c r="AC184" s="1370"/>
      <c r="AD184" s="1370"/>
      <c r="AE184" s="1370"/>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579</v>
      </c>
      <c r="I185" s="1524" t="s">
        <v>2760</v>
      </c>
      <c r="J185" s="1368"/>
      <c r="K185" s="1368"/>
      <c r="L185" s="1368"/>
      <c r="M185" s="1368"/>
      <c r="N185" s="1368"/>
      <c r="O185" s="1368"/>
      <c r="P185" s="1368"/>
      <c r="Q185" s="1368"/>
      <c r="R185" s="1368"/>
      <c r="S185" s="1368"/>
      <c r="T185" s="1368"/>
      <c r="U185" s="1368"/>
      <c r="V185" s="1368"/>
      <c r="W185" s="1368"/>
      <c r="X185" s="1368"/>
      <c r="Y185" s="1368"/>
      <c r="Z185" s="1368"/>
      <c r="AA185" s="1368"/>
      <c r="AB185" s="1368"/>
      <c r="AC185" s="1368"/>
      <c r="AD185" s="1368"/>
      <c r="AE185" s="1368"/>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522"/>
      <c r="F187" s="1522"/>
      <c r="G187" s="1522"/>
      <c r="H187" s="1522"/>
      <c r="I187" s="1522"/>
      <c r="J187" s="1522"/>
      <c r="K187" s="1522"/>
      <c r="L187" s="1522"/>
      <c r="M187" s="1522"/>
      <c r="N187" s="1522"/>
      <c r="O187" s="1522"/>
      <c r="P187" s="1522"/>
      <c r="Q187" s="1522"/>
      <c r="R187" s="1522"/>
      <c r="S187" s="1522"/>
      <c r="T187" s="1522"/>
      <c r="U187" s="1522"/>
      <c r="V187" s="1522"/>
      <c r="W187" s="1522"/>
      <c r="X187" s="1522"/>
      <c r="Y187" s="1522"/>
      <c r="Z187" s="1522"/>
      <c r="AA187" s="1522"/>
      <c r="AB187" s="1522"/>
      <c r="AC187" s="1522"/>
      <c r="AD187" s="1522"/>
      <c r="AE187" s="1522"/>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523"/>
      <c r="F188" s="1523"/>
      <c r="G188" s="1523"/>
      <c r="H188" s="1523"/>
      <c r="I188" s="1523"/>
      <c r="J188" s="1523"/>
      <c r="K188" s="1523"/>
      <c r="L188" s="1523"/>
      <c r="M188" s="1523"/>
      <c r="N188" s="1523"/>
      <c r="O188" s="1523"/>
      <c r="P188" s="1523"/>
      <c r="Q188" s="1523"/>
      <c r="R188" s="1523"/>
      <c r="S188" s="1523"/>
      <c r="T188" s="1523"/>
      <c r="U188" s="1523"/>
      <c r="V188" s="1523"/>
      <c r="W188" s="1523"/>
      <c r="X188" s="1523"/>
      <c r="Y188" s="1523"/>
      <c r="Z188" s="1523"/>
      <c r="AA188" s="1523"/>
      <c r="AB188" s="1523"/>
      <c r="AC188" s="1523"/>
      <c r="AD188" s="1523"/>
      <c r="AE188" s="1523"/>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580</v>
      </c>
      <c r="I189" s="1425" t="s">
        <v>2652</v>
      </c>
      <c r="J189" s="1426"/>
      <c r="K189" s="1426"/>
      <c r="L189" s="1426"/>
      <c r="M189" s="1426"/>
      <c r="N189" s="1426"/>
      <c r="O189" s="1426"/>
      <c r="P189" s="1426"/>
      <c r="Q189" t="s">
        <v>582</v>
      </c>
      <c r="T189" s="1426" t="s">
        <v>64</v>
      </c>
      <c r="U189" s="1426"/>
      <c r="V189" s="1426"/>
      <c r="W189" s="1426"/>
      <c r="X189" s="1426"/>
      <c r="Y189" s="1426"/>
      <c r="Z189" s="1426"/>
      <c r="AA189" s="1426"/>
      <c r="AB189" s="1426"/>
      <c r="AC189" s="1426"/>
      <c r="AD189" s="1426"/>
      <c r="AE189" s="1426"/>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583</v>
      </c>
      <c r="I190" s="1368">
        <v>92701</v>
      </c>
      <c r="J190" s="1368"/>
      <c r="K190" s="1368"/>
      <c r="L190" s="1368"/>
      <c r="M190" s="1368"/>
      <c r="N190" s="1368"/>
      <c r="O190" t="s">
        <v>585</v>
      </c>
      <c r="T190" s="1553">
        <v>6059075003</v>
      </c>
      <c r="U190" s="1553"/>
      <c r="V190" s="1553"/>
      <c r="W190" s="1553"/>
      <c r="X190" s="1553"/>
      <c r="Y190" s="1553"/>
      <c r="Z190" s="1553"/>
      <c r="AA190" s="1553"/>
      <c r="AB190" s="1553"/>
      <c r="AC190" s="1553"/>
      <c r="AD190" s="1553"/>
      <c r="AE190" s="1553"/>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462</v>
      </c>
      <c r="N191" s="1522" t="s">
        <v>2654</v>
      </c>
      <c r="O191" s="1522"/>
      <c r="P191" s="1522"/>
      <c r="Q191" s="1522"/>
      <c r="R191" s="1522"/>
      <c r="S191" s="1522"/>
      <c r="T191" s="1522"/>
      <c r="U191" s="1522"/>
      <c r="V191" s="1522"/>
      <c r="W191" s="1522"/>
      <c r="X191" s="1522"/>
      <c r="Y191" s="1522"/>
      <c r="Z191" s="1522"/>
      <c r="AA191" s="1522"/>
      <c r="AB191" s="1522"/>
      <c r="AC191" s="1522"/>
      <c r="AD191" s="1522"/>
      <c r="AE191" s="1522"/>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523"/>
      <c r="O192" s="1523"/>
      <c r="P192" s="1523"/>
      <c r="Q192" s="1523"/>
      <c r="R192" s="1523"/>
      <c r="S192" s="1523"/>
      <c r="T192" s="1523"/>
      <c r="U192" s="1523"/>
      <c r="V192" s="1523"/>
      <c r="W192" s="1523"/>
      <c r="X192" s="1523"/>
      <c r="Y192" s="1523"/>
      <c r="Z192" s="1523"/>
      <c r="AA192" s="1523"/>
      <c r="AB192" s="1523"/>
      <c r="AC192" s="1523"/>
      <c r="AD192" s="1523"/>
      <c r="AE192" s="1523"/>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2038</v>
      </c>
      <c r="M193" s="40"/>
      <c r="N193" s="890"/>
      <c r="O193" s="890"/>
      <c r="P193" s="890"/>
      <c r="Q193" s="890"/>
      <c r="R193" s="890"/>
      <c r="S193" s="890"/>
      <c r="T193" s="1557" t="s">
        <v>2169</v>
      </c>
      <c r="U193" s="1557"/>
      <c r="V193" s="1557"/>
      <c r="W193" s="1557"/>
      <c r="X193" s="1557"/>
      <c r="Y193" s="1557"/>
      <c r="Z193" s="1557"/>
      <c r="AA193" s="1557"/>
      <c r="AB193" s="1557"/>
      <c r="AC193" s="1557"/>
      <c r="AD193" s="1557"/>
      <c r="AE193" s="1557"/>
      <c r="AF193" s="1557"/>
      <c r="AG193" s="1557"/>
      <c r="AH193" s="1557"/>
      <c r="AI193" s="1557"/>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2.95" customHeight="1">
      <c r="C194" s="21"/>
      <c r="D194" s="3" t="s">
        <v>2171</v>
      </c>
      <c r="M194" s="40"/>
      <c r="N194" s="890"/>
      <c r="O194" s="890"/>
      <c r="P194" s="890"/>
      <c r="Q194" s="890"/>
      <c r="R194" s="890"/>
      <c r="S194" s="890"/>
      <c r="AH194" s="1380" t="s">
        <v>669</v>
      </c>
      <c r="AI194" s="1380"/>
      <c r="BC194" t="s">
        <v>1358</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2.95" customHeight="1">
      <c r="C195" s="21"/>
      <c r="D195" t="s">
        <v>331</v>
      </c>
      <c r="T195" s="1380" t="s">
        <v>669</v>
      </c>
      <c r="U195" s="1380"/>
      <c r="W195" t="s">
        <v>684</v>
      </c>
      <c r="AH195" s="1380">
        <v>46</v>
      </c>
      <c r="AI195" s="1380"/>
      <c r="BC195" t="s">
        <v>1832</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2.95" customHeight="1">
      <c r="C196" s="21"/>
      <c r="D196" t="s">
        <v>386</v>
      </c>
      <c r="T196" s="1393" t="s">
        <v>545</v>
      </c>
      <c r="U196" s="1393"/>
      <c r="W196" t="s">
        <v>685</v>
      </c>
      <c r="AH196" s="1380">
        <v>68</v>
      </c>
      <c r="AI196" s="1380"/>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2.95" customHeight="1">
      <c r="C197" s="21"/>
      <c r="D197" s="3" t="s">
        <v>169</v>
      </c>
      <c r="T197" s="1393" t="s">
        <v>669</v>
      </c>
      <c r="U197" s="1393"/>
      <c r="W197" t="s">
        <v>686</v>
      </c>
      <c r="AH197" s="1380">
        <v>34</v>
      </c>
      <c r="AI197" s="1380"/>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2.95" customHeight="1">
      <c r="A198"/>
      <c r="B198"/>
      <c r="C198" s="21"/>
      <c r="D198" s="3" t="s">
        <v>1641</v>
      </c>
      <c r="E198"/>
      <c r="F198"/>
      <c r="G198"/>
      <c r="H198"/>
      <c r="I198"/>
      <c r="J198"/>
      <c r="K198"/>
      <c r="L198"/>
      <c r="M198"/>
      <c r="N198"/>
      <c r="O198"/>
      <c r="P198"/>
      <c r="Q198"/>
      <c r="R198"/>
      <c r="S198"/>
      <c r="T198" s="1393">
        <v>0</v>
      </c>
      <c r="U198" s="1393"/>
      <c r="V198"/>
      <c r="X198" s="1533" t="s">
        <v>2446</v>
      </c>
      <c r="Y198" s="1533"/>
      <c r="Z198" s="1533"/>
      <c r="AA198" s="1533"/>
      <c r="AB198" s="1533"/>
      <c r="AC198" s="1533"/>
      <c r="AD198" s="1533"/>
      <c r="AE198" s="1533"/>
      <c r="AF198" s="1533"/>
      <c r="AG198" s="1533"/>
      <c r="AH198" s="1533"/>
      <c r="AI198" s="1533"/>
      <c r="AJ198" s="1533"/>
      <c r="AK198" s="1533"/>
      <c r="AL198" s="1533"/>
      <c r="AM198" s="1533"/>
      <c r="AN198" s="1533"/>
      <c r="AO198" s="1533"/>
      <c r="AP198" s="1533"/>
      <c r="AQ198" s="1533"/>
      <c r="AR198" s="1533"/>
      <c r="AS198" s="1533"/>
      <c r="AT198" s="1533"/>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2449</v>
      </c>
      <c r="E199"/>
      <c r="F199"/>
      <c r="G199"/>
      <c r="H199"/>
      <c r="I199"/>
      <c r="J199"/>
      <c r="K199"/>
      <c r="L199"/>
      <c r="M199"/>
      <c r="N199"/>
      <c r="O199"/>
      <c r="P199"/>
      <c r="Q199"/>
      <c r="R199"/>
      <c r="S199"/>
      <c r="T199" s="1380" t="s">
        <v>669</v>
      </c>
      <c r="U199" s="1380"/>
      <c r="V199"/>
      <c r="W199"/>
      <c r="X199" s="1533"/>
      <c r="Y199" s="1533"/>
      <c r="Z199" s="1533"/>
      <c r="AA199" s="1533"/>
      <c r="AB199" s="1533"/>
      <c r="AC199" s="1533"/>
      <c r="AD199" s="1533"/>
      <c r="AE199" s="1533"/>
      <c r="AF199" s="1533"/>
      <c r="AG199" s="1533"/>
      <c r="AH199" s="1533"/>
      <c r="AI199" s="1533"/>
      <c r="AJ199" s="1533"/>
      <c r="AK199" s="1533"/>
      <c r="AL199" s="1533"/>
      <c r="AM199" s="1533"/>
      <c r="AN199" s="1533"/>
      <c r="AO199" s="1533"/>
      <c r="AP199" s="1533"/>
      <c r="AQ199" s="1533"/>
      <c r="AR199" s="1533"/>
      <c r="AS199" s="1533"/>
      <c r="AT199" s="1533"/>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2447</v>
      </c>
      <c r="T200" s="1380" t="s">
        <v>669</v>
      </c>
      <c r="U200" s="1380"/>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2448</v>
      </c>
      <c r="V201"/>
      <c r="X201"/>
      <c r="Y201"/>
      <c r="Z201"/>
      <c r="AB201" s="1184"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2.95" customHeight="1">
      <c r="D204" s="1370" t="s">
        <v>385</v>
      </c>
      <c r="E204" s="1370"/>
      <c r="F204" s="1370"/>
      <c r="G204" s="1370"/>
      <c r="H204" s="1370"/>
      <c r="I204" s="1370"/>
      <c r="J204" s="1370"/>
      <c r="K204" s="1370"/>
      <c r="L204" s="1370"/>
      <c r="M204" s="1370"/>
      <c r="P204" s="1546">
        <f>M26</f>
        <v>2867974</v>
      </c>
      <c r="Q204" s="1547"/>
      <c r="R204" s="1547"/>
      <c r="S204" s="1547"/>
      <c r="T204" s="1547"/>
      <c r="U204" s="1547"/>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2.95" customHeight="1">
      <c r="C205" s="21"/>
      <c r="D205" s="1535" t="s">
        <v>1247</v>
      </c>
      <c r="E205" s="1370"/>
      <c r="F205" s="1370"/>
      <c r="G205" s="1370"/>
      <c r="H205" s="1370"/>
      <c r="I205" s="1370"/>
      <c r="J205" s="1370"/>
      <c r="K205" s="1370"/>
      <c r="L205" s="1370"/>
      <c r="M205" s="1370"/>
      <c r="P205" s="1547">
        <f>M27</f>
        <v>0</v>
      </c>
      <c r="Q205" s="1547"/>
      <c r="R205" s="1547"/>
      <c r="S205" s="1547"/>
      <c r="T205" s="1547"/>
      <c r="U205" s="1547"/>
      <c r="V205" s="28"/>
      <c r="W205" s="3" t="s">
        <v>1709</v>
      </c>
      <c r="Z205" s="1531" t="s">
        <v>1184</v>
      </c>
      <c r="AA205" s="1531"/>
      <c r="AB205" s="1531"/>
      <c r="AC205" s="1531"/>
      <c r="AD205" s="1531"/>
      <c r="AE205" s="1531"/>
      <c r="AF205" s="1531"/>
      <c r="AG205" s="1531"/>
      <c r="AH205" s="1531"/>
      <c r="AI205" s="1531"/>
      <c r="AJ205" s="1531"/>
      <c r="AK205" s="1531"/>
      <c r="AL205" s="1531"/>
      <c r="AM205" s="1531"/>
      <c r="AN205" s="1531"/>
      <c r="AP205" s="1448"/>
      <c r="AQ205" s="1448"/>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2.95"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2.95" customHeight="1">
      <c r="C208" s="21"/>
      <c r="D208" s="1518" t="s">
        <v>2655</v>
      </c>
      <c r="E208" s="1518"/>
      <c r="F208" s="1518"/>
      <c r="G208" s="1518"/>
      <c r="H208" s="1518"/>
      <c r="I208" s="1518"/>
      <c r="J208" s="1518"/>
      <c r="K208" s="1518"/>
      <c r="L208" s="1518"/>
      <c r="M208" s="1518"/>
      <c r="BC208" s="3" t="s">
        <v>2162</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518" t="s">
        <v>1832</v>
      </c>
      <c r="E211" s="1518"/>
      <c r="F211" s="1518"/>
      <c r="G211" s="1518"/>
      <c r="H211" s="1518"/>
      <c r="I211" s="1518"/>
      <c r="J211" s="1518"/>
      <c r="K211" s="1518"/>
      <c r="L211" s="1518"/>
      <c r="M211" s="1518"/>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2186</v>
      </c>
      <c r="Q212" s="1380">
        <v>0</v>
      </c>
      <c r="R212" s="1380"/>
      <c r="T212" s="1525">
        <f>IFERROR(Q212/AG449,0)</f>
        <v>0</v>
      </c>
      <c r="U212" s="1526"/>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2406</v>
      </c>
      <c r="BC213" t="s">
        <v>526</v>
      </c>
      <c r="BI213" s="3" t="s">
        <v>2183</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542" t="s">
        <v>591</v>
      </c>
      <c r="E214" s="1542"/>
      <c r="F214" s="1542"/>
      <c r="G214" s="1542"/>
      <c r="H214" s="1542"/>
      <c r="I214" s="1542"/>
      <c r="J214" s="1542"/>
      <c r="K214" s="1542"/>
      <c r="L214" s="1542"/>
      <c r="M214" s="1542"/>
      <c r="N214" s="1542"/>
      <c r="O214" s="1542"/>
      <c r="P214" s="1542"/>
      <c r="Q214" s="1542"/>
      <c r="R214" s="1542"/>
      <c r="S214" s="1542"/>
      <c r="T214" s="1542"/>
      <c r="U214" s="1542"/>
      <c r="V214" s="1542"/>
      <c r="W214" s="1542"/>
      <c r="X214" s="1542"/>
      <c r="Y214" s="1542"/>
      <c r="Z214" s="1542"/>
      <c r="AU214" s="21"/>
      <c r="AV214" s="21"/>
      <c r="AW214" s="21"/>
      <c r="AX214" s="21"/>
      <c r="AY214" s="21"/>
      <c r="BC214" t="s">
        <v>530</v>
      </c>
      <c r="BI214" s="3" t="s">
        <v>2176</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1642</v>
      </c>
      <c r="Z215" s="40"/>
      <c r="AB215" s="1541"/>
      <c r="AC215" s="1541"/>
      <c r="AD215" s="1541"/>
      <c r="AE215" s="1541"/>
      <c r="AF215" s="1541"/>
      <c r="AG215" s="1541"/>
      <c r="AH215" s="1541"/>
      <c r="AI215" s="1541"/>
      <c r="AJ215" s="1541"/>
      <c r="AK215" s="1541"/>
      <c r="AL215" s="1541"/>
      <c r="AM215" s="21"/>
      <c r="AN215" s="21"/>
      <c r="AO215" s="21"/>
      <c r="AP215" s="21"/>
      <c r="AQ215" s="21"/>
      <c r="AR215" s="21"/>
      <c r="AS215" s="21"/>
      <c r="AT215" s="21"/>
      <c r="AU215" s="21"/>
      <c r="AV215" s="21"/>
      <c r="AW215" s="21"/>
      <c r="AX215" s="21"/>
      <c r="AY215" s="21"/>
      <c r="BC215" t="s">
        <v>527</v>
      </c>
      <c r="BI215" s="3" t="s">
        <v>2177</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1640</v>
      </c>
      <c r="Z216" s="40"/>
      <c r="AB216" s="1541"/>
      <c r="AC216" s="1541"/>
      <c r="AD216" s="1541"/>
      <c r="AE216" s="1541"/>
      <c r="AF216" s="1541"/>
      <c r="AG216" s="1541"/>
      <c r="AH216" s="1541"/>
      <c r="AI216" s="1541"/>
      <c r="AJ216" s="1541"/>
      <c r="AK216" s="1541"/>
      <c r="AL216" s="1541"/>
      <c r="AM216" s="21"/>
      <c r="AN216" s="21"/>
      <c r="AO216" s="21"/>
      <c r="AP216" s="21"/>
      <c r="AQ216" s="21"/>
      <c r="AR216" s="21"/>
      <c r="AS216" s="21"/>
      <c r="AT216" s="21"/>
      <c r="AU216" s="21"/>
      <c r="AV216" s="21"/>
      <c r="AW216" s="21"/>
      <c r="AX216" s="21"/>
      <c r="AY216" s="21"/>
      <c r="BC216" t="s">
        <v>566</v>
      </c>
      <c r="BI216" t="s">
        <v>2175</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2179</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592</v>
      </c>
      <c r="C218" s="2" t="s">
        <v>2189</v>
      </c>
      <c r="D218" s="28"/>
      <c r="AC218" s="2" t="s">
        <v>2395</v>
      </c>
      <c r="BC218" t="s">
        <v>529</v>
      </c>
    </row>
    <row r="219" spans="1:108" ht="12.95" customHeight="1">
      <c r="A219" s="2"/>
      <c r="C219" s="2"/>
      <c r="D219" s="3" t="s">
        <v>2396</v>
      </c>
      <c r="AZ219" s="3"/>
      <c r="BA219" s="3"/>
      <c r="BC219" t="s">
        <v>377</v>
      </c>
    </row>
    <row r="220" spans="1:108" ht="12.95" customHeight="1">
      <c r="A220" s="2"/>
      <c r="C220" s="2"/>
      <c r="D220" s="1518" t="s">
        <v>610</v>
      </c>
      <c r="E220" s="1518"/>
      <c r="F220" s="1518"/>
      <c r="G220" s="1518"/>
      <c r="H220" s="1518"/>
      <c r="I220" s="1518"/>
      <c r="J220" s="1518"/>
      <c r="K220" s="1518"/>
      <c r="L220" s="1518"/>
      <c r="M220" s="1518"/>
      <c r="N220" s="1518"/>
      <c r="O220" s="1518"/>
      <c r="P220" s="1518"/>
      <c r="Q220" s="1518"/>
      <c r="R220" s="1518"/>
      <c r="S220" s="1518"/>
      <c r="T220" s="1518"/>
      <c r="U220" s="1518"/>
      <c r="V220" s="1518"/>
      <c r="W220" s="1518"/>
      <c r="X220" s="1518"/>
      <c r="Y220" s="1518"/>
      <c r="Z220" s="1518"/>
      <c r="AC220" s="1534" t="s">
        <v>2397</v>
      </c>
      <c r="AD220" s="1534"/>
      <c r="AE220" s="1534"/>
      <c r="AF220" s="1534"/>
      <c r="AG220" s="1534"/>
      <c r="AH220" s="1534"/>
      <c r="AI220" s="1534"/>
      <c r="AJ220" s="1534"/>
      <c r="AK220" s="1534"/>
      <c r="AL220" s="1534"/>
      <c r="AM220" s="1534"/>
      <c r="AN220" s="1534"/>
      <c r="AO220" s="1534"/>
      <c r="AP220" s="1534"/>
      <c r="AQ220" s="1534"/>
      <c r="BA220" s="3"/>
      <c r="BC220" t="s">
        <v>300</v>
      </c>
    </row>
    <row r="221" spans="1:108" ht="12.95" customHeight="1">
      <c r="A221" s="2"/>
      <c r="B221" s="14"/>
      <c r="C221" s="2"/>
      <c r="BA221" s="3"/>
    </row>
    <row r="222" spans="1:108" ht="12.95" customHeight="1">
      <c r="A222" s="2" t="s">
        <v>2541</v>
      </c>
      <c r="B222" s="14"/>
      <c r="C222" s="2" t="s">
        <v>2542</v>
      </c>
      <c r="BA222" s="3"/>
    </row>
    <row r="223" spans="1:108" ht="12.95" customHeight="1">
      <c r="A223" s="2"/>
      <c r="B223" s="14"/>
      <c r="C223" s="2"/>
      <c r="D223" s="3" t="s">
        <v>2543</v>
      </c>
      <c r="BA223" s="3"/>
    </row>
    <row r="224" spans="1:108" ht="12.95" customHeight="1">
      <c r="A224" s="2"/>
      <c r="B224" s="14"/>
      <c r="C224" s="2"/>
      <c r="E224" s="3" t="s">
        <v>2544</v>
      </c>
      <c r="V224" s="1380" t="s">
        <v>669</v>
      </c>
      <c r="W224" s="1380"/>
      <c r="Y224" s="1193"/>
      <c r="BA224" s="3"/>
    </row>
    <row r="225" spans="1:69" ht="12.95" customHeight="1">
      <c r="A225" s="2"/>
      <c r="B225" s="14"/>
      <c r="C225" s="2"/>
      <c r="E225" s="3" t="s">
        <v>2545</v>
      </c>
      <c r="V225" s="1380" t="s">
        <v>669</v>
      </c>
      <c r="W225" s="1380"/>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2546</v>
      </c>
      <c r="V226" s="1393" t="s">
        <v>669</v>
      </c>
      <c r="W226" s="1393"/>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2547</v>
      </c>
      <c r="V227" s="1393" t="s">
        <v>669</v>
      </c>
      <c r="W227" s="1393"/>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2548</v>
      </c>
      <c r="V228" s="1393" t="s">
        <v>669</v>
      </c>
      <c r="W228" s="1393"/>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2549</v>
      </c>
      <c r="V229" s="1393" t="s">
        <v>669</v>
      </c>
      <c r="W229" s="1393"/>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532" t="s">
        <v>540</v>
      </c>
      <c r="B231" s="1532"/>
      <c r="C231" s="1532"/>
      <c r="D231" s="1532"/>
      <c r="E231" s="1532"/>
      <c r="F231" s="1532"/>
      <c r="G231" s="1532"/>
      <c r="H231" s="1532"/>
      <c r="I231" s="1532"/>
      <c r="J231" s="1532"/>
      <c r="K231" s="1532"/>
      <c r="L231" s="1532"/>
      <c r="M231" s="1532"/>
      <c r="N231" s="1532"/>
      <c r="O231" s="1532"/>
      <c r="P231" s="1532"/>
      <c r="Q231" s="1532"/>
      <c r="R231" s="1532"/>
      <c r="S231" s="1532"/>
      <c r="T231" s="1532"/>
      <c r="U231" s="1532"/>
      <c r="V231" s="1532"/>
      <c r="W231" s="1532"/>
      <c r="X231" s="1532"/>
      <c r="Y231" s="1532"/>
      <c r="Z231" s="1532"/>
      <c r="AA231" s="1532"/>
      <c r="AB231" s="1532"/>
      <c r="AC231" s="1532"/>
      <c r="AD231" s="1532"/>
      <c r="AE231" s="1532"/>
      <c r="AF231" s="1532"/>
      <c r="AG231" s="1532"/>
      <c r="AH231" s="1532"/>
      <c r="AI231" s="1532"/>
      <c r="AJ231" s="1532"/>
      <c r="AK231" s="1532"/>
      <c r="AL231" s="1532"/>
      <c r="AM231" s="1532"/>
      <c r="AN231" s="1532"/>
      <c r="AO231" s="1532"/>
      <c r="AP231" s="1532"/>
      <c r="AQ231" s="1532"/>
      <c r="AR231" s="1532"/>
      <c r="AS231" s="1532"/>
      <c r="AT231" s="1532"/>
      <c r="AU231" s="95"/>
      <c r="AV231" s="95"/>
      <c r="AW231" s="95"/>
      <c r="AX231" s="95"/>
      <c r="AY231" s="95"/>
      <c r="AZ231" s="3"/>
      <c r="BA231" s="3"/>
      <c r="BP231" s="34"/>
    </row>
    <row r="232" spans="1:69" ht="12.95" customHeight="1">
      <c r="A232" s="1532"/>
      <c r="B232" s="1532"/>
      <c r="C232" s="1532"/>
      <c r="D232" s="1532"/>
      <c r="E232" s="1532"/>
      <c r="F232" s="1532"/>
      <c r="G232" s="1532"/>
      <c r="H232" s="1532"/>
      <c r="I232" s="1532"/>
      <c r="J232" s="1532"/>
      <c r="K232" s="1532"/>
      <c r="L232" s="1532"/>
      <c r="M232" s="1532"/>
      <c r="N232" s="1532"/>
      <c r="O232" s="1532"/>
      <c r="P232" s="1532"/>
      <c r="Q232" s="1532"/>
      <c r="R232" s="1532"/>
      <c r="S232" s="1532"/>
      <c r="T232" s="1532"/>
      <c r="U232" s="1532"/>
      <c r="V232" s="1532"/>
      <c r="W232" s="1532"/>
      <c r="X232" s="1532"/>
      <c r="Y232" s="1532"/>
      <c r="Z232" s="1532"/>
      <c r="AA232" s="1532"/>
      <c r="AB232" s="1532"/>
      <c r="AC232" s="1532"/>
      <c r="AD232" s="1532"/>
      <c r="AE232" s="1532"/>
      <c r="AF232" s="1532"/>
      <c r="AG232" s="1532"/>
      <c r="AH232" s="1532"/>
      <c r="AI232" s="1532"/>
      <c r="AJ232" s="1532"/>
      <c r="AK232" s="1532"/>
      <c r="AL232" s="1532"/>
      <c r="AM232" s="1532"/>
      <c r="AN232" s="1532"/>
      <c r="AO232" s="1532"/>
      <c r="AP232" s="1532"/>
      <c r="AQ232" s="1532"/>
      <c r="AR232" s="1532"/>
      <c r="AS232" s="1532"/>
      <c r="AT232" s="1532"/>
      <c r="BA232" s="3"/>
      <c r="BB232" s="3"/>
      <c r="BQ232" s="34"/>
    </row>
    <row r="233" spans="1:69" ht="12.95" customHeight="1">
      <c r="AZ233" s="4"/>
      <c r="BA233" s="3"/>
      <c r="BB233" s="3"/>
      <c r="BQ233" s="34"/>
    </row>
    <row r="234" spans="1:69" ht="12.95" customHeight="1">
      <c r="A234" s="2" t="s">
        <v>319</v>
      </c>
      <c r="B234" s="2"/>
      <c r="C234" s="2" t="s">
        <v>2039</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80" t="s">
        <v>591</v>
      </c>
      <c r="AJ235" s="1380"/>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2.95"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80" t="s">
        <v>545</v>
      </c>
      <c r="AJ236" s="1380"/>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80" t="s">
        <v>591</v>
      </c>
      <c r="AJ237" s="1380"/>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80" t="s">
        <v>591</v>
      </c>
      <c r="AJ238" s="1380"/>
      <c r="AL238" s="3"/>
      <c r="AM238" s="3"/>
      <c r="AN238" s="3"/>
      <c r="AO238" s="3"/>
      <c r="AP238" s="3"/>
      <c r="AQ238" s="3"/>
      <c r="AR238" s="3"/>
      <c r="AS238" s="3"/>
      <c r="AT238" s="3"/>
      <c r="AU238" s="3"/>
      <c r="AV238" s="3"/>
      <c r="AW238" s="3"/>
      <c r="AX238" s="3"/>
      <c r="AY238" s="3"/>
      <c r="BA238" s="3"/>
      <c r="BB238" s="204" t="s">
        <v>538</v>
      </c>
      <c r="BG238" s="241">
        <f>IF(AND(AND($M$258="for profit",$M$266="nonprofit",$M$274="(select one)")),2,0)</f>
        <v>0</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2</v>
      </c>
    </row>
    <row r="240" spans="1:69" ht="12.95" customHeight="1">
      <c r="A240" s="2" t="s">
        <v>576</v>
      </c>
      <c r="B240" s="4"/>
      <c r="C240" s="2" t="s">
        <v>2040</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470</v>
      </c>
      <c r="E241" s="4"/>
      <c r="F241" s="4"/>
      <c r="G241" s="4"/>
      <c r="H241" s="4"/>
      <c r="I241" s="4"/>
      <c r="J241" s="4"/>
      <c r="K241" s="4"/>
      <c r="M241" s="1554" t="str">
        <f>H16</f>
        <v>1200 Main GP, LLC</v>
      </c>
      <c r="N241" s="1554"/>
      <c r="O241" s="1554"/>
      <c r="P241" s="1554"/>
      <c r="Q241" s="1554"/>
      <c r="R241" s="1554"/>
      <c r="S241" s="1554"/>
      <c r="T241" s="1554"/>
      <c r="U241" s="1554"/>
      <c r="V241" s="1554"/>
      <c r="W241" s="1554"/>
      <c r="X241" s="1554"/>
      <c r="Y241" s="1554"/>
      <c r="Z241" s="1554"/>
      <c r="AA241" s="1554"/>
      <c r="AB241" s="1554"/>
      <c r="AC241" s="1554"/>
      <c r="AD241" s="1554"/>
      <c r="AE241" s="1554"/>
      <c r="AF241" s="1554"/>
      <c r="AG241" s="1554"/>
      <c r="AH241" s="1554"/>
      <c r="AI241" s="1554"/>
      <c r="AJ241" s="1554"/>
      <c r="AK241" s="1554"/>
      <c r="AZ241" s="4"/>
      <c r="BA241" s="3"/>
      <c r="BB241" s="205" t="s">
        <v>538</v>
      </c>
      <c r="BG241" s="241">
        <f>IF(AND(AND($M$258="nonprofit",$M$266="nonprofit",$M$274="for profit")),2,0)</f>
        <v>0</v>
      </c>
    </row>
    <row r="242" spans="1:67" ht="12.95" customHeight="1">
      <c r="D242" s="4" t="s">
        <v>85</v>
      </c>
      <c r="E242" s="4"/>
      <c r="F242" s="4"/>
      <c r="G242" s="4"/>
      <c r="H242" s="4"/>
      <c r="I242" s="4"/>
      <c r="J242" s="4"/>
      <c r="K242" s="4"/>
      <c r="M242" s="1518" t="s">
        <v>2664</v>
      </c>
      <c r="N242" s="1518"/>
      <c r="O242" s="1518"/>
      <c r="P242" s="1518"/>
      <c r="Q242" s="1518"/>
      <c r="R242" s="1518"/>
      <c r="S242" s="1518"/>
      <c r="T242" s="1518"/>
      <c r="U242" s="1518"/>
      <c r="V242" s="1518"/>
      <c r="W242" s="1518"/>
      <c r="X242" s="1518"/>
      <c r="Y242" s="1518"/>
      <c r="Z242" s="1518"/>
      <c r="AA242" s="1518"/>
      <c r="AB242" s="1518"/>
      <c r="AC242" s="1518"/>
      <c r="AD242" s="1518"/>
      <c r="AE242" s="1518"/>
      <c r="BB242" s="205" t="s">
        <v>538</v>
      </c>
      <c r="BG242" s="241">
        <f>IF(AND(AND($M$258="nonprofit",$M$266="for profit",$M$274="nonprofit")),2,0)</f>
        <v>0</v>
      </c>
    </row>
    <row r="243" spans="1:67" ht="12.95" customHeight="1">
      <c r="D243" s="4" t="s">
        <v>580</v>
      </c>
      <c r="E243" s="4"/>
      <c r="M243" s="1518" t="s">
        <v>494</v>
      </c>
      <c r="N243" s="1518"/>
      <c r="O243" s="1518"/>
      <c r="P243" s="1518"/>
      <c r="Q243" s="1518"/>
      <c r="R243" s="1518"/>
      <c r="S243" s="1518"/>
      <c r="T243" s="1518"/>
      <c r="V243" s="33" t="s">
        <v>86</v>
      </c>
      <c r="W243" s="1524" t="s">
        <v>2661</v>
      </c>
      <c r="X243" s="1369"/>
      <c r="Y243" s="4" t="s">
        <v>583</v>
      </c>
      <c r="AC243" s="1518">
        <v>90010</v>
      </c>
      <c r="AD243" s="1518"/>
      <c r="AE243" s="1518"/>
      <c r="AU243" s="4"/>
      <c r="AV243" s="4"/>
      <c r="AW243" s="4"/>
      <c r="AX243" s="4"/>
      <c r="AY243" s="4"/>
      <c r="AZ243" s="4"/>
      <c r="BB243" s="205" t="s">
        <v>538</v>
      </c>
      <c r="BG243" s="240">
        <f>IF(AND(AND($M$258="for profit",$M$266="nonprofit",$M$274="nonprofit")),2,0)</f>
        <v>0</v>
      </c>
    </row>
    <row r="244" spans="1:67" ht="12.95" customHeight="1">
      <c r="D244" s="4" t="s">
        <v>87</v>
      </c>
      <c r="E244" s="4"/>
      <c r="F244" s="4"/>
      <c r="G244" s="4"/>
      <c r="H244" s="4"/>
      <c r="I244" s="4"/>
      <c r="J244" s="4"/>
      <c r="K244" s="19"/>
      <c r="M244" s="1425" t="s">
        <v>2647</v>
      </c>
      <c r="N244" s="1518"/>
      <c r="O244" s="1518"/>
      <c r="P244" s="1518"/>
      <c r="Q244" s="1518"/>
      <c r="R244" s="1518"/>
      <c r="S244" s="1518"/>
      <c r="T244" s="1518"/>
      <c r="U244" s="1518"/>
      <c r="V244" s="1518"/>
      <c r="W244" s="1518"/>
      <c r="X244" s="1518"/>
      <c r="Y244" s="1518"/>
      <c r="Z244" s="1518"/>
      <c r="AA244" s="1518"/>
      <c r="AB244" s="1518"/>
      <c r="AC244" s="1518"/>
      <c r="AD244" s="1518"/>
      <c r="AE244" s="1518"/>
      <c r="AI244" s="4"/>
      <c r="AJ244" s="4"/>
      <c r="AK244" s="4"/>
      <c r="AL244" s="4"/>
      <c r="AM244" s="4"/>
      <c r="AN244" s="4"/>
      <c r="AO244" s="4"/>
      <c r="AP244" s="4"/>
      <c r="AQ244" s="4"/>
      <c r="AR244" s="4"/>
      <c r="AS244" s="4"/>
      <c r="AT244" s="4"/>
      <c r="BB244" s="205"/>
      <c r="BG244" s="204"/>
    </row>
    <row r="245" spans="1:67" ht="12.95" customHeight="1">
      <c r="D245" s="4" t="s">
        <v>88</v>
      </c>
      <c r="E245" s="4"/>
      <c r="F245" s="4"/>
      <c r="M245" s="1385">
        <v>2133655000</v>
      </c>
      <c r="N245" s="1385"/>
      <c r="O245" s="1385"/>
      <c r="P245" s="1385"/>
      <c r="Q245" s="1385"/>
      <c r="R245" s="1385"/>
      <c r="S245" s="4" t="s">
        <v>206</v>
      </c>
      <c r="T245" s="4"/>
      <c r="U245" s="1369"/>
      <c r="V245" s="1369"/>
      <c r="W245" s="1369"/>
      <c r="X245" s="4" t="s">
        <v>89</v>
      </c>
      <c r="Z245" s="1385"/>
      <c r="AA245" s="1385"/>
      <c r="AB245" s="1385"/>
      <c r="AC245" s="1385"/>
      <c r="AD245" s="1385"/>
      <c r="AE245" s="1385"/>
      <c r="AU245" s="4"/>
      <c r="AV245" s="4"/>
      <c r="AW245" s="4"/>
      <c r="AX245" s="4"/>
      <c r="AY245" s="4"/>
      <c r="AZ245" s="4"/>
      <c r="BB245" s="204" t="s">
        <v>537</v>
      </c>
      <c r="BG245" s="241">
        <f>IF(AND(AND($M$258="nonprofit",$M$266="nonprofit",$M$274="(select one)")),1,0)</f>
        <v>0</v>
      </c>
    </row>
    <row r="246" spans="1:67" ht="12.95" customHeight="1">
      <c r="D246" s="4" t="s">
        <v>90</v>
      </c>
      <c r="E246" s="4"/>
      <c r="F246" s="4"/>
      <c r="M246" s="1528" t="s">
        <v>2665</v>
      </c>
      <c r="N246" s="1528"/>
      <c r="O246" s="1528"/>
      <c r="P246" s="1528"/>
      <c r="Q246" s="1528"/>
      <c r="R246" s="1528"/>
      <c r="S246" s="1528"/>
      <c r="T246" s="1528"/>
      <c r="U246" s="1528"/>
      <c r="V246" s="1528"/>
      <c r="W246" s="1528"/>
      <c r="X246" s="1528"/>
      <c r="Y246" s="1528"/>
      <c r="Z246" s="1528"/>
      <c r="AA246" s="1528"/>
      <c r="AB246" s="1528"/>
      <c r="AC246" s="1528"/>
      <c r="AD246" s="1528"/>
      <c r="AE246" s="1528"/>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2.95" customHeight="1">
      <c r="A247" s="2" t="s">
        <v>586</v>
      </c>
      <c r="C247" s="2" t="s">
        <v>525</v>
      </c>
      <c r="M247" s="1368" t="s">
        <v>526</v>
      </c>
      <c r="N247" s="1368"/>
      <c r="O247" s="1368"/>
      <c r="P247" s="1368"/>
      <c r="Q247" s="1368"/>
      <c r="R247" s="1368"/>
      <c r="S247" s="1368"/>
      <c r="T247" s="1368"/>
      <c r="U247" s="204" t="s">
        <v>906</v>
      </c>
      <c r="V247" s="204"/>
      <c r="W247" s="204"/>
      <c r="X247" s="204"/>
      <c r="Y247" s="204"/>
      <c r="Z247" s="204"/>
      <c r="AA247" s="1558" t="s">
        <v>2745</v>
      </c>
      <c r="AB247" s="1559"/>
      <c r="AC247" s="1559"/>
      <c r="AD247" s="1559"/>
      <c r="AE247" s="1559"/>
      <c r="AF247" s="1559"/>
      <c r="AG247" s="1559"/>
      <c r="AH247" s="1559"/>
      <c r="AI247" s="1559"/>
      <c r="AJ247" s="1559"/>
      <c r="AK247" s="1559"/>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2.95" customHeight="1">
      <c r="D248" t="s">
        <v>531</v>
      </c>
      <c r="M248" s="1426"/>
      <c r="N248" s="1426"/>
      <c r="O248" s="1426"/>
      <c r="P248" s="1426"/>
      <c r="Q248" s="1426"/>
      <c r="R248" s="1426"/>
      <c r="S248" s="1426"/>
      <c r="T248" s="1426"/>
      <c r="U248" s="1426"/>
      <c r="V248" s="1426"/>
      <c r="W248" s="1426"/>
      <c r="X248" s="1426"/>
      <c r="Y248" s="1426"/>
      <c r="Z248" s="1426"/>
      <c r="AA248" s="1426"/>
      <c r="AB248" s="1426"/>
      <c r="AC248" s="1426"/>
      <c r="AD248" s="1426"/>
      <c r="AE248" s="1426"/>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2.95" customHeight="1">
      <c r="D249" s="4"/>
      <c r="BB249" s="204" t="s">
        <v>877</v>
      </c>
      <c r="BG249" s="241">
        <f>IF(AND(AND($M$258="for profit",$M$266="for profit",$M$274="for profit")),3,0)</f>
        <v>0</v>
      </c>
    </row>
    <row r="250" spans="1:67" ht="12.95"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473</v>
      </c>
      <c r="D252" s="4" t="s">
        <v>532</v>
      </c>
      <c r="E252" s="4"/>
      <c r="F252" s="4"/>
      <c r="G252" s="4"/>
      <c r="H252" s="4"/>
      <c r="I252" s="4"/>
      <c r="J252" s="4"/>
      <c r="K252" s="4"/>
      <c r="L252" s="4"/>
      <c r="M252" s="1527" t="s">
        <v>2656</v>
      </c>
      <c r="N252" s="1527"/>
      <c r="O252" s="1527"/>
      <c r="P252" s="1527"/>
      <c r="Q252" s="1527"/>
      <c r="R252" s="1527"/>
      <c r="S252" s="1527"/>
      <c r="T252" s="1527"/>
      <c r="U252" s="1527"/>
      <c r="V252" s="1527"/>
      <c r="W252" s="1527"/>
      <c r="X252" s="1527"/>
      <c r="Y252" s="1527"/>
      <c r="Z252" s="1527"/>
      <c r="AA252" s="1527"/>
      <c r="AB252" s="1527"/>
      <c r="AC252" s="1527"/>
      <c r="AD252" s="1527"/>
      <c r="AE252" s="1527"/>
      <c r="AF252" s="1527" t="s">
        <v>2657</v>
      </c>
      <c r="AG252" s="1527"/>
      <c r="AH252" s="1527"/>
      <c r="AI252" s="1527"/>
      <c r="AJ252" s="1527"/>
      <c r="AK252" s="1527"/>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425" t="s">
        <v>2660</v>
      </c>
      <c r="N253" s="1518"/>
      <c r="O253" s="1518"/>
      <c r="P253" s="1518"/>
      <c r="Q253" s="1518"/>
      <c r="R253" s="1518"/>
      <c r="S253" s="1518"/>
      <c r="T253" s="1518"/>
      <c r="U253" s="1518"/>
      <c r="V253" s="1518"/>
      <c r="W253" s="1518"/>
      <c r="X253" s="1518"/>
      <c r="Y253" s="1518"/>
      <c r="Z253" s="1518"/>
      <c r="AA253" s="1518"/>
      <c r="AB253" s="1518"/>
      <c r="AC253" s="1518"/>
      <c r="AD253" s="1518"/>
      <c r="AE253" s="1518"/>
      <c r="AF253" s="3" t="s">
        <v>1179</v>
      </c>
      <c r="AL253" s="4"/>
      <c r="AM253" s="4"/>
      <c r="AN253" s="4"/>
      <c r="AO253" s="4"/>
      <c r="AP253" s="4"/>
      <c r="AQ253" s="4"/>
      <c r="AR253" s="4"/>
      <c r="AS253" s="4"/>
      <c r="AT253" s="4"/>
      <c r="BB253" t="s">
        <v>307</v>
      </c>
      <c r="BG253">
        <v>1</v>
      </c>
      <c r="BH253" t="s">
        <v>534</v>
      </c>
    </row>
    <row r="254" spans="1:67" ht="12.95" customHeight="1">
      <c r="A254" s="19"/>
      <c r="B254" s="4"/>
      <c r="C254" s="4"/>
      <c r="D254" s="4" t="s">
        <v>580</v>
      </c>
      <c r="E254" s="4"/>
      <c r="M254" s="1425" t="s">
        <v>67</v>
      </c>
      <c r="N254" s="1518"/>
      <c r="O254" s="1518"/>
      <c r="P254" s="1518"/>
      <c r="Q254" s="1518"/>
      <c r="R254" s="1518"/>
      <c r="S254" s="1518"/>
      <c r="T254" s="1518"/>
      <c r="V254" s="33" t="s">
        <v>86</v>
      </c>
      <c r="W254" s="1524" t="s">
        <v>2661</v>
      </c>
      <c r="X254" s="1369"/>
      <c r="Y254" s="4" t="s">
        <v>583</v>
      </c>
      <c r="AC254" s="1518">
        <v>92507</v>
      </c>
      <c r="AD254" s="1518"/>
      <c r="AE254" s="1518"/>
      <c r="AF254" s="3" t="s">
        <v>1180</v>
      </c>
      <c r="AU254" s="4"/>
      <c r="AV254" s="4"/>
      <c r="AW254" s="4"/>
      <c r="AX254" s="4"/>
      <c r="AY254" s="4"/>
      <c r="BB254" s="4" t="s">
        <v>280</v>
      </c>
      <c r="BG254">
        <v>2</v>
      </c>
      <c r="BH254" t="s">
        <v>566</v>
      </c>
      <c r="BO254" s="239" t="str">
        <f>VLOOKUP(BG252,BG253:BH256,2,FALSE)</f>
        <v>Joint Venture</v>
      </c>
    </row>
    <row r="255" spans="1:67" ht="12.95" customHeight="1">
      <c r="A255" s="19"/>
      <c r="B255" s="4"/>
      <c r="C255" s="4"/>
      <c r="D255" s="4" t="s">
        <v>87</v>
      </c>
      <c r="E255" s="4"/>
      <c r="F255" s="4"/>
      <c r="G255" s="4"/>
      <c r="H255" s="4"/>
      <c r="I255" s="4"/>
      <c r="J255" s="4"/>
      <c r="K255" s="4"/>
      <c r="L255" s="19"/>
      <c r="M255" s="1425" t="s">
        <v>2662</v>
      </c>
      <c r="N255" s="1518"/>
      <c r="O255" s="1518"/>
      <c r="P255" s="1518"/>
      <c r="Q255" s="1518"/>
      <c r="R255" s="1518"/>
      <c r="S255" s="1518"/>
      <c r="T255" s="1518"/>
      <c r="U255" s="1518"/>
      <c r="V255" s="1518"/>
      <c r="W255" s="1518"/>
      <c r="X255" s="1518"/>
      <c r="Y255" s="1518"/>
      <c r="Z255" s="1518"/>
      <c r="AA255" s="1518"/>
      <c r="AB255" s="1518"/>
      <c r="AC255" s="1518"/>
      <c r="AD255" s="1518"/>
      <c r="AE255" s="1518"/>
      <c r="AH255" s="1536">
        <v>1E-3</v>
      </c>
      <c r="AI255" s="1536"/>
      <c r="AJ255" s="1536"/>
      <c r="AK255" s="1536"/>
      <c r="AL255" s="4"/>
      <c r="AM255" s="4"/>
      <c r="AN255" s="4"/>
      <c r="AO255" s="4"/>
      <c r="AP255" s="4"/>
      <c r="AQ255" s="4"/>
      <c r="AR255" s="4"/>
      <c r="AS255" s="4"/>
      <c r="AT255" s="4"/>
      <c r="BB255" s="4" t="s">
        <v>173</v>
      </c>
      <c r="BG255">
        <v>3</v>
      </c>
      <c r="BH255" t="s">
        <v>536</v>
      </c>
      <c r="BN255" s="34"/>
    </row>
    <row r="256" spans="1:67" ht="12.95" customHeight="1">
      <c r="A256" s="19"/>
      <c r="B256" s="4"/>
      <c r="C256" s="4"/>
      <c r="D256" s="4" t="s">
        <v>88</v>
      </c>
      <c r="E256" s="4"/>
      <c r="F256" s="4"/>
      <c r="M256" s="1385">
        <v>9515386244</v>
      </c>
      <c r="N256" s="1385"/>
      <c r="O256" s="1385"/>
      <c r="P256" s="1385"/>
      <c r="Q256" s="1385"/>
      <c r="R256" s="1385"/>
      <c r="S256" s="4" t="s">
        <v>206</v>
      </c>
      <c r="T256" s="4"/>
      <c r="U256" s="1369"/>
      <c r="V256" s="1369"/>
      <c r="W256" s="1369"/>
      <c r="X256" s="4" t="s">
        <v>89</v>
      </c>
      <c r="Z256" s="1385"/>
      <c r="AA256" s="1385"/>
      <c r="AB256" s="1385"/>
      <c r="AC256" s="1385"/>
      <c r="AD256" s="1385"/>
      <c r="AE256" s="1385"/>
      <c r="AU256" s="4"/>
      <c r="AV256" s="4"/>
      <c r="AW256" s="4"/>
      <c r="AX256" s="4"/>
      <c r="AY256" s="4"/>
      <c r="BG256">
        <v>0</v>
      </c>
      <c r="BH256" s="3" t="str">
        <f>""</f>
        <v/>
      </c>
      <c r="BN256" s="34"/>
    </row>
    <row r="257" spans="1:66" ht="12.95" customHeight="1">
      <c r="A257" s="19"/>
      <c r="B257" s="4"/>
      <c r="C257" s="4"/>
      <c r="D257" s="4" t="s">
        <v>90</v>
      </c>
      <c r="E257" s="4"/>
      <c r="F257" s="4"/>
      <c r="M257" s="1528" t="s">
        <v>2663</v>
      </c>
      <c r="N257" s="1528"/>
      <c r="O257" s="1528"/>
      <c r="P257" s="1528"/>
      <c r="Q257" s="1528"/>
      <c r="R257" s="1528"/>
      <c r="S257" s="1528"/>
      <c r="T257" s="1528"/>
      <c r="U257" s="1528"/>
      <c r="V257" s="1528"/>
      <c r="W257" s="1528"/>
      <c r="X257" s="1528"/>
      <c r="Y257" s="1528"/>
      <c r="Z257" s="1528"/>
      <c r="AA257" s="1528"/>
      <c r="AB257" s="1528"/>
      <c r="AC257" s="1528"/>
      <c r="AD257" s="1528"/>
      <c r="AE257" s="1528"/>
      <c r="AG257" s="4"/>
      <c r="AH257" s="4"/>
      <c r="AI257" s="4"/>
      <c r="AJ257" s="4"/>
      <c r="AK257" s="4"/>
      <c r="AL257" s="4"/>
      <c r="AM257" s="4"/>
      <c r="AN257" s="4"/>
      <c r="AO257" s="4"/>
      <c r="AP257" s="4"/>
      <c r="AQ257" s="4"/>
      <c r="AR257" s="4"/>
      <c r="AS257" s="4"/>
      <c r="AT257" s="4"/>
      <c r="BN257" s="34"/>
    </row>
    <row r="258" spans="1:66" ht="12.95" customHeight="1">
      <c r="A258" s="13"/>
      <c r="B258" s="4"/>
      <c r="C258" s="56"/>
      <c r="D258" s="4" t="s">
        <v>535</v>
      </c>
      <c r="E258" s="4"/>
      <c r="F258" s="4"/>
      <c r="G258" s="4"/>
      <c r="H258" s="4"/>
      <c r="I258" s="4"/>
      <c r="J258" s="4"/>
      <c r="K258" s="4"/>
      <c r="L258" s="4"/>
      <c r="M258" s="1368" t="s">
        <v>534</v>
      </c>
      <c r="N258" s="1368"/>
      <c r="O258" s="1368"/>
      <c r="P258" s="1368"/>
      <c r="Q258" s="1368"/>
      <c r="R258" s="1368"/>
      <c r="S258" s="1368"/>
      <c r="T258" s="1368"/>
      <c r="U258" s="204" t="s">
        <v>906</v>
      </c>
      <c r="V258" s="204"/>
      <c r="W258" s="204"/>
      <c r="X258" s="204"/>
      <c r="Y258" s="204"/>
      <c r="Z258" s="204"/>
      <c r="AA258" s="1558" t="s">
        <v>2658</v>
      </c>
      <c r="AB258" s="1559"/>
      <c r="AC258" s="1559"/>
      <c r="AD258" s="1559"/>
      <c r="AE258" s="1559"/>
      <c r="AF258" s="1559"/>
      <c r="AG258" s="1559"/>
      <c r="AH258" s="1559"/>
      <c r="AI258" s="1559"/>
      <c r="AJ258" s="1559"/>
      <c r="AK258" s="1559"/>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955</v>
      </c>
      <c r="E260" s="4"/>
      <c r="F260" s="4"/>
      <c r="G260" s="4"/>
      <c r="H260" s="4"/>
      <c r="I260" s="4"/>
      <c r="J260" s="4"/>
      <c r="K260" s="4"/>
      <c r="L260" s="4"/>
      <c r="M260" s="1563" t="s">
        <v>2644</v>
      </c>
      <c r="N260" s="1527"/>
      <c r="O260" s="1527"/>
      <c r="P260" s="1527"/>
      <c r="Q260" s="1527"/>
      <c r="R260" s="1527"/>
      <c r="S260" s="1527"/>
      <c r="T260" s="1527"/>
      <c r="U260" s="1527"/>
      <c r="V260" s="1527"/>
      <c r="W260" s="1527"/>
      <c r="X260" s="1527"/>
      <c r="Y260" s="1527"/>
      <c r="Z260" s="1527"/>
      <c r="AA260" s="1527"/>
      <c r="AB260" s="1527"/>
      <c r="AC260" s="1527"/>
      <c r="AD260" s="1527"/>
      <c r="AE260" s="1527"/>
      <c r="AF260" s="1527" t="s">
        <v>2659</v>
      </c>
      <c r="AG260" s="1527"/>
      <c r="AH260" s="1527"/>
      <c r="AI260" s="1527"/>
      <c r="AJ260" s="1527"/>
      <c r="AK260" s="1527"/>
      <c r="AU260" s="4"/>
      <c r="AV260" s="4"/>
      <c r="AW260" s="4"/>
      <c r="AX260" s="4"/>
      <c r="AY260" s="4"/>
      <c r="BN260" s="34"/>
    </row>
    <row r="261" spans="1:66" ht="12.95" customHeight="1">
      <c r="A261" s="19"/>
      <c r="B261" s="4"/>
      <c r="C261" s="4"/>
      <c r="D261" s="4" t="s">
        <v>85</v>
      </c>
      <c r="E261" s="4"/>
      <c r="F261" s="4"/>
      <c r="G261" s="4"/>
      <c r="H261" s="4"/>
      <c r="I261" s="4"/>
      <c r="J261" s="4"/>
      <c r="K261" s="4"/>
      <c r="L261" s="4"/>
      <c r="M261" s="1425" t="s">
        <v>2664</v>
      </c>
      <c r="N261" s="1518"/>
      <c r="O261" s="1518"/>
      <c r="P261" s="1518"/>
      <c r="Q261" s="1518"/>
      <c r="R261" s="1518"/>
      <c r="S261" s="1518"/>
      <c r="T261" s="1518"/>
      <c r="U261" s="1518"/>
      <c r="V261" s="1518"/>
      <c r="W261" s="1518"/>
      <c r="X261" s="1518"/>
      <c r="Y261" s="1518"/>
      <c r="Z261" s="1518"/>
      <c r="AA261" s="1518"/>
      <c r="AB261" s="1518"/>
      <c r="AC261" s="1518"/>
      <c r="AD261" s="1518"/>
      <c r="AE261" s="1518"/>
      <c r="AF261" s="3" t="s">
        <v>1179</v>
      </c>
      <c r="AL261" s="4"/>
      <c r="AM261" s="4"/>
      <c r="AN261" s="4"/>
      <c r="AO261" s="4"/>
      <c r="AP261" s="4"/>
      <c r="AQ261" s="4"/>
      <c r="AR261" s="4"/>
      <c r="AS261" s="4"/>
      <c r="AT261" s="4"/>
      <c r="BN261" s="34"/>
    </row>
    <row r="262" spans="1:66" ht="12.95" customHeight="1">
      <c r="A262" s="19"/>
      <c r="B262" s="4"/>
      <c r="C262" s="4"/>
      <c r="D262" s="4" t="s">
        <v>580</v>
      </c>
      <c r="E262" s="4"/>
      <c r="M262" s="1425" t="s">
        <v>494</v>
      </c>
      <c r="N262" s="1518"/>
      <c r="O262" s="1518"/>
      <c r="P262" s="1518"/>
      <c r="Q262" s="1518"/>
      <c r="R262" s="1518"/>
      <c r="S262" s="1518"/>
      <c r="T262" s="1518"/>
      <c r="V262" s="33" t="s">
        <v>86</v>
      </c>
      <c r="W262" s="1524" t="s">
        <v>2661</v>
      </c>
      <c r="X262" s="1369"/>
      <c r="Y262" s="4" t="s">
        <v>583</v>
      </c>
      <c r="AC262" s="1518">
        <v>90010</v>
      </c>
      <c r="AD262" s="1518"/>
      <c r="AE262" s="1518"/>
      <c r="AF262" s="3" t="s">
        <v>1180</v>
      </c>
      <c r="AU262" s="4"/>
      <c r="AV262" s="4"/>
      <c r="AW262" s="4"/>
      <c r="AX262" s="4"/>
      <c r="AY262" s="4"/>
      <c r="BN262" s="34"/>
    </row>
    <row r="263" spans="1:66" ht="12.95" customHeight="1">
      <c r="A263" s="19"/>
      <c r="B263" s="4"/>
      <c r="C263" s="4"/>
      <c r="D263" s="4" t="s">
        <v>87</v>
      </c>
      <c r="E263" s="4"/>
      <c r="F263" s="4"/>
      <c r="G263" s="4"/>
      <c r="H263" s="4"/>
      <c r="I263" s="4"/>
      <c r="J263" s="4"/>
      <c r="K263" s="4"/>
      <c r="L263" s="19"/>
      <c r="M263" s="1425" t="s">
        <v>2647</v>
      </c>
      <c r="N263" s="1518"/>
      <c r="O263" s="1518"/>
      <c r="P263" s="1518"/>
      <c r="Q263" s="1518"/>
      <c r="R263" s="1518"/>
      <c r="S263" s="1518"/>
      <c r="T263" s="1518"/>
      <c r="U263" s="1518"/>
      <c r="V263" s="1518"/>
      <c r="W263" s="1518"/>
      <c r="X263" s="1518"/>
      <c r="Y263" s="1518"/>
      <c r="Z263" s="1518"/>
      <c r="AA263" s="1518"/>
      <c r="AB263" s="1518"/>
      <c r="AC263" s="1518"/>
      <c r="AD263" s="1518"/>
      <c r="AE263" s="1518"/>
      <c r="AH263" s="1536">
        <v>8.9999999999999993E-3</v>
      </c>
      <c r="AI263" s="1536"/>
      <c r="AJ263" s="1536"/>
      <c r="AK263" s="1536"/>
      <c r="AL263" s="4"/>
      <c r="AM263" s="4"/>
      <c r="AN263" s="4"/>
      <c r="AO263" s="4"/>
      <c r="AP263" s="4"/>
      <c r="AQ263" s="4"/>
      <c r="AR263" s="4"/>
      <c r="AS263" s="4"/>
      <c r="AT263" s="4"/>
    </row>
    <row r="264" spans="1:66" ht="12.95" customHeight="1">
      <c r="A264" s="19"/>
      <c r="B264" s="4"/>
      <c r="C264" s="4"/>
      <c r="D264" s="4" t="s">
        <v>88</v>
      </c>
      <c r="E264" s="4"/>
      <c r="F264" s="4"/>
      <c r="M264" s="1385">
        <v>2133655000</v>
      </c>
      <c r="N264" s="1385"/>
      <c r="O264" s="1385"/>
      <c r="P264" s="1385"/>
      <c r="Q264" s="1385"/>
      <c r="R264" s="1385"/>
      <c r="S264" s="4" t="s">
        <v>206</v>
      </c>
      <c r="T264" s="4"/>
      <c r="U264" s="1369"/>
      <c r="V264" s="1369"/>
      <c r="W264" s="1369"/>
      <c r="X264" s="4" t="s">
        <v>89</v>
      </c>
      <c r="Z264" s="1385"/>
      <c r="AA264" s="1385"/>
      <c r="AB264" s="1385"/>
      <c r="AC264" s="1385"/>
      <c r="AD264" s="1385"/>
      <c r="AE264" s="1385"/>
      <c r="AU264" s="4"/>
      <c r="AV264" s="4"/>
      <c r="AW264" s="4"/>
      <c r="AX264" s="4"/>
      <c r="AY264" s="4"/>
      <c r="BN264" s="34"/>
    </row>
    <row r="265" spans="1:66" ht="12.95" customHeight="1">
      <c r="A265" s="19"/>
      <c r="B265" s="4"/>
      <c r="C265" s="4"/>
      <c r="D265" s="4" t="s">
        <v>90</v>
      </c>
      <c r="E265" s="4"/>
      <c r="F265" s="4"/>
      <c r="M265" s="1528" t="s">
        <v>2665</v>
      </c>
      <c r="N265" s="1528"/>
      <c r="O265" s="1528"/>
      <c r="P265" s="1528"/>
      <c r="Q265" s="1528"/>
      <c r="R265" s="1528"/>
      <c r="S265" s="1528"/>
      <c r="T265" s="1528"/>
      <c r="U265" s="1528"/>
      <c r="V265" s="1528"/>
      <c r="W265" s="1528"/>
      <c r="X265" s="1528"/>
      <c r="Y265" s="1528"/>
      <c r="Z265" s="1528"/>
      <c r="AA265" s="1528"/>
      <c r="AB265" s="1528"/>
      <c r="AC265" s="1528"/>
      <c r="AD265" s="1528"/>
      <c r="AE265" s="1528"/>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535</v>
      </c>
      <c r="E266" s="4"/>
      <c r="F266" s="4"/>
      <c r="G266" s="4"/>
      <c r="H266" s="4"/>
      <c r="I266" s="4"/>
      <c r="J266" s="4"/>
      <c r="K266" s="4"/>
      <c r="L266" s="4"/>
      <c r="M266" s="1368" t="s">
        <v>536</v>
      </c>
      <c r="N266" s="1368"/>
      <c r="O266" s="1368"/>
      <c r="P266" s="1368"/>
      <c r="Q266" s="1368"/>
      <c r="R266" s="1368"/>
      <c r="S266" s="1368"/>
      <c r="T266" s="1368"/>
      <c r="U266" s="204" t="s">
        <v>906</v>
      </c>
      <c r="V266" s="204"/>
      <c r="W266" s="204"/>
      <c r="X266" s="204"/>
      <c r="Y266" s="204"/>
      <c r="Z266" s="204"/>
      <c r="AA266" s="1558" t="s">
        <v>2745</v>
      </c>
      <c r="AB266" s="1559"/>
      <c r="AC266" s="1559"/>
      <c r="AD266" s="1559"/>
      <c r="AE266" s="1559"/>
      <c r="AF266" s="1559"/>
      <c r="AG266" s="1559"/>
      <c r="AH266" s="1559"/>
      <c r="AI266" s="1559"/>
      <c r="AJ266" s="1559"/>
      <c r="AK266" s="1559"/>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876</v>
      </c>
      <c r="D268" s="4" t="s">
        <v>532</v>
      </c>
      <c r="E268" s="4"/>
      <c r="F268" s="4"/>
      <c r="G268" s="4"/>
      <c r="H268" s="4"/>
      <c r="I268" s="4"/>
      <c r="J268" s="4"/>
      <c r="K268" s="4"/>
      <c r="L268" s="4"/>
      <c r="M268" s="1527"/>
      <c r="N268" s="1527"/>
      <c r="O268" s="1527"/>
      <c r="P268" s="1527"/>
      <c r="Q268" s="1527"/>
      <c r="R268" s="1527"/>
      <c r="S268" s="1527"/>
      <c r="T268" s="1527"/>
      <c r="U268" s="1527"/>
      <c r="V268" s="1527"/>
      <c r="W268" s="1527"/>
      <c r="X268" s="1527"/>
      <c r="Y268" s="1527"/>
      <c r="Z268" s="1527"/>
      <c r="AA268" s="1527"/>
      <c r="AB268" s="1527"/>
      <c r="AC268" s="1527"/>
      <c r="AD268" s="1527"/>
      <c r="AE268" s="1527"/>
      <c r="AF268" s="1527" t="s">
        <v>307</v>
      </c>
      <c r="AG268" s="1527"/>
      <c r="AH268" s="1527"/>
      <c r="AI268" s="1527"/>
      <c r="AJ268" s="1527"/>
      <c r="AK268" s="1527"/>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518"/>
      <c r="N269" s="1518"/>
      <c r="O269" s="1518"/>
      <c r="P269" s="1518"/>
      <c r="Q269" s="1518"/>
      <c r="R269" s="1518"/>
      <c r="S269" s="1518"/>
      <c r="T269" s="1518"/>
      <c r="U269" s="1518"/>
      <c r="V269" s="1518"/>
      <c r="W269" s="1518"/>
      <c r="X269" s="1518"/>
      <c r="Y269" s="1518"/>
      <c r="Z269" s="1518"/>
      <c r="AA269" s="1518"/>
      <c r="AB269" s="1518"/>
      <c r="AC269" s="1518"/>
      <c r="AD269" s="1518"/>
      <c r="AE269" s="1518"/>
      <c r="AF269" s="3" t="s">
        <v>1179</v>
      </c>
      <c r="AL269" s="3"/>
      <c r="AM269" s="3"/>
      <c r="AN269" s="3"/>
      <c r="AO269" s="3"/>
      <c r="AP269" s="3"/>
      <c r="AQ269" s="3"/>
      <c r="AR269" s="3"/>
      <c r="AS269" s="3"/>
      <c r="AT269" s="3"/>
      <c r="AU269" s="3"/>
      <c r="AV269" s="3"/>
      <c r="AW269" s="3"/>
      <c r="AX269" s="3"/>
      <c r="AY269" s="3"/>
    </row>
    <row r="270" spans="1:66" ht="12.95" customHeight="1">
      <c r="A270" s="13"/>
      <c r="B270" s="4"/>
      <c r="C270" s="4"/>
      <c r="D270" s="4" t="s">
        <v>580</v>
      </c>
      <c r="E270" s="4"/>
      <c r="M270" s="1518"/>
      <c r="N270" s="1518"/>
      <c r="O270" s="1518"/>
      <c r="P270" s="1518"/>
      <c r="Q270" s="1518"/>
      <c r="R270" s="1518"/>
      <c r="S270" s="1518"/>
      <c r="T270" s="1518"/>
      <c r="V270" s="33" t="s">
        <v>86</v>
      </c>
      <c r="W270" s="1369"/>
      <c r="X270" s="1369"/>
      <c r="Y270" s="4" t="s">
        <v>583</v>
      </c>
      <c r="AC270" s="1518"/>
      <c r="AD270" s="1518"/>
      <c r="AE270" s="1518"/>
      <c r="AF270" s="3" t="s">
        <v>1180</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518"/>
      <c r="N271" s="1518"/>
      <c r="O271" s="1518"/>
      <c r="P271" s="1518"/>
      <c r="Q271" s="1518"/>
      <c r="R271" s="1518"/>
      <c r="S271" s="1518"/>
      <c r="T271" s="1518"/>
      <c r="U271" s="1518"/>
      <c r="V271" s="1518"/>
      <c r="W271" s="1518"/>
      <c r="X271" s="1518"/>
      <c r="Y271" s="1518"/>
      <c r="Z271" s="1518"/>
      <c r="AA271" s="1518"/>
      <c r="AB271" s="1518"/>
      <c r="AC271" s="1518"/>
      <c r="AD271" s="1518"/>
      <c r="AE271" s="1518"/>
      <c r="AH271" s="1536"/>
      <c r="AI271" s="1536"/>
      <c r="AJ271" s="1536"/>
      <c r="AK271" s="1536"/>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385"/>
      <c r="N272" s="1385"/>
      <c r="O272" s="1385"/>
      <c r="P272" s="1385"/>
      <c r="Q272" s="1385"/>
      <c r="R272" s="1385"/>
      <c r="S272" s="4" t="s">
        <v>206</v>
      </c>
      <c r="T272" s="4"/>
      <c r="U272" s="1369"/>
      <c r="V272" s="1369"/>
      <c r="W272" s="1369"/>
      <c r="X272" s="4" t="s">
        <v>89</v>
      </c>
      <c r="Z272" s="1385"/>
      <c r="AA272" s="1385"/>
      <c r="AB272" s="1385"/>
      <c r="AC272" s="1385"/>
      <c r="AD272" s="1385"/>
      <c r="AE272" s="1385"/>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528"/>
      <c r="N273" s="1528"/>
      <c r="O273" s="1528"/>
      <c r="P273" s="1528"/>
      <c r="Q273" s="1528"/>
      <c r="R273" s="1528"/>
      <c r="S273" s="1528"/>
      <c r="T273" s="1528"/>
      <c r="U273" s="1528"/>
      <c r="V273" s="1528"/>
      <c r="W273" s="1528"/>
      <c r="X273" s="1528"/>
      <c r="Y273" s="1528"/>
      <c r="Z273" s="1528"/>
      <c r="AA273" s="1538"/>
      <c r="AB273" s="1538"/>
      <c r="AC273" s="1538"/>
      <c r="AD273" s="1538"/>
      <c r="AE273" s="1538"/>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535</v>
      </c>
      <c r="E274" s="4"/>
      <c r="F274" s="4"/>
      <c r="G274" s="4"/>
      <c r="H274" s="4"/>
      <c r="I274" s="4"/>
      <c r="J274" s="4"/>
      <c r="K274" s="4"/>
      <c r="L274" s="4"/>
      <c r="M274" s="1368" t="s">
        <v>307</v>
      </c>
      <c r="N274" s="1368"/>
      <c r="O274" s="1368"/>
      <c r="P274" s="1368"/>
      <c r="Q274" s="1368"/>
      <c r="R274" s="1368"/>
      <c r="S274" s="1368"/>
      <c r="T274" s="1368"/>
      <c r="U274" s="204" t="s">
        <v>906</v>
      </c>
      <c r="V274" s="204"/>
      <c r="W274" s="204"/>
      <c r="X274" s="204"/>
      <c r="Y274" s="204"/>
      <c r="Z274" s="204"/>
      <c r="AA274" s="1566"/>
      <c r="AB274" s="1566"/>
      <c r="AC274" s="1566"/>
      <c r="AD274" s="1566"/>
      <c r="AE274" s="1566"/>
      <c r="AF274" s="1566"/>
      <c r="AG274" s="1566"/>
      <c r="AH274" s="1566"/>
      <c r="AI274" s="1566"/>
      <c r="AJ274" s="1566"/>
      <c r="AK274" s="1566"/>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590</v>
      </c>
      <c r="B276" s="4"/>
      <c r="C276" s="2" t="s">
        <v>295</v>
      </c>
      <c r="D276" s="4"/>
      <c r="E276" s="4"/>
      <c r="F276" s="4"/>
      <c r="G276" s="4"/>
      <c r="H276" s="4"/>
      <c r="I276" s="4"/>
      <c r="J276" s="4"/>
      <c r="K276" s="4"/>
      <c r="L276" s="4"/>
      <c r="M276" s="35"/>
      <c r="N276" s="35"/>
      <c r="O276" s="35"/>
      <c r="P276" s="35"/>
      <c r="Q276" s="35"/>
      <c r="T276" s="1564" t="str">
        <f>IFERROR(BO254,"")</f>
        <v>Joint Venture</v>
      </c>
      <c r="U276" s="1564"/>
      <c r="V276" s="1564"/>
      <c r="W276" s="1564"/>
      <c r="X276" s="1564"/>
      <c r="Z276" s="307" t="s">
        <v>954</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2.95"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2.95" customHeight="1">
      <c r="A279" s="4"/>
      <c r="B279" s="36">
        <v>0</v>
      </c>
      <c r="D279" s="1518" t="s">
        <v>173</v>
      </c>
      <c r="E279" s="1518"/>
      <c r="F279" s="1518"/>
      <c r="G279" s="1518"/>
      <c r="H279" s="1518"/>
      <c r="J279" t="s">
        <v>279</v>
      </c>
      <c r="X279" s="1537">
        <v>46327</v>
      </c>
      <c r="Y279" s="1537"/>
      <c r="Z279" s="1537"/>
      <c r="AA279" s="1537"/>
      <c r="AB279" s="1537"/>
      <c r="AC279" s="1537"/>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563" t="s">
        <v>2658</v>
      </c>
      <c r="M283" s="1527"/>
      <c r="N283" s="1527"/>
      <c r="O283" s="1527"/>
      <c r="P283" s="1527"/>
      <c r="Q283" s="1527"/>
      <c r="R283" s="1527"/>
      <c r="S283" s="1527"/>
      <c r="T283" s="1527"/>
      <c r="U283" s="1527"/>
      <c r="V283" s="1527"/>
      <c r="W283" s="1527"/>
      <c r="X283" s="1527"/>
      <c r="Y283" s="1527"/>
      <c r="Z283" s="1527"/>
      <c r="AA283" s="1527"/>
      <c r="AB283" s="1527"/>
      <c r="AC283" s="1527"/>
      <c r="AD283" s="1527"/>
      <c r="AE283" s="1527"/>
      <c r="AF283" s="1527"/>
      <c r="AG283" s="1527"/>
      <c r="AH283" s="1527"/>
      <c r="AI283" s="1527"/>
      <c r="AJ283" s="1527"/>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425" t="s">
        <v>2666</v>
      </c>
      <c r="M284" s="1518"/>
      <c r="N284" s="1518"/>
      <c r="O284" s="1518"/>
      <c r="P284" s="1518"/>
      <c r="Q284" s="1518"/>
      <c r="R284" s="1518"/>
      <c r="S284" s="1518"/>
      <c r="T284" s="1518"/>
      <c r="U284" s="1518"/>
      <c r="V284" s="1518"/>
      <c r="W284" s="1518"/>
      <c r="X284" s="1518"/>
      <c r="Y284" s="1518"/>
      <c r="Z284" s="1518"/>
      <c r="AA284" s="1518"/>
      <c r="AB284" s="1518"/>
      <c r="AC284" s="1518"/>
      <c r="AD284" s="1518"/>
      <c r="AK284" s="3"/>
      <c r="AL284" s="3"/>
      <c r="AM284" s="3"/>
      <c r="AN284" s="3"/>
      <c r="AO284" s="3"/>
      <c r="AP284" s="3"/>
      <c r="AQ284" s="3"/>
      <c r="AR284" s="3"/>
      <c r="AS284" s="3"/>
      <c r="AT284" s="3"/>
      <c r="AU284" s="3"/>
      <c r="AV284" s="3"/>
      <c r="AW284" s="3"/>
      <c r="AX284" s="3"/>
      <c r="AY284" s="3"/>
    </row>
    <row r="285" spans="1:51" ht="12.95" customHeight="1">
      <c r="D285" s="4" t="s">
        <v>580</v>
      </c>
      <c r="E285" s="4"/>
      <c r="L285" s="1425" t="s">
        <v>67</v>
      </c>
      <c r="M285" s="1518"/>
      <c r="N285" s="1518"/>
      <c r="O285" s="1518"/>
      <c r="P285" s="1518"/>
      <c r="Q285" s="1518"/>
      <c r="R285" s="1518"/>
      <c r="S285" s="1518"/>
      <c r="U285" s="33" t="s">
        <v>86</v>
      </c>
      <c r="V285" s="1524" t="s">
        <v>2661</v>
      </c>
      <c r="W285" s="1369"/>
      <c r="X285" s="4" t="s">
        <v>583</v>
      </c>
      <c r="AB285" s="1518">
        <v>92507</v>
      </c>
      <c r="AC285" s="1518"/>
      <c r="AD285" s="1518"/>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425" t="s">
        <v>2667</v>
      </c>
      <c r="M286" s="1518"/>
      <c r="N286" s="1518"/>
      <c r="O286" s="1518"/>
      <c r="P286" s="1518"/>
      <c r="Q286" s="1518"/>
      <c r="R286" s="1518"/>
      <c r="S286" s="1518"/>
      <c r="T286" s="1518"/>
      <c r="U286" s="1518"/>
      <c r="V286" s="1518"/>
      <c r="W286" s="1518"/>
      <c r="X286" s="1518"/>
      <c r="Y286" s="1518"/>
      <c r="Z286" s="1518"/>
      <c r="AA286" s="1518"/>
      <c r="AB286" s="1518"/>
      <c r="AC286" s="1518"/>
      <c r="AD286" s="1518"/>
      <c r="AI286" s="4"/>
      <c r="AJ286" s="4"/>
      <c r="AK286" s="3"/>
      <c r="AL286" s="3"/>
      <c r="AM286" s="3"/>
      <c r="AN286" s="3"/>
      <c r="AO286" s="3"/>
      <c r="AP286" s="3"/>
      <c r="AQ286" s="3"/>
      <c r="AR286" s="3"/>
      <c r="AS286" s="3"/>
      <c r="AT286" s="3"/>
    </row>
    <row r="287" spans="1:51" ht="12.95" customHeight="1">
      <c r="D287" s="4" t="s">
        <v>88</v>
      </c>
      <c r="E287" s="4"/>
      <c r="F287" s="4"/>
      <c r="L287" s="1385">
        <v>9515386244</v>
      </c>
      <c r="M287" s="1385"/>
      <c r="N287" s="1385"/>
      <c r="O287" s="1385"/>
      <c r="P287" s="1385"/>
      <c r="Q287" s="1385"/>
      <c r="R287" s="4" t="s">
        <v>206</v>
      </c>
      <c r="S287" s="4"/>
      <c r="T287" s="1369"/>
      <c r="U287" s="1369"/>
      <c r="V287" s="1369"/>
      <c r="W287" s="4" t="s">
        <v>89</v>
      </c>
      <c r="Y287" s="1385"/>
      <c r="Z287" s="1385"/>
      <c r="AA287" s="1385"/>
      <c r="AB287" s="1385"/>
      <c r="AC287" s="1385"/>
      <c r="AD287" s="1385"/>
    </row>
    <row r="288" spans="1:51" ht="12.95" customHeight="1">
      <c r="D288" s="4" t="s">
        <v>90</v>
      </c>
      <c r="E288" s="4"/>
      <c r="F288" s="4"/>
      <c r="L288" s="1528" t="s">
        <v>2663</v>
      </c>
      <c r="M288" s="1528"/>
      <c r="N288" s="1528"/>
      <c r="O288" s="1528"/>
      <c r="P288" s="1528"/>
      <c r="Q288" s="1528"/>
      <c r="R288" s="1528"/>
      <c r="S288" s="1528"/>
      <c r="T288" s="1528"/>
      <c r="U288" s="1528"/>
      <c r="V288" s="1528"/>
      <c r="W288" s="1528"/>
      <c r="X288" s="1528"/>
      <c r="Y288" s="1528"/>
      <c r="Z288" s="1528"/>
      <c r="AA288" s="1528"/>
      <c r="AB288" s="1528"/>
      <c r="AC288" s="1528"/>
      <c r="AD288" s="1528"/>
      <c r="AF288" s="4"/>
      <c r="AG288" s="4"/>
      <c r="AH288" s="4"/>
      <c r="AI288" s="4"/>
      <c r="AJ288" s="4"/>
      <c r="AU288" s="3"/>
      <c r="AV288" s="3"/>
      <c r="AW288" s="3"/>
      <c r="AX288" s="3"/>
      <c r="AY288" s="3"/>
    </row>
    <row r="289" spans="1:51" ht="12.95" customHeight="1">
      <c r="D289" s="3" t="s">
        <v>623</v>
      </c>
      <c r="E289" s="3"/>
      <c r="F289" s="3"/>
      <c r="G289" s="3"/>
      <c r="H289" s="3"/>
      <c r="I289" s="3"/>
      <c r="L289" s="1524" t="s">
        <v>2746</v>
      </c>
      <c r="M289" s="1524"/>
      <c r="N289" s="1524"/>
      <c r="O289" s="1524"/>
      <c r="P289" s="1524"/>
      <c r="Q289" s="1524"/>
      <c r="R289" s="1524"/>
      <c r="S289" s="1524"/>
      <c r="T289" s="1524"/>
      <c r="U289" s="1524"/>
      <c r="V289" s="1524"/>
      <c r="W289" s="1524"/>
      <c r="X289" s="1524"/>
      <c r="Y289" s="1524"/>
      <c r="Z289" s="1524"/>
      <c r="AA289" s="1524"/>
      <c r="AB289" s="1524"/>
      <c r="AC289" s="1524"/>
      <c r="AD289" s="1524"/>
      <c r="AK289" s="3"/>
      <c r="AL289" s="3"/>
      <c r="AM289" s="3"/>
      <c r="AN289" s="3"/>
      <c r="AO289" s="3"/>
      <c r="AP289" s="3"/>
      <c r="AQ289" s="3"/>
      <c r="AR289" s="3"/>
      <c r="AS289" s="3"/>
      <c r="AT289" s="3"/>
    </row>
    <row r="290" spans="1:51" ht="12.95" customHeight="1">
      <c r="L290" s="22" t="s">
        <v>624</v>
      </c>
      <c r="AU290" s="95"/>
      <c r="AV290" s="95"/>
      <c r="AW290" s="95"/>
      <c r="AX290" s="95"/>
      <c r="AY290" s="95"/>
    </row>
    <row r="291" spans="1:51" ht="12.95" customHeight="1">
      <c r="A291" s="1532" t="s">
        <v>541</v>
      </c>
      <c r="B291" s="1532"/>
      <c r="C291" s="1532"/>
      <c r="D291" s="1532"/>
      <c r="E291" s="1532"/>
      <c r="F291" s="1532"/>
      <c r="G291" s="1532"/>
      <c r="H291" s="1532"/>
      <c r="I291" s="1532"/>
      <c r="J291" s="1532"/>
      <c r="K291" s="1532"/>
      <c r="L291" s="1532"/>
      <c r="M291" s="1532"/>
      <c r="N291" s="1532"/>
      <c r="O291" s="1532"/>
      <c r="P291" s="1532"/>
      <c r="Q291" s="1532"/>
      <c r="R291" s="1532"/>
      <c r="S291" s="1532"/>
      <c r="T291" s="1532"/>
      <c r="U291" s="1532"/>
      <c r="V291" s="1532"/>
      <c r="W291" s="1532"/>
      <c r="X291" s="1532"/>
      <c r="Y291" s="1532"/>
      <c r="Z291" s="1532"/>
      <c r="AA291" s="1532"/>
      <c r="AB291" s="1532"/>
      <c r="AC291" s="1532"/>
      <c r="AD291" s="1532"/>
      <c r="AE291" s="1532"/>
      <c r="AF291" s="1532"/>
      <c r="AG291" s="1532"/>
      <c r="AH291" s="1532"/>
      <c r="AI291" s="1532"/>
      <c r="AJ291" s="1532"/>
      <c r="AK291" s="1532"/>
      <c r="AL291" s="1532"/>
      <c r="AM291" s="1532"/>
      <c r="AN291" s="1532"/>
      <c r="AO291" s="1532"/>
      <c r="AP291" s="1532"/>
      <c r="AQ291" s="1532"/>
      <c r="AR291" s="1532"/>
      <c r="AS291" s="1532"/>
      <c r="AT291" s="1532"/>
      <c r="AU291" s="95"/>
      <c r="AV291" s="95"/>
      <c r="AW291" s="95"/>
      <c r="AX291" s="95"/>
      <c r="AY291" s="95"/>
    </row>
    <row r="292" spans="1:51" ht="12.95" customHeight="1">
      <c r="A292" s="1532"/>
      <c r="B292" s="1532"/>
      <c r="C292" s="1532"/>
      <c r="D292" s="1532"/>
      <c r="E292" s="1532"/>
      <c r="F292" s="1532"/>
      <c r="G292" s="1532"/>
      <c r="H292" s="1532"/>
      <c r="I292" s="1532"/>
      <c r="J292" s="1532"/>
      <c r="K292" s="1532"/>
      <c r="L292" s="1532"/>
      <c r="M292" s="1532"/>
      <c r="N292" s="1532"/>
      <c r="O292" s="1532"/>
      <c r="P292" s="1532"/>
      <c r="Q292" s="1532"/>
      <c r="R292" s="1532"/>
      <c r="S292" s="1532"/>
      <c r="T292" s="1532"/>
      <c r="U292" s="1532"/>
      <c r="V292" s="1532"/>
      <c r="W292" s="1532"/>
      <c r="X292" s="1532"/>
      <c r="Y292" s="1532"/>
      <c r="Z292" s="1532"/>
      <c r="AA292" s="1532"/>
      <c r="AB292" s="1532"/>
      <c r="AC292" s="1532"/>
      <c r="AD292" s="1532"/>
      <c r="AE292" s="1532"/>
      <c r="AF292" s="1532"/>
      <c r="AG292" s="1532"/>
      <c r="AH292" s="1532"/>
      <c r="AI292" s="1532"/>
      <c r="AJ292" s="1532"/>
      <c r="AK292" s="1532"/>
      <c r="AL292" s="1532"/>
      <c r="AM292" s="1532"/>
      <c r="AN292" s="1532"/>
      <c r="AO292" s="1532"/>
      <c r="AP292" s="1532"/>
      <c r="AQ292" s="1532"/>
      <c r="AR292" s="1532"/>
      <c r="AS292" s="1532"/>
      <c r="AT292" s="1532"/>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626</v>
      </c>
      <c r="C296" s="3"/>
      <c r="D296" s="3"/>
      <c r="E296" s="3"/>
      <c r="F296" s="3"/>
      <c r="H296" s="1426" t="s">
        <v>2644</v>
      </c>
      <c r="I296" s="1426"/>
      <c r="J296" s="1426"/>
      <c r="K296" s="1426"/>
      <c r="L296" s="1426"/>
      <c r="M296" s="1426"/>
      <c r="N296" s="1426"/>
      <c r="O296" s="1426"/>
      <c r="P296" s="1426"/>
      <c r="Q296" s="1426"/>
      <c r="R296" s="1426"/>
      <c r="T296" s="3" t="s">
        <v>567</v>
      </c>
      <c r="V296" s="3"/>
      <c r="W296" s="3"/>
      <c r="X296" s="3"/>
      <c r="Y296" s="3"/>
      <c r="AA296" s="1425" t="s">
        <v>2685</v>
      </c>
      <c r="AB296" s="1426"/>
      <c r="AC296" s="1426"/>
      <c r="AD296" s="1426"/>
      <c r="AE296" s="1426"/>
      <c r="AF296" s="1426"/>
      <c r="AG296" s="1426"/>
      <c r="AH296" s="1426"/>
      <c r="AI296" s="1426"/>
      <c r="AJ296" s="1426"/>
      <c r="AK296" s="1426"/>
    </row>
    <row r="297" spans="1:51" ht="12.95" customHeight="1">
      <c r="B297" s="3" t="s">
        <v>471</v>
      </c>
      <c r="C297" s="3"/>
      <c r="D297" s="3"/>
      <c r="E297" s="3"/>
      <c r="F297" s="3"/>
      <c r="H297" s="1524" t="s">
        <v>2664</v>
      </c>
      <c r="I297" s="1368"/>
      <c r="J297" s="1368"/>
      <c r="K297" s="1368"/>
      <c r="L297" s="1368"/>
      <c r="M297" s="1368"/>
      <c r="N297" s="1368"/>
      <c r="O297" s="1368"/>
      <c r="P297" s="1368"/>
      <c r="Q297" s="1368"/>
      <c r="R297" s="1368"/>
      <c r="T297" s="3" t="s">
        <v>471</v>
      </c>
      <c r="V297" s="3"/>
      <c r="W297" s="3"/>
      <c r="X297" s="3"/>
      <c r="Y297" s="3"/>
      <c r="AA297" s="1524" t="s">
        <v>2686</v>
      </c>
      <c r="AB297" s="1368"/>
      <c r="AC297" s="1368"/>
      <c r="AD297" s="1368"/>
      <c r="AE297" s="1368"/>
      <c r="AF297" s="1368"/>
      <c r="AG297" s="1368"/>
      <c r="AH297" s="1368"/>
      <c r="AI297" s="1368"/>
      <c r="AJ297" s="1368"/>
      <c r="AK297" s="1368"/>
    </row>
    <row r="298" spans="1:51" ht="12.95" customHeight="1">
      <c r="B298" s="3" t="s">
        <v>472</v>
      </c>
      <c r="C298" s="3"/>
      <c r="D298" s="3"/>
      <c r="E298" s="3"/>
      <c r="F298" s="3"/>
      <c r="H298" s="1524" t="s">
        <v>2668</v>
      </c>
      <c r="I298" s="1368"/>
      <c r="J298" s="1368"/>
      <c r="K298" s="1368"/>
      <c r="L298" s="1368"/>
      <c r="M298" s="1368"/>
      <c r="N298" s="1368"/>
      <c r="O298" s="1368"/>
      <c r="P298" s="1368"/>
      <c r="Q298" s="1368"/>
      <c r="R298" s="1368"/>
      <c r="T298" s="3" t="s">
        <v>75</v>
      </c>
      <c r="V298" s="3"/>
      <c r="W298" s="3"/>
      <c r="X298" s="3"/>
      <c r="Y298" s="3"/>
      <c r="AA298" s="1524" t="s">
        <v>2687</v>
      </c>
      <c r="AB298" s="1368"/>
      <c r="AC298" s="1368"/>
      <c r="AD298" s="1368"/>
      <c r="AE298" s="1368"/>
      <c r="AF298" s="1368"/>
      <c r="AG298" s="1368"/>
      <c r="AH298" s="1368"/>
      <c r="AI298" s="1368"/>
      <c r="AJ298" s="1368"/>
      <c r="AK298" s="1368"/>
    </row>
    <row r="299" spans="1:51" ht="12.95" customHeight="1">
      <c r="B299" s="3" t="s">
        <v>87</v>
      </c>
      <c r="C299" s="3"/>
      <c r="D299" s="3"/>
      <c r="E299" s="3"/>
      <c r="F299" s="3"/>
      <c r="H299" s="1524" t="s">
        <v>2647</v>
      </c>
      <c r="I299" s="1368"/>
      <c r="J299" s="1368"/>
      <c r="K299" s="1368"/>
      <c r="L299" s="1368"/>
      <c r="M299" s="1368"/>
      <c r="N299" s="1368"/>
      <c r="O299" s="1368"/>
      <c r="P299" s="1368"/>
      <c r="Q299" s="1368"/>
      <c r="R299" s="1368"/>
      <c r="T299" s="3" t="s">
        <v>87</v>
      </c>
      <c r="V299" s="3"/>
      <c r="W299" s="3"/>
      <c r="X299" s="3"/>
      <c r="Y299" s="3"/>
      <c r="AA299" s="1524" t="s">
        <v>2759</v>
      </c>
      <c r="AB299" s="1368"/>
      <c r="AC299" s="1368"/>
      <c r="AD299" s="1368"/>
      <c r="AE299" s="1368"/>
      <c r="AF299" s="1368"/>
      <c r="AG299" s="1368"/>
      <c r="AH299" s="1368"/>
      <c r="AI299" s="1368"/>
      <c r="AJ299" s="1368"/>
      <c r="AK299" s="1368"/>
    </row>
    <row r="300" spans="1:51" ht="12.95" customHeight="1">
      <c r="B300" s="3" t="s">
        <v>88</v>
      </c>
      <c r="C300" s="3"/>
      <c r="D300" s="3"/>
      <c r="E300" s="3"/>
      <c r="F300" s="3"/>
      <c r="G300" s="3"/>
      <c r="H300" s="1565">
        <v>2133655000</v>
      </c>
      <c r="I300" s="1565"/>
      <c r="J300" s="1565"/>
      <c r="K300" s="1565"/>
      <c r="L300" s="1565"/>
      <c r="M300" s="1565"/>
      <c r="N300" s="4" t="s">
        <v>206</v>
      </c>
      <c r="O300" s="4"/>
      <c r="P300" s="1518"/>
      <c r="Q300" s="1518"/>
      <c r="R300" s="1518"/>
      <c r="S300" s="3"/>
      <c r="T300" s="3" t="s">
        <v>88</v>
      </c>
      <c r="V300" s="3"/>
      <c r="W300" s="3"/>
      <c r="X300" s="3"/>
      <c r="Y300" s="3"/>
      <c r="AA300" s="1549" t="s">
        <v>2688</v>
      </c>
      <c r="AB300" s="1565"/>
      <c r="AC300" s="1565"/>
      <c r="AD300" s="1565"/>
      <c r="AE300" s="1565"/>
      <c r="AF300" s="1565"/>
      <c r="AG300" s="4" t="s">
        <v>206</v>
      </c>
      <c r="AH300" s="4"/>
      <c r="AI300" s="1518"/>
      <c r="AJ300" s="1518"/>
      <c r="AK300" s="1518"/>
    </row>
    <row r="301" spans="1:51" ht="12.95" customHeight="1">
      <c r="B301" s="3" t="s">
        <v>89</v>
      </c>
      <c r="C301" s="3"/>
      <c r="D301" s="3"/>
      <c r="E301" s="3"/>
      <c r="F301" s="3"/>
      <c r="G301" s="3"/>
      <c r="H301" s="1384" t="s">
        <v>2699</v>
      </c>
      <c r="I301" s="1385"/>
      <c r="J301" s="1385"/>
      <c r="K301" s="1385"/>
      <c r="L301" s="1385"/>
      <c r="M301" s="1385"/>
      <c r="N301" s="4"/>
      <c r="O301" s="4"/>
      <c r="P301" s="35"/>
      <c r="Q301" s="35"/>
      <c r="R301" s="35"/>
      <c r="S301" s="3"/>
      <c r="T301" s="3" t="s">
        <v>89</v>
      </c>
      <c r="V301" s="3"/>
      <c r="W301" s="3"/>
      <c r="X301" s="3"/>
      <c r="Y301" s="3"/>
      <c r="AA301" s="1384" t="s">
        <v>2699</v>
      </c>
      <c r="AB301" s="1385"/>
      <c r="AC301" s="1385"/>
      <c r="AD301" s="1385"/>
      <c r="AE301" s="1385"/>
      <c r="AF301" s="1385"/>
      <c r="AG301" s="4"/>
      <c r="AH301" s="4"/>
      <c r="AI301" s="35"/>
      <c r="AJ301" s="35"/>
      <c r="AK301" s="35"/>
    </row>
    <row r="302" spans="1:51" ht="12.95" customHeight="1">
      <c r="B302" s="3" t="s">
        <v>76</v>
      </c>
      <c r="C302" s="3"/>
      <c r="D302" s="3"/>
      <c r="E302" s="3"/>
      <c r="F302" s="3"/>
      <c r="G302" s="3"/>
      <c r="H302" s="1368" t="s">
        <v>2665</v>
      </c>
      <c r="I302" s="1368"/>
      <c r="J302" s="1368"/>
      <c r="K302" s="1368"/>
      <c r="L302" s="1368"/>
      <c r="M302" s="1368"/>
      <c r="N302" s="1426"/>
      <c r="O302" s="1426"/>
      <c r="P302" s="1426"/>
      <c r="Q302" s="1426"/>
      <c r="R302" s="1426"/>
      <c r="S302" s="3"/>
      <c r="T302" s="3" t="s">
        <v>76</v>
      </c>
      <c r="V302" s="3"/>
      <c r="W302" s="3"/>
      <c r="X302" s="3"/>
      <c r="Y302" s="3"/>
      <c r="AA302" s="1524" t="s">
        <v>2758</v>
      </c>
      <c r="AB302" s="1368"/>
      <c r="AC302" s="1368"/>
      <c r="AD302" s="1368"/>
      <c r="AE302" s="1368"/>
      <c r="AF302" s="1368"/>
      <c r="AG302" s="1426"/>
      <c r="AH302" s="1426"/>
      <c r="AI302" s="1426"/>
      <c r="AJ302" s="1426"/>
      <c r="AK302" s="1426"/>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425" t="s">
        <v>2689</v>
      </c>
      <c r="I304" s="1426"/>
      <c r="J304" s="1426"/>
      <c r="K304" s="1426"/>
      <c r="L304" s="1426"/>
      <c r="M304" s="1426"/>
      <c r="N304" s="1426"/>
      <c r="O304" s="1426"/>
      <c r="P304" s="1426"/>
      <c r="Q304" s="1426"/>
      <c r="R304" s="1426"/>
      <c r="T304" s="3" t="s">
        <v>364</v>
      </c>
      <c r="V304" s="3"/>
      <c r="W304" s="3"/>
      <c r="X304" s="3"/>
      <c r="Y304" s="3"/>
      <c r="AA304" s="1426" t="s">
        <v>2695</v>
      </c>
      <c r="AB304" s="1426"/>
      <c r="AC304" s="1426"/>
      <c r="AD304" s="1426"/>
      <c r="AE304" s="1426"/>
      <c r="AF304" s="1426"/>
      <c r="AG304" s="1426"/>
      <c r="AH304" s="1426"/>
      <c r="AI304" s="1426"/>
      <c r="AJ304" s="1426"/>
      <c r="AK304" s="1426"/>
    </row>
    <row r="305" spans="2:72" ht="12.95" customHeight="1">
      <c r="B305" s="3" t="s">
        <v>471</v>
      </c>
      <c r="C305" s="3"/>
      <c r="D305" s="3"/>
      <c r="E305" s="3"/>
      <c r="F305" s="3"/>
      <c r="H305" s="1368" t="s">
        <v>2690</v>
      </c>
      <c r="I305" s="1368"/>
      <c r="J305" s="1368"/>
      <c r="K305" s="1368"/>
      <c r="L305" s="1368"/>
      <c r="M305" s="1368"/>
      <c r="N305" s="1368"/>
      <c r="O305" s="1368"/>
      <c r="P305" s="1368"/>
      <c r="Q305" s="1368"/>
      <c r="R305" s="1368"/>
      <c r="T305" s="3" t="s">
        <v>471</v>
      </c>
      <c r="V305" s="3"/>
      <c r="W305" s="3"/>
      <c r="X305" s="3"/>
      <c r="Y305" s="3"/>
      <c r="AA305" s="1368" t="s">
        <v>2696</v>
      </c>
      <c r="AB305" s="1368"/>
      <c r="AC305" s="1368"/>
      <c r="AD305" s="1368"/>
      <c r="AE305" s="1368"/>
      <c r="AF305" s="1368"/>
      <c r="AG305" s="1368"/>
      <c r="AH305" s="1368"/>
      <c r="AI305" s="1368"/>
      <c r="AJ305" s="1368"/>
      <c r="AK305" s="1368"/>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472</v>
      </c>
      <c r="C306" s="3"/>
      <c r="D306" s="3"/>
      <c r="E306" s="3"/>
      <c r="F306" s="3"/>
      <c r="H306" s="1368" t="s">
        <v>2668</v>
      </c>
      <c r="I306" s="1368"/>
      <c r="J306" s="1368"/>
      <c r="K306" s="1368"/>
      <c r="L306" s="1368"/>
      <c r="M306" s="1368"/>
      <c r="N306" s="1368"/>
      <c r="O306" s="1368"/>
      <c r="P306" s="1368"/>
      <c r="Q306" s="1368"/>
      <c r="R306" s="1368"/>
      <c r="T306" s="3" t="s">
        <v>75</v>
      </c>
      <c r="V306" s="3"/>
      <c r="W306" s="3"/>
      <c r="X306" s="3"/>
      <c r="Y306" s="3"/>
      <c r="AA306" s="1368" t="s">
        <v>2668</v>
      </c>
      <c r="AB306" s="1368"/>
      <c r="AC306" s="1368"/>
      <c r="AD306" s="1368"/>
      <c r="AE306" s="1368"/>
      <c r="AF306" s="1368"/>
      <c r="AG306" s="1368"/>
      <c r="AH306" s="1368"/>
      <c r="AI306" s="1368"/>
      <c r="AJ306" s="1368"/>
      <c r="AK306" s="1368"/>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368" t="s">
        <v>2691</v>
      </c>
      <c r="I307" s="1368"/>
      <c r="J307" s="1368"/>
      <c r="K307" s="1368"/>
      <c r="L307" s="1368"/>
      <c r="M307" s="1368"/>
      <c r="N307" s="1368"/>
      <c r="O307" s="1368"/>
      <c r="P307" s="1368"/>
      <c r="Q307" s="1368"/>
      <c r="R307" s="1368"/>
      <c r="T307" s="3" t="s">
        <v>87</v>
      </c>
      <c r="V307" s="3"/>
      <c r="W307" s="3"/>
      <c r="X307" s="3"/>
      <c r="Y307" s="3"/>
      <c r="AA307" s="1368" t="s">
        <v>2697</v>
      </c>
      <c r="AB307" s="1368"/>
      <c r="AC307" s="1368"/>
      <c r="AD307" s="1368"/>
      <c r="AE307" s="1368"/>
      <c r="AF307" s="1368"/>
      <c r="AG307" s="1368"/>
      <c r="AH307" s="1368"/>
      <c r="AI307" s="1368"/>
      <c r="AJ307" s="1368"/>
      <c r="AK307" s="1368"/>
    </row>
    <row r="308" spans="2:72" ht="12.95" customHeight="1">
      <c r="B308" s="3" t="s">
        <v>88</v>
      </c>
      <c r="C308" s="3"/>
      <c r="D308" s="3"/>
      <c r="E308" s="3"/>
      <c r="F308" s="3"/>
      <c r="G308" s="3"/>
      <c r="H308" s="1549" t="s">
        <v>2692</v>
      </c>
      <c r="I308" s="1565"/>
      <c r="J308" s="1565"/>
      <c r="K308" s="1565"/>
      <c r="L308" s="1565"/>
      <c r="M308" s="1565"/>
      <c r="N308" s="4" t="s">
        <v>206</v>
      </c>
      <c r="O308" s="4"/>
      <c r="P308" s="1518"/>
      <c r="Q308" s="1518"/>
      <c r="R308" s="1518"/>
      <c r="S308" s="3"/>
      <c r="T308" s="3" t="s">
        <v>88</v>
      </c>
      <c r="V308" s="3"/>
      <c r="W308" s="3"/>
      <c r="X308" s="3"/>
      <c r="Y308" s="3"/>
      <c r="AA308" s="1549" t="s">
        <v>2698</v>
      </c>
      <c r="AB308" s="1565"/>
      <c r="AC308" s="1565"/>
      <c r="AD308" s="1565"/>
      <c r="AE308" s="1565"/>
      <c r="AF308" s="1565"/>
      <c r="AG308" s="4" t="s">
        <v>206</v>
      </c>
      <c r="AH308" s="4"/>
      <c r="AI308" s="1518"/>
      <c r="AJ308" s="1518"/>
      <c r="AK308" s="1518"/>
    </row>
    <row r="309" spans="2:72" ht="12.95" customHeight="1">
      <c r="B309" s="3" t="s">
        <v>89</v>
      </c>
      <c r="C309" s="3"/>
      <c r="D309" s="3"/>
      <c r="E309" s="3"/>
      <c r="F309" s="3"/>
      <c r="G309" s="3"/>
      <c r="H309" s="1384" t="s">
        <v>2693</v>
      </c>
      <c r="I309" s="1385"/>
      <c r="J309" s="1385"/>
      <c r="K309" s="1385"/>
      <c r="L309" s="1385"/>
      <c r="M309" s="1385"/>
      <c r="N309" s="4"/>
      <c r="O309" s="4"/>
      <c r="P309" s="35"/>
      <c r="Q309" s="35"/>
      <c r="R309" s="35"/>
      <c r="S309" s="3"/>
      <c r="T309" s="3" t="s">
        <v>89</v>
      </c>
      <c r="V309" s="3"/>
      <c r="W309" s="3"/>
      <c r="X309" s="3"/>
      <c r="Y309" s="3"/>
      <c r="AA309" s="1384" t="s">
        <v>2699</v>
      </c>
      <c r="AB309" s="1385"/>
      <c r="AC309" s="1385"/>
      <c r="AD309" s="1385"/>
      <c r="AE309" s="1385"/>
      <c r="AF309" s="1385"/>
      <c r="AG309" s="4"/>
      <c r="AH309" s="4"/>
      <c r="AI309" s="35"/>
      <c r="AJ309" s="35"/>
      <c r="AK309" s="35"/>
    </row>
    <row r="310" spans="2:72" ht="12.95" customHeight="1">
      <c r="B310" s="3" t="s">
        <v>76</v>
      </c>
      <c r="C310" s="3"/>
      <c r="D310" s="3"/>
      <c r="E310" s="3"/>
      <c r="F310" s="3"/>
      <c r="G310" s="3"/>
      <c r="H310" s="1368" t="s">
        <v>2694</v>
      </c>
      <c r="I310" s="1368"/>
      <c r="J310" s="1368"/>
      <c r="K310" s="1368"/>
      <c r="L310" s="1368"/>
      <c r="M310" s="1368"/>
      <c r="N310" s="1426"/>
      <c r="O310" s="1426"/>
      <c r="P310" s="1426"/>
      <c r="Q310" s="1426"/>
      <c r="R310" s="1426"/>
      <c r="S310" s="3"/>
      <c r="T310" s="3" t="s">
        <v>76</v>
      </c>
      <c r="V310" s="3"/>
      <c r="W310" s="3"/>
      <c r="X310" s="3"/>
      <c r="Y310" s="3"/>
      <c r="AA310" s="1368" t="s">
        <v>2700</v>
      </c>
      <c r="AB310" s="1368"/>
      <c r="AC310" s="1368"/>
      <c r="AD310" s="1368"/>
      <c r="AE310" s="1368"/>
      <c r="AF310" s="1368"/>
      <c r="AG310" s="1426"/>
      <c r="AH310" s="1426"/>
      <c r="AI310" s="1426"/>
      <c r="AJ310" s="1426"/>
      <c r="AK310" s="1426"/>
    </row>
    <row r="311" spans="2:72" ht="12.95" customHeight="1"/>
    <row r="312" spans="2:72" ht="12.95" customHeight="1">
      <c r="B312" s="3" t="s">
        <v>77</v>
      </c>
      <c r="C312" s="3"/>
      <c r="D312" s="3"/>
      <c r="E312" s="3"/>
      <c r="F312" s="3"/>
      <c r="H312" s="1426" t="s">
        <v>2701</v>
      </c>
      <c r="I312" s="1426"/>
      <c r="J312" s="1426"/>
      <c r="K312" s="1426"/>
      <c r="L312" s="1426"/>
      <c r="M312" s="1426"/>
      <c r="N312" s="1426"/>
      <c r="O312" s="1426"/>
      <c r="P312" s="1426"/>
      <c r="Q312" s="1426"/>
      <c r="R312" s="1426"/>
      <c r="T312" s="4" t="s">
        <v>878</v>
      </c>
      <c r="V312" s="3"/>
      <c r="W312" s="3"/>
      <c r="X312" s="3"/>
      <c r="Y312" s="3"/>
      <c r="AA312" s="1426"/>
      <c r="AB312" s="1426"/>
      <c r="AC312" s="1426"/>
      <c r="AD312" s="1426"/>
      <c r="AE312" s="1426"/>
      <c r="AF312" s="1426"/>
      <c r="AG312" s="1426"/>
      <c r="AH312" s="1426"/>
      <c r="AI312" s="1426"/>
      <c r="AJ312" s="1426"/>
      <c r="AK312" s="1426"/>
    </row>
    <row r="313" spans="2:72" ht="12.95" customHeight="1">
      <c r="B313" s="3" t="s">
        <v>471</v>
      </c>
      <c r="C313" s="3"/>
      <c r="D313" s="3"/>
      <c r="E313" s="3"/>
      <c r="F313" s="3"/>
      <c r="H313" s="1368" t="s">
        <v>2702</v>
      </c>
      <c r="I313" s="1368"/>
      <c r="J313" s="1368"/>
      <c r="K313" s="1368"/>
      <c r="L313" s="1368"/>
      <c r="M313" s="1368"/>
      <c r="N313" s="1368"/>
      <c r="O313" s="1368"/>
      <c r="P313" s="1368"/>
      <c r="Q313" s="1368"/>
      <c r="R313" s="1368"/>
      <c r="T313" s="3" t="s">
        <v>471</v>
      </c>
      <c r="V313" s="3"/>
      <c r="W313" s="3"/>
      <c r="X313" s="3"/>
      <c r="Y313" s="3"/>
      <c r="AA313" s="1368"/>
      <c r="AB313" s="1368"/>
      <c r="AC313" s="1368"/>
      <c r="AD313" s="1368"/>
      <c r="AE313" s="1368"/>
      <c r="AF313" s="1368"/>
      <c r="AG313" s="1368"/>
      <c r="AH313" s="1368"/>
      <c r="AI313" s="1368"/>
      <c r="AJ313" s="1368"/>
      <c r="AK313" s="1368"/>
    </row>
    <row r="314" spans="2:72" ht="12.95" customHeight="1">
      <c r="B314" s="3" t="s">
        <v>472</v>
      </c>
      <c r="C314" s="3"/>
      <c r="D314" s="3"/>
      <c r="E314" s="3"/>
      <c r="F314" s="3"/>
      <c r="H314" s="1368" t="s">
        <v>2703</v>
      </c>
      <c r="I314" s="1368"/>
      <c r="J314" s="1368"/>
      <c r="K314" s="1368"/>
      <c r="L314" s="1368"/>
      <c r="M314" s="1368"/>
      <c r="N314" s="1368"/>
      <c r="O314" s="1368"/>
      <c r="P314" s="1368"/>
      <c r="Q314" s="1368"/>
      <c r="R314" s="1368"/>
      <c r="T314" s="3" t="s">
        <v>75</v>
      </c>
      <c r="V314" s="3"/>
      <c r="W314" s="3"/>
      <c r="X314" s="3"/>
      <c r="Y314" s="3"/>
      <c r="AA314" s="1368"/>
      <c r="AB314" s="1368"/>
      <c r="AC314" s="1368"/>
      <c r="AD314" s="1368"/>
      <c r="AE314" s="1368"/>
      <c r="AF314" s="1368"/>
      <c r="AG314" s="1368"/>
      <c r="AH314" s="1368"/>
      <c r="AI314" s="1368"/>
      <c r="AJ314" s="1368"/>
      <c r="AK314" s="1368"/>
    </row>
    <row r="315" spans="2:72" ht="12.95" customHeight="1">
      <c r="B315" s="3" t="s">
        <v>87</v>
      </c>
      <c r="C315" s="3"/>
      <c r="D315" s="3"/>
      <c r="E315" s="3"/>
      <c r="F315" s="3"/>
      <c r="H315" s="1368" t="s">
        <v>2704</v>
      </c>
      <c r="I315" s="1368"/>
      <c r="J315" s="1368"/>
      <c r="K315" s="1368"/>
      <c r="L315" s="1368"/>
      <c r="M315" s="1368"/>
      <c r="N315" s="1368"/>
      <c r="O315" s="1368"/>
      <c r="P315" s="1368"/>
      <c r="Q315" s="1368"/>
      <c r="R315" s="1368"/>
      <c r="T315" s="3" t="s">
        <v>87</v>
      </c>
      <c r="V315" s="3"/>
      <c r="W315" s="3"/>
      <c r="X315" s="3"/>
      <c r="Y315" s="3"/>
      <c r="AA315" s="1368"/>
      <c r="AB315" s="1368"/>
      <c r="AC315" s="1368"/>
      <c r="AD315" s="1368"/>
      <c r="AE315" s="1368"/>
      <c r="AF315" s="1368"/>
      <c r="AG315" s="1368"/>
      <c r="AH315" s="1368"/>
      <c r="AI315" s="1368"/>
      <c r="AJ315" s="1368"/>
      <c r="AK315" s="1368"/>
    </row>
    <row r="316" spans="2:72" ht="12.95" customHeight="1">
      <c r="B316" s="3" t="s">
        <v>88</v>
      </c>
      <c r="C316" s="3"/>
      <c r="D316" s="3"/>
      <c r="E316" s="3"/>
      <c r="F316" s="3"/>
      <c r="G316" s="3"/>
      <c r="H316" s="1565">
        <v>2132398048</v>
      </c>
      <c r="I316" s="1565"/>
      <c r="J316" s="1565"/>
      <c r="K316" s="1565"/>
      <c r="L316" s="1565"/>
      <c r="M316" s="1565"/>
      <c r="N316" s="4" t="s">
        <v>206</v>
      </c>
      <c r="O316" s="4"/>
      <c r="P316" s="1518"/>
      <c r="Q316" s="1518"/>
      <c r="R316" s="1518"/>
      <c r="S316" s="3"/>
      <c r="T316" s="3" t="s">
        <v>88</v>
      </c>
      <c r="V316" s="3"/>
      <c r="W316" s="3"/>
      <c r="X316" s="3"/>
      <c r="Y316" s="3"/>
      <c r="AA316" s="1565"/>
      <c r="AB316" s="1565"/>
      <c r="AC316" s="1565"/>
      <c r="AD316" s="1565"/>
      <c r="AE316" s="1565"/>
      <c r="AF316" s="1565"/>
      <c r="AG316" s="4" t="s">
        <v>206</v>
      </c>
      <c r="AH316" s="4"/>
      <c r="AI316" s="1518"/>
      <c r="AJ316" s="1518"/>
      <c r="AK316" s="1518"/>
    </row>
    <row r="317" spans="2:72" ht="12.95" customHeight="1">
      <c r="B317" s="3" t="s">
        <v>89</v>
      </c>
      <c r="C317" s="3"/>
      <c r="D317" s="3"/>
      <c r="E317" s="3"/>
      <c r="F317" s="3"/>
      <c r="G317" s="3"/>
      <c r="H317" s="1385" t="s">
        <v>2699</v>
      </c>
      <c r="I317" s="1385"/>
      <c r="J317" s="1385"/>
      <c r="K317" s="1385"/>
      <c r="L317" s="1385"/>
      <c r="M317" s="1385"/>
      <c r="N317" s="4"/>
      <c r="O317" s="4"/>
      <c r="P317" s="35"/>
      <c r="Q317" s="35"/>
      <c r="R317" s="35"/>
      <c r="S317" s="3"/>
      <c r="T317" s="3" t="s">
        <v>89</v>
      </c>
      <c r="V317" s="3"/>
      <c r="W317" s="3"/>
      <c r="X317" s="3"/>
      <c r="Y317" s="3"/>
      <c r="AA317" s="1385"/>
      <c r="AB317" s="1385"/>
      <c r="AC317" s="1385"/>
      <c r="AD317" s="1385"/>
      <c r="AE317" s="1385"/>
      <c r="AF317" s="1385"/>
      <c r="AG317" s="4"/>
      <c r="AH317" s="4"/>
      <c r="AI317" s="35"/>
      <c r="AJ317" s="35"/>
      <c r="AK317" s="35"/>
    </row>
    <row r="318" spans="2:72" ht="12.95" customHeight="1">
      <c r="B318" s="3" t="s">
        <v>76</v>
      </c>
      <c r="C318" s="3"/>
      <c r="D318" s="3"/>
      <c r="E318" s="3"/>
      <c r="F318" s="3"/>
      <c r="G318" s="3"/>
      <c r="H318" s="1368" t="s">
        <v>2705</v>
      </c>
      <c r="I318" s="1368"/>
      <c r="J318" s="1368"/>
      <c r="K318" s="1368"/>
      <c r="L318" s="1368"/>
      <c r="M318" s="1368"/>
      <c r="N318" s="1426"/>
      <c r="O318" s="1426"/>
      <c r="P318" s="1426"/>
      <c r="Q318" s="1426"/>
      <c r="R318" s="1426"/>
      <c r="S318" s="3"/>
      <c r="T318" s="3" t="s">
        <v>76</v>
      </c>
      <c r="V318" s="3"/>
      <c r="W318" s="3"/>
      <c r="X318" s="3"/>
      <c r="Y318" s="3"/>
      <c r="AA318" s="1368"/>
      <c r="AB318" s="1368"/>
      <c r="AC318" s="1368"/>
      <c r="AD318" s="1368"/>
      <c r="AE318" s="1368"/>
      <c r="AF318" s="1368"/>
      <c r="AG318" s="1426"/>
      <c r="AH318" s="1426"/>
      <c r="AI318" s="1426"/>
      <c r="AJ318" s="1426"/>
      <c r="AK318" s="1426"/>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907</v>
      </c>
      <c r="C320" s="3"/>
      <c r="D320" s="3"/>
      <c r="E320" s="3"/>
      <c r="F320" s="3"/>
      <c r="H320" s="1426" t="s">
        <v>2706</v>
      </c>
      <c r="I320" s="1426"/>
      <c r="J320" s="1426"/>
      <c r="K320" s="1426"/>
      <c r="L320" s="1426"/>
      <c r="M320" s="1426"/>
      <c r="N320" s="1426"/>
      <c r="O320" s="1426"/>
      <c r="P320" s="1426"/>
      <c r="Q320" s="1426"/>
      <c r="R320" s="1426"/>
      <c r="S320" s="3"/>
      <c r="T320" s="3" t="s">
        <v>365</v>
      </c>
      <c r="V320" s="3"/>
      <c r="W320" s="3"/>
      <c r="X320" s="3"/>
      <c r="Y320" s="3"/>
      <c r="AA320" s="1425" t="s">
        <v>2748</v>
      </c>
      <c r="AB320" s="1426"/>
      <c r="AC320" s="1426"/>
      <c r="AD320" s="1426"/>
      <c r="AE320" s="1426"/>
      <c r="AF320" s="1426"/>
      <c r="AG320" s="1426"/>
      <c r="AH320" s="1426"/>
      <c r="AI320" s="1426"/>
      <c r="AJ320" s="1426"/>
      <c r="AK320" s="1426"/>
    </row>
    <row r="321" spans="2:37" ht="12.95" customHeight="1">
      <c r="B321" s="3" t="s">
        <v>471</v>
      </c>
      <c r="C321" s="3"/>
      <c r="D321" s="3"/>
      <c r="E321" s="3"/>
      <c r="F321" s="3"/>
      <c r="H321" s="1368" t="s">
        <v>2707</v>
      </c>
      <c r="I321" s="1368"/>
      <c r="J321" s="1368"/>
      <c r="K321" s="1368"/>
      <c r="L321" s="1368"/>
      <c r="M321" s="1368"/>
      <c r="N321" s="1368"/>
      <c r="O321" s="1368"/>
      <c r="P321" s="1368"/>
      <c r="Q321" s="1368"/>
      <c r="R321" s="1368"/>
      <c r="S321" s="3"/>
      <c r="T321" s="3" t="s">
        <v>471</v>
      </c>
      <c r="V321" s="3"/>
      <c r="W321" s="3"/>
      <c r="X321" s="3"/>
      <c r="Y321" s="3"/>
      <c r="AA321" s="1368" t="s">
        <v>2749</v>
      </c>
      <c r="AB321" s="1368"/>
      <c r="AC321" s="1368"/>
      <c r="AD321" s="1368"/>
      <c r="AE321" s="1368"/>
      <c r="AF321" s="1368"/>
      <c r="AG321" s="1368"/>
      <c r="AH321" s="1368"/>
      <c r="AI321" s="1368"/>
      <c r="AJ321" s="1368"/>
      <c r="AK321" s="1368"/>
    </row>
    <row r="322" spans="2:37" ht="12.95" customHeight="1">
      <c r="B322" s="3" t="s">
        <v>472</v>
      </c>
      <c r="C322" s="3"/>
      <c r="D322" s="3"/>
      <c r="E322" s="3"/>
      <c r="F322" s="3"/>
      <c r="H322" s="1368" t="s">
        <v>2708</v>
      </c>
      <c r="I322" s="1368"/>
      <c r="J322" s="1368"/>
      <c r="K322" s="1368"/>
      <c r="L322" s="1368"/>
      <c r="M322" s="1368"/>
      <c r="N322" s="1368"/>
      <c r="O322" s="1368"/>
      <c r="P322" s="1368"/>
      <c r="Q322" s="1368"/>
      <c r="R322" s="1368"/>
      <c r="S322" s="3"/>
      <c r="T322" s="3" t="s">
        <v>75</v>
      </c>
      <c r="V322" s="3"/>
      <c r="W322" s="3"/>
      <c r="X322" s="3"/>
      <c r="Y322" s="3"/>
      <c r="AA322" s="1368" t="s">
        <v>2750</v>
      </c>
      <c r="AB322" s="1368"/>
      <c r="AC322" s="1368"/>
      <c r="AD322" s="1368"/>
      <c r="AE322" s="1368"/>
      <c r="AF322" s="1368"/>
      <c r="AG322" s="1368"/>
      <c r="AH322" s="1368"/>
      <c r="AI322" s="1368"/>
      <c r="AJ322" s="1368"/>
      <c r="AK322" s="1368"/>
    </row>
    <row r="323" spans="2:37" ht="12.95" customHeight="1">
      <c r="B323" s="3" t="s">
        <v>87</v>
      </c>
      <c r="C323" s="3"/>
      <c r="D323" s="3"/>
      <c r="E323" s="3"/>
      <c r="F323" s="3"/>
      <c r="H323" s="1368" t="s">
        <v>2709</v>
      </c>
      <c r="I323" s="1368"/>
      <c r="J323" s="1368"/>
      <c r="K323" s="1368"/>
      <c r="L323" s="1368"/>
      <c r="M323" s="1368"/>
      <c r="N323" s="1368"/>
      <c r="O323" s="1368"/>
      <c r="P323" s="1368"/>
      <c r="Q323" s="1368"/>
      <c r="R323" s="1368"/>
      <c r="S323" s="3"/>
      <c r="T323" s="3" t="s">
        <v>87</v>
      </c>
      <c r="V323" s="3"/>
      <c r="W323" s="3"/>
      <c r="X323" s="3"/>
      <c r="Y323" s="3"/>
      <c r="AA323" s="1368" t="s">
        <v>2751</v>
      </c>
      <c r="AB323" s="1368"/>
      <c r="AC323" s="1368"/>
      <c r="AD323" s="1368"/>
      <c r="AE323" s="1368"/>
      <c r="AF323" s="1368"/>
      <c r="AG323" s="1368"/>
      <c r="AH323" s="1368"/>
      <c r="AI323" s="1368"/>
      <c r="AJ323" s="1368"/>
      <c r="AK323" s="1368"/>
    </row>
    <row r="324" spans="2:37" ht="12.95" customHeight="1">
      <c r="B324" s="3" t="s">
        <v>88</v>
      </c>
      <c r="C324" s="3"/>
      <c r="D324" s="3"/>
      <c r="E324" s="3"/>
      <c r="F324" s="3"/>
      <c r="G324" s="3"/>
      <c r="H324" s="1565" t="s">
        <v>2710</v>
      </c>
      <c r="I324" s="1565"/>
      <c r="J324" s="1565"/>
      <c r="K324" s="1565"/>
      <c r="L324" s="1565"/>
      <c r="M324" s="1565"/>
      <c r="N324" s="4" t="s">
        <v>206</v>
      </c>
      <c r="O324" s="4"/>
      <c r="P324" s="1518"/>
      <c r="Q324" s="1518"/>
      <c r="R324" s="1518"/>
      <c r="S324" s="3"/>
      <c r="T324" s="3" t="s">
        <v>88</v>
      </c>
      <c r="V324" s="3"/>
      <c r="W324" s="3"/>
      <c r="X324" s="3"/>
      <c r="Y324" s="3"/>
      <c r="AA324" s="1565" t="s">
        <v>2752</v>
      </c>
      <c r="AB324" s="1565"/>
      <c r="AC324" s="1565"/>
      <c r="AD324" s="1565"/>
      <c r="AE324" s="1565"/>
      <c r="AF324" s="1565"/>
      <c r="AG324" s="4" t="s">
        <v>206</v>
      </c>
      <c r="AH324" s="4"/>
      <c r="AI324" s="1518"/>
      <c r="AJ324" s="1518"/>
      <c r="AK324" s="1518"/>
    </row>
    <row r="325" spans="2:37" ht="12.95" customHeight="1">
      <c r="B325" s="3" t="s">
        <v>89</v>
      </c>
      <c r="C325" s="3"/>
      <c r="D325" s="3"/>
      <c r="E325" s="3"/>
      <c r="F325" s="3"/>
      <c r="G325" s="3"/>
      <c r="H325" s="1385" t="s">
        <v>2699</v>
      </c>
      <c r="I325" s="1385"/>
      <c r="J325" s="1385"/>
      <c r="K325" s="1385"/>
      <c r="L325" s="1385"/>
      <c r="M325" s="1385"/>
      <c r="N325" s="4"/>
      <c r="O325" s="4"/>
      <c r="P325" s="35"/>
      <c r="Q325" s="35"/>
      <c r="R325" s="35"/>
      <c r="S325" s="3"/>
      <c r="T325" s="3" t="s">
        <v>89</v>
      </c>
      <c r="V325" s="3"/>
      <c r="W325" s="3"/>
      <c r="X325" s="3"/>
      <c r="Y325" s="3"/>
      <c r="AA325" s="1384" t="s">
        <v>2699</v>
      </c>
      <c r="AB325" s="1385"/>
      <c r="AC325" s="1385"/>
      <c r="AD325" s="1385"/>
      <c r="AE325" s="1385"/>
      <c r="AF325" s="1385"/>
      <c r="AG325" s="4"/>
      <c r="AH325" s="4"/>
      <c r="AI325" s="35"/>
      <c r="AJ325" s="35"/>
      <c r="AK325" s="35"/>
    </row>
    <row r="326" spans="2:37" ht="12.95" customHeight="1">
      <c r="B326" s="3" t="s">
        <v>76</v>
      </c>
      <c r="C326" s="3"/>
      <c r="D326" s="3"/>
      <c r="E326" s="3"/>
      <c r="F326" s="3"/>
      <c r="G326" s="3"/>
      <c r="H326" s="1368" t="s">
        <v>2711</v>
      </c>
      <c r="I326" s="1368"/>
      <c r="J326" s="1368"/>
      <c r="K326" s="1368"/>
      <c r="L326" s="1368"/>
      <c r="M326" s="1368"/>
      <c r="N326" s="1426"/>
      <c r="O326" s="1426"/>
      <c r="P326" s="1426"/>
      <c r="Q326" s="1426"/>
      <c r="R326" s="1426"/>
      <c r="S326" s="3"/>
      <c r="T326" s="3" t="s">
        <v>76</v>
      </c>
      <c r="V326" s="3"/>
      <c r="W326" s="3"/>
      <c r="X326" s="3"/>
      <c r="Y326" s="3"/>
      <c r="AA326" s="1524" t="s">
        <v>2753</v>
      </c>
      <c r="AB326" s="1368"/>
      <c r="AC326" s="1368"/>
      <c r="AD326" s="1368"/>
      <c r="AE326" s="1368"/>
      <c r="AF326" s="1368"/>
      <c r="AG326" s="1426"/>
      <c r="AH326" s="1426"/>
      <c r="AI326" s="1426"/>
      <c r="AJ326" s="1426"/>
      <c r="AK326" s="1426"/>
    </row>
    <row r="327" spans="2:37" ht="12.95" customHeight="1"/>
    <row r="328" spans="2:37" ht="12.95" customHeight="1">
      <c r="B328" s="4" t="s">
        <v>908</v>
      </c>
      <c r="C328" s="3"/>
      <c r="D328" s="3"/>
      <c r="E328" s="3"/>
      <c r="F328" s="3"/>
      <c r="H328" s="1425" t="s">
        <v>2658</v>
      </c>
      <c r="I328" s="1426"/>
      <c r="J328" s="1426"/>
      <c r="K328" s="1426"/>
      <c r="L328" s="1426"/>
      <c r="M328" s="1426"/>
      <c r="N328" s="1426"/>
      <c r="O328" s="1426"/>
      <c r="P328" s="1426"/>
      <c r="Q328" s="1426"/>
      <c r="R328" s="1426"/>
      <c r="T328" s="3" t="s">
        <v>366</v>
      </c>
      <c r="V328" s="3"/>
      <c r="W328" s="3"/>
      <c r="X328" s="3"/>
      <c r="Y328" s="3"/>
      <c r="AA328" s="1426" t="s">
        <v>2728</v>
      </c>
      <c r="AB328" s="1426"/>
      <c r="AC328" s="1426"/>
      <c r="AD328" s="1426"/>
      <c r="AE328" s="1426"/>
      <c r="AF328" s="1426"/>
      <c r="AG328" s="1426"/>
      <c r="AH328" s="1426"/>
      <c r="AI328" s="1426"/>
      <c r="AJ328" s="1426"/>
      <c r="AK328" s="1426"/>
    </row>
    <row r="329" spans="2:37" ht="12.95" customHeight="1">
      <c r="B329" s="3" t="s">
        <v>471</v>
      </c>
      <c r="C329" s="3"/>
      <c r="D329" s="3"/>
      <c r="E329" s="3"/>
      <c r="F329" s="3"/>
      <c r="H329" s="1524" t="s">
        <v>2666</v>
      </c>
      <c r="I329" s="1368"/>
      <c r="J329" s="1368"/>
      <c r="K329" s="1368"/>
      <c r="L329" s="1368"/>
      <c r="M329" s="1368"/>
      <c r="N329" s="1368"/>
      <c r="O329" s="1368"/>
      <c r="P329" s="1368"/>
      <c r="Q329" s="1368"/>
      <c r="R329" s="1368"/>
      <c r="T329" s="3" t="s">
        <v>471</v>
      </c>
      <c r="V329" s="3"/>
      <c r="W329" s="3"/>
      <c r="X329" s="3"/>
      <c r="Y329" s="3"/>
      <c r="AA329" s="1368" t="s">
        <v>2729</v>
      </c>
      <c r="AB329" s="1368"/>
      <c r="AC329" s="1368"/>
      <c r="AD329" s="1368"/>
      <c r="AE329" s="1368"/>
      <c r="AF329" s="1368"/>
      <c r="AG329" s="1368"/>
      <c r="AH329" s="1368"/>
      <c r="AI329" s="1368"/>
      <c r="AJ329" s="1368"/>
      <c r="AK329" s="1368"/>
    </row>
    <row r="330" spans="2:37" ht="12.95" customHeight="1">
      <c r="B330" s="3" t="s">
        <v>472</v>
      </c>
      <c r="C330" s="3"/>
      <c r="D330" s="3"/>
      <c r="E330" s="3"/>
      <c r="F330" s="3"/>
      <c r="H330" s="1524" t="s">
        <v>2669</v>
      </c>
      <c r="I330" s="1368"/>
      <c r="J330" s="1368"/>
      <c r="K330" s="1368"/>
      <c r="L330" s="1368"/>
      <c r="M330" s="1368"/>
      <c r="N330" s="1368"/>
      <c r="O330" s="1368"/>
      <c r="P330" s="1368"/>
      <c r="Q330" s="1368"/>
      <c r="R330" s="1368"/>
      <c r="T330" s="3" t="s">
        <v>75</v>
      </c>
      <c r="V330" s="3"/>
      <c r="W330" s="3"/>
      <c r="X330" s="3"/>
      <c r="Y330" s="3"/>
      <c r="AA330" s="1368" t="s">
        <v>2731</v>
      </c>
      <c r="AB330" s="1368"/>
      <c r="AC330" s="1368"/>
      <c r="AD330" s="1368"/>
      <c r="AE330" s="1368"/>
      <c r="AF330" s="1368"/>
      <c r="AG330" s="1368"/>
      <c r="AH330" s="1368"/>
      <c r="AI330" s="1368"/>
      <c r="AJ330" s="1368"/>
      <c r="AK330" s="1368"/>
    </row>
    <row r="331" spans="2:37" ht="12.95" customHeight="1">
      <c r="B331" s="3" t="s">
        <v>87</v>
      </c>
      <c r="C331" s="3"/>
      <c r="D331" s="3"/>
      <c r="E331" s="3"/>
      <c r="F331" s="3"/>
      <c r="H331" s="1524" t="s">
        <v>2662</v>
      </c>
      <c r="I331" s="1368"/>
      <c r="J331" s="1368"/>
      <c r="K331" s="1368"/>
      <c r="L331" s="1368"/>
      <c r="M331" s="1368"/>
      <c r="N331" s="1368"/>
      <c r="O331" s="1368"/>
      <c r="P331" s="1368"/>
      <c r="Q331" s="1368"/>
      <c r="R331" s="1368"/>
      <c r="T331" s="3" t="s">
        <v>87</v>
      </c>
      <c r="V331" s="3"/>
      <c r="W331" s="3"/>
      <c r="X331" s="3"/>
      <c r="Y331" s="3"/>
      <c r="AA331" s="1524" t="s">
        <v>2754</v>
      </c>
      <c r="AB331" s="1368"/>
      <c r="AC331" s="1368"/>
      <c r="AD331" s="1368"/>
      <c r="AE331" s="1368"/>
      <c r="AF331" s="1368"/>
      <c r="AG331" s="1368"/>
      <c r="AH331" s="1368"/>
      <c r="AI331" s="1368"/>
      <c r="AJ331" s="1368"/>
      <c r="AK331" s="1368"/>
    </row>
    <row r="332" spans="2:37" ht="12.95" customHeight="1">
      <c r="B332" s="3" t="s">
        <v>88</v>
      </c>
      <c r="C332" s="3"/>
      <c r="D332" s="3"/>
      <c r="E332" s="3"/>
      <c r="F332" s="3"/>
      <c r="G332" s="3"/>
      <c r="H332" s="1565">
        <v>9515386244</v>
      </c>
      <c r="I332" s="1565"/>
      <c r="J332" s="1565"/>
      <c r="K332" s="1565"/>
      <c r="L332" s="1565"/>
      <c r="M332" s="1565"/>
      <c r="N332" s="4" t="s">
        <v>206</v>
      </c>
      <c r="O332" s="4"/>
      <c r="P332" s="1518"/>
      <c r="Q332" s="1518"/>
      <c r="R332" s="1518"/>
      <c r="S332" s="3"/>
      <c r="T332" s="3" t="s">
        <v>88</v>
      </c>
      <c r="V332" s="3"/>
      <c r="W332" s="3"/>
      <c r="X332" s="3"/>
      <c r="Y332" s="3"/>
      <c r="AA332" s="1549" t="s">
        <v>2730</v>
      </c>
      <c r="AB332" s="1565"/>
      <c r="AC332" s="1565"/>
      <c r="AD332" s="1565"/>
      <c r="AE332" s="1565"/>
      <c r="AF332" s="1565"/>
      <c r="AG332" s="4" t="s">
        <v>206</v>
      </c>
      <c r="AH332" s="4"/>
      <c r="AI332" s="1518"/>
      <c r="AJ332" s="1518"/>
      <c r="AK332" s="1518"/>
    </row>
    <row r="333" spans="2:37" ht="12.95" customHeight="1">
      <c r="B333" s="3" t="s">
        <v>89</v>
      </c>
      <c r="C333" s="3"/>
      <c r="D333" s="3"/>
      <c r="E333" s="3"/>
      <c r="F333" s="3"/>
      <c r="G333" s="3"/>
      <c r="H333" s="1384" t="s">
        <v>591</v>
      </c>
      <c r="I333" s="1385"/>
      <c r="J333" s="1385"/>
      <c r="K333" s="1385"/>
      <c r="L333" s="1385"/>
      <c r="M333" s="1385"/>
      <c r="N333" s="4"/>
      <c r="O333" s="4"/>
      <c r="P333" s="35"/>
      <c r="Q333" s="35"/>
      <c r="R333" s="35"/>
      <c r="S333" s="3"/>
      <c r="T333" s="3" t="s">
        <v>89</v>
      </c>
      <c r="V333" s="3"/>
      <c r="W333" s="3"/>
      <c r="X333" s="3"/>
      <c r="Y333" s="3"/>
      <c r="AA333" s="1384" t="s">
        <v>2699</v>
      </c>
      <c r="AB333" s="1385"/>
      <c r="AC333" s="1385"/>
      <c r="AD333" s="1385"/>
      <c r="AE333" s="1385"/>
      <c r="AF333" s="1385"/>
      <c r="AG333" s="4"/>
      <c r="AH333" s="4"/>
      <c r="AI333" s="35"/>
      <c r="AJ333" s="35"/>
      <c r="AK333" s="35"/>
    </row>
    <row r="334" spans="2:37" ht="12.95" customHeight="1">
      <c r="B334" s="3" t="s">
        <v>76</v>
      </c>
      <c r="C334" s="3"/>
      <c r="D334" s="3"/>
      <c r="E334" s="3"/>
      <c r="F334" s="3"/>
      <c r="G334" s="3"/>
      <c r="H334" s="1524" t="s">
        <v>2663</v>
      </c>
      <c r="I334" s="1368"/>
      <c r="J334" s="1368"/>
      <c r="K334" s="1368"/>
      <c r="L334" s="1368"/>
      <c r="M334" s="1368"/>
      <c r="N334" s="1426"/>
      <c r="O334" s="1426"/>
      <c r="P334" s="1426"/>
      <c r="Q334" s="1426"/>
      <c r="R334" s="1426"/>
      <c r="S334" s="3"/>
      <c r="T334" s="3" t="s">
        <v>76</v>
      </c>
      <c r="V334" s="3"/>
      <c r="W334" s="3"/>
      <c r="X334" s="3"/>
      <c r="Y334" s="3"/>
      <c r="AA334" s="1524" t="s">
        <v>2755</v>
      </c>
      <c r="AB334" s="1368"/>
      <c r="AC334" s="1368"/>
      <c r="AD334" s="1368"/>
      <c r="AE334" s="1368"/>
      <c r="AF334" s="1368"/>
      <c r="AG334" s="1426"/>
      <c r="AH334" s="1426"/>
      <c r="AI334" s="1426"/>
      <c r="AJ334" s="1426"/>
      <c r="AK334" s="1426"/>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426" t="s">
        <v>2712</v>
      </c>
      <c r="I336" s="1426"/>
      <c r="J336" s="1426"/>
      <c r="K336" s="1426"/>
      <c r="L336" s="1426"/>
      <c r="M336" s="1426"/>
      <c r="N336" s="1426"/>
      <c r="O336" s="1426"/>
      <c r="P336" s="1426"/>
      <c r="Q336" s="1426"/>
      <c r="R336" s="1426"/>
      <c r="T336" s="3" t="s">
        <v>368</v>
      </c>
      <c r="V336" s="3"/>
      <c r="W336" s="3"/>
      <c r="X336" s="3"/>
      <c r="Y336" s="3"/>
      <c r="AA336" s="1425" t="s">
        <v>2699</v>
      </c>
      <c r="AB336" s="1426"/>
      <c r="AC336" s="1426"/>
      <c r="AD336" s="1426"/>
      <c r="AE336" s="1426"/>
      <c r="AF336" s="1426"/>
      <c r="AG336" s="1426"/>
      <c r="AH336" s="1426"/>
      <c r="AI336" s="1426"/>
      <c r="AJ336" s="1426"/>
      <c r="AK336" s="1426"/>
    </row>
    <row r="337" spans="2:66" ht="12.95" customHeight="1">
      <c r="B337" s="3" t="s">
        <v>471</v>
      </c>
      <c r="C337" s="3"/>
      <c r="D337" s="3"/>
      <c r="E337" s="3"/>
      <c r="F337" s="3"/>
      <c r="H337" s="1368" t="s">
        <v>2713</v>
      </c>
      <c r="I337" s="1368"/>
      <c r="J337" s="1368"/>
      <c r="K337" s="1368"/>
      <c r="L337" s="1368"/>
      <c r="M337" s="1368"/>
      <c r="N337" s="1368"/>
      <c r="O337" s="1368"/>
      <c r="P337" s="1368"/>
      <c r="Q337" s="1368"/>
      <c r="R337" s="1368"/>
      <c r="T337" s="3" t="s">
        <v>471</v>
      </c>
      <c r="V337" s="3"/>
      <c r="W337" s="3"/>
      <c r="X337" s="3"/>
      <c r="Y337" s="3"/>
      <c r="AA337" s="1368"/>
      <c r="AB337" s="1368"/>
      <c r="AC337" s="1368"/>
      <c r="AD337" s="1368"/>
      <c r="AE337" s="1368"/>
      <c r="AF337" s="1368"/>
      <c r="AG337" s="1368"/>
      <c r="AH337" s="1368"/>
      <c r="AI337" s="1368"/>
      <c r="AJ337" s="1368"/>
      <c r="AK337" s="1368"/>
    </row>
    <row r="338" spans="2:66" ht="12.95" customHeight="1">
      <c r="B338" s="3" t="s">
        <v>472</v>
      </c>
      <c r="C338" s="3"/>
      <c r="D338" s="3"/>
      <c r="E338" s="3"/>
      <c r="F338" s="3"/>
      <c r="H338" s="1368" t="s">
        <v>2703</v>
      </c>
      <c r="I338" s="1368"/>
      <c r="J338" s="1368"/>
      <c r="K338" s="1368"/>
      <c r="L338" s="1368"/>
      <c r="M338" s="1368"/>
      <c r="N338" s="1368"/>
      <c r="O338" s="1368"/>
      <c r="P338" s="1368"/>
      <c r="Q338" s="1368"/>
      <c r="R338" s="1368"/>
      <c r="T338" s="3" t="s">
        <v>75</v>
      </c>
      <c r="V338" s="3"/>
      <c r="W338" s="3"/>
      <c r="X338" s="3"/>
      <c r="Y338" s="3"/>
      <c r="AA338" s="1368"/>
      <c r="AB338" s="1368"/>
      <c r="AC338" s="1368"/>
      <c r="AD338" s="1368"/>
      <c r="AE338" s="1368"/>
      <c r="AF338" s="1368"/>
      <c r="AG338" s="1368"/>
      <c r="AH338" s="1368"/>
      <c r="AI338" s="1368"/>
      <c r="AJ338" s="1368"/>
      <c r="AK338" s="1368"/>
    </row>
    <row r="339" spans="2:66" ht="12.95" customHeight="1">
      <c r="B339" s="3" t="s">
        <v>87</v>
      </c>
      <c r="C339" s="3"/>
      <c r="D339" s="3"/>
      <c r="E339" s="3"/>
      <c r="F339" s="3"/>
      <c r="H339" s="1368" t="s">
        <v>2714</v>
      </c>
      <c r="I339" s="1368"/>
      <c r="J339" s="1368"/>
      <c r="K339" s="1368"/>
      <c r="L339" s="1368"/>
      <c r="M339" s="1368"/>
      <c r="N339" s="1368"/>
      <c r="O339" s="1368"/>
      <c r="P339" s="1368"/>
      <c r="Q339" s="1368"/>
      <c r="R339" s="1368"/>
      <c r="T339" s="3" t="s">
        <v>87</v>
      </c>
      <c r="V339" s="3"/>
      <c r="W339" s="3"/>
      <c r="X339" s="3"/>
      <c r="Y339" s="3"/>
      <c r="AA339" s="1368"/>
      <c r="AB339" s="1368"/>
      <c r="AC339" s="1368"/>
      <c r="AD339" s="1368"/>
      <c r="AE339" s="1368"/>
      <c r="AF339" s="1368"/>
      <c r="AG339" s="1368"/>
      <c r="AH339" s="1368"/>
      <c r="AI339" s="1368"/>
      <c r="AJ339" s="1368"/>
      <c r="AK339" s="1368"/>
    </row>
    <row r="340" spans="2:66" ht="12.95" customHeight="1">
      <c r="B340" s="3" t="s">
        <v>88</v>
      </c>
      <c r="C340" s="3"/>
      <c r="D340" s="3"/>
      <c r="E340" s="3"/>
      <c r="F340" s="3"/>
      <c r="G340" s="3"/>
      <c r="H340" s="1565">
        <v>2134211400</v>
      </c>
      <c r="I340" s="1565"/>
      <c r="J340" s="1565"/>
      <c r="K340" s="1565"/>
      <c r="L340" s="1565"/>
      <c r="M340" s="1565"/>
      <c r="N340" s="4" t="s">
        <v>206</v>
      </c>
      <c r="O340" s="4"/>
      <c r="P340" s="1518"/>
      <c r="Q340" s="1518"/>
      <c r="R340" s="1518"/>
      <c r="S340" s="3"/>
      <c r="T340" s="3" t="s">
        <v>88</v>
      </c>
      <c r="V340" s="3"/>
      <c r="W340" s="3"/>
      <c r="X340" s="3"/>
      <c r="Y340" s="3"/>
      <c r="AA340" s="1565"/>
      <c r="AB340" s="1565"/>
      <c r="AC340" s="1565"/>
      <c r="AD340" s="1565"/>
      <c r="AE340" s="1565"/>
      <c r="AF340" s="1565"/>
      <c r="AG340" s="4" t="s">
        <v>206</v>
      </c>
      <c r="AH340" s="4"/>
      <c r="AI340" s="1518"/>
      <c r="AJ340" s="1518"/>
      <c r="AK340" s="1518"/>
    </row>
    <row r="341" spans="2:66" ht="12.95" customHeight="1">
      <c r="B341" s="3" t="s">
        <v>89</v>
      </c>
      <c r="C341" s="3"/>
      <c r="D341" s="3"/>
      <c r="E341" s="3"/>
      <c r="F341" s="3"/>
      <c r="G341" s="3"/>
      <c r="H341" s="1385" t="s">
        <v>2699</v>
      </c>
      <c r="I341" s="1385"/>
      <c r="J341" s="1385"/>
      <c r="K341" s="1385"/>
      <c r="L341" s="1385"/>
      <c r="M341" s="1385"/>
      <c r="N341" s="4"/>
      <c r="O341" s="4"/>
      <c r="P341" s="35"/>
      <c r="Q341" s="35"/>
      <c r="R341" s="35"/>
      <c r="S341" s="3"/>
      <c r="T341" s="3" t="s">
        <v>89</v>
      </c>
      <c r="V341" s="3"/>
      <c r="W341" s="3"/>
      <c r="X341" s="3"/>
      <c r="Y341" s="3"/>
      <c r="AA341" s="1385"/>
      <c r="AB341" s="1385"/>
      <c r="AC341" s="1385"/>
      <c r="AD341" s="1385"/>
      <c r="AE341" s="1385"/>
      <c r="AF341" s="1385"/>
      <c r="AG341" s="4"/>
      <c r="AH341" s="4"/>
      <c r="AI341" s="35"/>
      <c r="AJ341" s="35"/>
      <c r="AK341" s="35"/>
    </row>
    <row r="342" spans="2:66" ht="12.95" customHeight="1">
      <c r="B342" s="3" t="s">
        <v>76</v>
      </c>
      <c r="C342" s="3"/>
      <c r="D342" s="3"/>
      <c r="E342" s="3"/>
      <c r="F342" s="3"/>
      <c r="G342" s="3"/>
      <c r="H342" s="1368" t="s">
        <v>2715</v>
      </c>
      <c r="I342" s="1368"/>
      <c r="J342" s="1368"/>
      <c r="K342" s="1368"/>
      <c r="L342" s="1368"/>
      <c r="M342" s="1368"/>
      <c r="N342" s="1426"/>
      <c r="O342" s="1426"/>
      <c r="P342" s="1426"/>
      <c r="Q342" s="1426"/>
      <c r="R342" s="1426"/>
      <c r="S342" s="3"/>
      <c r="T342" s="3" t="s">
        <v>76</v>
      </c>
      <c r="V342" s="3"/>
      <c r="W342" s="3"/>
      <c r="X342" s="3"/>
      <c r="Y342" s="3"/>
      <c r="AA342" s="1368"/>
      <c r="AB342" s="1368"/>
      <c r="AC342" s="1368"/>
      <c r="AD342" s="1368"/>
      <c r="AE342" s="1368"/>
      <c r="AF342" s="1368"/>
      <c r="AG342" s="1426"/>
      <c r="AH342" s="1426"/>
      <c r="AI342" s="1426"/>
      <c r="AJ342" s="1426"/>
      <c r="AK342" s="1426"/>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426" t="s">
        <v>2720</v>
      </c>
      <c r="I344" s="1426"/>
      <c r="J344" s="1426"/>
      <c r="K344" s="1426"/>
      <c r="L344" s="1426"/>
      <c r="M344" s="1426"/>
      <c r="N344" s="1426"/>
      <c r="O344" s="1426"/>
      <c r="P344" s="1426"/>
      <c r="Q344" s="1426"/>
      <c r="R344" s="1426"/>
      <c r="T344" s="204" t="s">
        <v>886</v>
      </c>
      <c r="V344" s="3"/>
      <c r="W344" s="3"/>
      <c r="X344" s="3"/>
      <c r="Y344" s="3"/>
      <c r="AA344" s="1425" t="s">
        <v>2673</v>
      </c>
      <c r="AB344" s="1426"/>
      <c r="AC344" s="1426"/>
      <c r="AD344" s="1426"/>
      <c r="AE344" s="1426"/>
      <c r="AF344" s="1426"/>
      <c r="AG344" s="1426"/>
      <c r="AH344" s="1426"/>
      <c r="AI344" s="1426"/>
      <c r="AJ344" s="1426"/>
      <c r="AK344" s="1426"/>
    </row>
    <row r="345" spans="2:66" ht="12.95" customHeight="1">
      <c r="B345" s="3" t="s">
        <v>471</v>
      </c>
      <c r="C345" s="3"/>
      <c r="D345" s="3"/>
      <c r="E345" s="3"/>
      <c r="F345" s="3"/>
      <c r="H345" s="1368" t="s">
        <v>2721</v>
      </c>
      <c r="I345" s="1368"/>
      <c r="J345" s="1368"/>
      <c r="K345" s="1368"/>
      <c r="L345" s="1368"/>
      <c r="M345" s="1368"/>
      <c r="N345" s="1368"/>
      <c r="O345" s="1368"/>
      <c r="P345" s="1368"/>
      <c r="Q345" s="1368"/>
      <c r="R345" s="1368"/>
      <c r="T345" s="3" t="s">
        <v>471</v>
      </c>
      <c r="V345" s="3"/>
      <c r="W345" s="3"/>
      <c r="X345" s="3"/>
      <c r="Y345" s="3"/>
      <c r="AA345" s="1368" t="s">
        <v>2716</v>
      </c>
      <c r="AB345" s="1368"/>
      <c r="AC345" s="1368"/>
      <c r="AD345" s="1368"/>
      <c r="AE345" s="1368"/>
      <c r="AF345" s="1368"/>
      <c r="AG345" s="1368"/>
      <c r="AH345" s="1368"/>
      <c r="AI345" s="1368"/>
      <c r="AJ345" s="1368"/>
      <c r="AK345" s="1368"/>
    </row>
    <row r="346" spans="2:66" ht="12.95" customHeight="1">
      <c r="B346" s="3" t="s">
        <v>75</v>
      </c>
      <c r="C346" s="3"/>
      <c r="D346" s="3"/>
      <c r="E346" s="3"/>
      <c r="F346" s="3"/>
      <c r="H346" s="1368" t="s">
        <v>2722</v>
      </c>
      <c r="I346" s="1368"/>
      <c r="J346" s="1368"/>
      <c r="K346" s="1368"/>
      <c r="L346" s="1368"/>
      <c r="M346" s="1368"/>
      <c r="N346" s="1368"/>
      <c r="O346" s="1368"/>
      <c r="P346" s="1368"/>
      <c r="Q346" s="1368"/>
      <c r="R346" s="1368"/>
      <c r="T346" s="3" t="s">
        <v>75</v>
      </c>
      <c r="V346" s="3"/>
      <c r="W346" s="3"/>
      <c r="X346" s="3"/>
      <c r="Y346" s="3"/>
      <c r="AA346" s="1368" t="s">
        <v>2717</v>
      </c>
      <c r="AB346" s="1368"/>
      <c r="AC346" s="1368"/>
      <c r="AD346" s="1368"/>
      <c r="AE346" s="1368"/>
      <c r="AF346" s="1368"/>
      <c r="AG346" s="1368"/>
      <c r="AH346" s="1368"/>
      <c r="AI346" s="1368"/>
      <c r="AJ346" s="1368"/>
      <c r="AK346" s="1368"/>
    </row>
    <row r="347" spans="2:66" ht="12.95" customHeight="1">
      <c r="B347" s="3" t="s">
        <v>87</v>
      </c>
      <c r="C347" s="3"/>
      <c r="D347" s="3"/>
      <c r="E347" s="3"/>
      <c r="F347" s="3"/>
      <c r="G347" s="3"/>
      <c r="H347" s="1368" t="s">
        <v>2723</v>
      </c>
      <c r="I347" s="1368"/>
      <c r="J347" s="1368"/>
      <c r="K347" s="1368"/>
      <c r="L347" s="1368"/>
      <c r="M347" s="1368"/>
      <c r="N347" s="1368"/>
      <c r="O347" s="1368"/>
      <c r="P347" s="1368"/>
      <c r="Q347" s="1368"/>
      <c r="R347" s="1368"/>
      <c r="T347" s="3" t="s">
        <v>87</v>
      </c>
      <c r="V347" s="3"/>
      <c r="W347" s="3"/>
      <c r="X347" s="3"/>
      <c r="Y347" s="3"/>
      <c r="AA347" s="1524" t="s">
        <v>2674</v>
      </c>
      <c r="AB347" s="1368"/>
      <c r="AC347" s="1368"/>
      <c r="AD347" s="1368"/>
      <c r="AE347" s="1368"/>
      <c r="AF347" s="1368"/>
      <c r="AG347" s="1368"/>
      <c r="AH347" s="1368"/>
      <c r="AI347" s="1368"/>
      <c r="AJ347" s="1368"/>
      <c r="AK347" s="1368"/>
    </row>
    <row r="348" spans="2:66" ht="12.95" customHeight="1">
      <c r="B348" s="3" t="s">
        <v>88</v>
      </c>
      <c r="C348" s="3"/>
      <c r="D348" s="3"/>
      <c r="E348" s="3"/>
      <c r="F348" s="3"/>
      <c r="G348" s="3"/>
      <c r="H348" s="1565" t="s">
        <v>2724</v>
      </c>
      <c r="I348" s="1565"/>
      <c r="J348" s="1565"/>
      <c r="K348" s="1565"/>
      <c r="L348" s="1565"/>
      <c r="M348" s="1565"/>
      <c r="N348" s="4" t="s">
        <v>206</v>
      </c>
      <c r="O348" s="4"/>
      <c r="P348" s="1518"/>
      <c r="Q348" s="1518"/>
      <c r="R348" s="1518"/>
      <c r="S348" s="3"/>
      <c r="T348" s="3" t="s">
        <v>88</v>
      </c>
      <c r="V348" s="3"/>
      <c r="W348" s="3"/>
      <c r="X348" s="3"/>
      <c r="Y348" s="3"/>
      <c r="AA348" s="1549" t="s">
        <v>2718</v>
      </c>
      <c r="AB348" s="1565"/>
      <c r="AC348" s="1565"/>
      <c r="AD348" s="1565"/>
      <c r="AE348" s="1565"/>
      <c r="AF348" s="1565"/>
      <c r="AG348" s="4" t="s">
        <v>206</v>
      </c>
      <c r="AH348" s="4"/>
      <c r="AI348" s="1518"/>
      <c r="AJ348" s="1518"/>
      <c r="AK348" s="1518"/>
    </row>
    <row r="349" spans="2:66" ht="12.95" customHeight="1">
      <c r="B349" s="3" t="s">
        <v>89</v>
      </c>
      <c r="C349" s="3"/>
      <c r="D349" s="3"/>
      <c r="E349" s="3"/>
      <c r="F349" s="3"/>
      <c r="G349" s="3"/>
      <c r="H349" s="1385" t="s">
        <v>2699</v>
      </c>
      <c r="I349" s="1385"/>
      <c r="J349" s="1385"/>
      <c r="K349" s="1385"/>
      <c r="L349" s="1385"/>
      <c r="M349" s="1385"/>
      <c r="N349" s="4"/>
      <c r="O349" s="4"/>
      <c r="P349" s="35"/>
      <c r="Q349" s="35"/>
      <c r="R349" s="35"/>
      <c r="S349" s="3"/>
      <c r="T349" s="3" t="s">
        <v>89</v>
      </c>
      <c r="V349" s="3"/>
      <c r="W349" s="3"/>
      <c r="X349" s="3"/>
      <c r="Y349" s="3"/>
      <c r="AA349" s="1384" t="s">
        <v>2699</v>
      </c>
      <c r="AB349" s="1385"/>
      <c r="AC349" s="1385"/>
      <c r="AD349" s="1385"/>
      <c r="AE349" s="1385"/>
      <c r="AF349" s="1385"/>
      <c r="AG349" s="4"/>
      <c r="AH349" s="4"/>
      <c r="AI349" s="35"/>
      <c r="AJ349" s="35"/>
      <c r="AK349" s="35"/>
    </row>
    <row r="350" spans="2:66" ht="12.95" customHeight="1">
      <c r="B350" s="3" t="s">
        <v>76</v>
      </c>
      <c r="C350" s="3"/>
      <c r="D350" s="3"/>
      <c r="E350" s="3"/>
      <c r="F350" s="3"/>
      <c r="G350" s="3"/>
      <c r="H350" s="1368" t="s">
        <v>2725</v>
      </c>
      <c r="I350" s="1368"/>
      <c r="J350" s="1368"/>
      <c r="K350" s="1368"/>
      <c r="L350" s="1368"/>
      <c r="M350" s="1368"/>
      <c r="N350" s="1426"/>
      <c r="O350" s="1426"/>
      <c r="P350" s="1426"/>
      <c r="Q350" s="1426"/>
      <c r="R350" s="1426"/>
      <c r="S350" s="3"/>
      <c r="T350" s="3" t="s">
        <v>76</v>
      </c>
      <c r="V350" s="3"/>
      <c r="W350" s="3"/>
      <c r="X350" s="3"/>
      <c r="Y350" s="3"/>
      <c r="AA350" s="1368" t="s">
        <v>2719</v>
      </c>
      <c r="AB350" s="1368"/>
      <c r="AC350" s="1368"/>
      <c r="AD350" s="1368"/>
      <c r="AE350" s="1368"/>
      <c r="AF350" s="1368"/>
      <c r="AG350" s="1426"/>
      <c r="AH350" s="1426"/>
      <c r="AI350" s="1426"/>
      <c r="AJ350" s="1426"/>
      <c r="AK350" s="1426"/>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2.95" customHeight="1">
      <c r="B352" s="3"/>
      <c r="C352" s="4"/>
      <c r="D352" s="4"/>
      <c r="E352" s="4"/>
      <c r="F352" s="4"/>
      <c r="I352" s="204" t="s">
        <v>887</v>
      </c>
      <c r="P352" s="1425" t="s">
        <v>2699</v>
      </c>
      <c r="Q352" s="1426"/>
      <c r="R352" s="1426"/>
      <c r="S352" s="1426"/>
      <c r="T352" s="1426"/>
      <c r="U352" s="1426"/>
      <c r="V352" s="1426"/>
      <c r="W352" s="1426"/>
      <c r="X352" s="1426"/>
      <c r="Y352" s="1426"/>
      <c r="Z352" s="1426"/>
      <c r="AA352" s="1426"/>
      <c r="AB352" s="1426"/>
      <c r="AC352" s="1426"/>
      <c r="AD352" s="1426"/>
      <c r="AE352" s="1426"/>
      <c r="BN352" t="s">
        <v>669</v>
      </c>
    </row>
    <row r="353" spans="1:66" ht="12.95" customHeight="1">
      <c r="B353" s="4"/>
      <c r="C353" s="4"/>
      <c r="D353" s="4"/>
      <c r="E353" s="4"/>
      <c r="F353" s="4"/>
      <c r="I353" s="4" t="s">
        <v>471</v>
      </c>
      <c r="P353" s="1368"/>
      <c r="Q353" s="1368"/>
      <c r="R353" s="1368"/>
      <c r="S353" s="1368"/>
      <c r="T353" s="1368"/>
      <c r="U353" s="1368"/>
      <c r="V353" s="1368"/>
      <c r="W353" s="1368"/>
      <c r="X353" s="1368"/>
      <c r="Y353" s="1368"/>
      <c r="Z353" s="1368"/>
      <c r="AA353" s="1368"/>
      <c r="AB353" s="1368"/>
      <c r="AC353" s="1368"/>
      <c r="AD353" s="1368"/>
      <c r="AE353" s="1368"/>
      <c r="BN353" t="s">
        <v>545</v>
      </c>
    </row>
    <row r="354" spans="1:66" ht="12.95" customHeight="1">
      <c r="B354" s="4"/>
      <c r="C354" s="4"/>
      <c r="D354" s="4"/>
      <c r="E354" s="4"/>
      <c r="F354" s="4"/>
      <c r="I354" s="4" t="s">
        <v>75</v>
      </c>
      <c r="P354" s="1368"/>
      <c r="Q354" s="1368"/>
      <c r="R354" s="1368"/>
      <c r="S354" s="1368"/>
      <c r="T354" s="1368"/>
      <c r="U354" s="1368"/>
      <c r="V354" s="1368"/>
      <c r="W354" s="1368"/>
      <c r="X354" s="1368"/>
      <c r="Y354" s="1368"/>
      <c r="Z354" s="1368"/>
      <c r="AA354" s="1368"/>
      <c r="AB354" s="1368"/>
      <c r="AC354" s="1368"/>
      <c r="AD354" s="1368"/>
      <c r="AE354" s="1368"/>
    </row>
    <row r="355" spans="1:66" ht="12.95" customHeight="1">
      <c r="B355" s="4"/>
      <c r="C355" s="4"/>
      <c r="D355" s="4"/>
      <c r="E355" s="4"/>
      <c r="F355" s="4"/>
      <c r="G355" s="4"/>
      <c r="I355" s="4" t="s">
        <v>87</v>
      </c>
      <c r="P355" s="1368"/>
      <c r="Q355" s="1368"/>
      <c r="R355" s="1368"/>
      <c r="S355" s="1368"/>
      <c r="T355" s="1368"/>
      <c r="U355" s="1368"/>
      <c r="V355" s="1368"/>
      <c r="W355" s="1368"/>
      <c r="X355" s="1368"/>
      <c r="Y355" s="1368"/>
      <c r="Z355" s="1368"/>
      <c r="AA355" s="1368"/>
      <c r="AB355" s="1368"/>
      <c r="AC355" s="1368"/>
      <c r="AD355" s="1368"/>
      <c r="AE355" s="1368"/>
    </row>
    <row r="356" spans="1:66" ht="12.95" customHeight="1">
      <c r="B356" s="4"/>
      <c r="C356" s="4"/>
      <c r="D356" s="4"/>
      <c r="E356" s="4"/>
      <c r="F356" s="4"/>
      <c r="G356" s="4"/>
      <c r="H356" s="302"/>
      <c r="I356" s="4" t="s">
        <v>88</v>
      </c>
      <c r="P356" s="1385"/>
      <c r="Q356" s="1385"/>
      <c r="R356" s="1385"/>
      <c r="S356" s="1385"/>
      <c r="T356" s="1385"/>
      <c r="U356" s="1385"/>
      <c r="V356" s="1385"/>
      <c r="W356" s="1385"/>
      <c r="X356" s="1385"/>
      <c r="Y356" s="1385"/>
      <c r="Z356" s="1385"/>
      <c r="AA356" s="4" t="s">
        <v>206</v>
      </c>
      <c r="AB356" s="4"/>
      <c r="AC356" s="1369"/>
      <c r="AD356" s="1369"/>
      <c r="AE356" s="1369"/>
      <c r="AF356" s="302"/>
      <c r="AG356" s="4"/>
      <c r="AH356" s="4"/>
      <c r="AI356" s="4"/>
      <c r="AJ356" s="4"/>
      <c r="AK356" s="4"/>
    </row>
    <row r="357" spans="1:66" ht="12.95" customHeight="1">
      <c r="B357" s="4"/>
      <c r="C357" s="4"/>
      <c r="D357" s="4"/>
      <c r="E357" s="4"/>
      <c r="F357" s="4"/>
      <c r="G357" s="4"/>
      <c r="H357" s="302"/>
      <c r="I357" s="4" t="s">
        <v>89</v>
      </c>
      <c r="P357" s="1385"/>
      <c r="Q357" s="1385"/>
      <c r="R357" s="1385"/>
      <c r="S357" s="1385"/>
      <c r="T357" s="1385"/>
      <c r="U357" s="1385"/>
      <c r="V357" s="1385"/>
      <c r="W357" s="1385"/>
      <c r="X357" s="1385"/>
      <c r="Y357" s="1385"/>
      <c r="Z357" s="1385"/>
      <c r="AF357" s="302"/>
      <c r="AG357" s="4"/>
      <c r="AH357" s="4"/>
      <c r="AI357" s="35"/>
      <c r="AJ357" s="35"/>
      <c r="AK357" s="35"/>
    </row>
    <row r="358" spans="1:66" ht="12.95" customHeight="1">
      <c r="B358" s="4"/>
      <c r="C358" s="4"/>
      <c r="D358" s="4"/>
      <c r="E358" s="4"/>
      <c r="F358" s="4"/>
      <c r="G358" s="4"/>
      <c r="I358" s="4" t="s">
        <v>76</v>
      </c>
      <c r="P358" s="1426"/>
      <c r="Q358" s="1426"/>
      <c r="R358" s="1426"/>
      <c r="S358" s="1426"/>
      <c r="T358" s="1426"/>
      <c r="U358" s="1426"/>
      <c r="V358" s="1426"/>
      <c r="W358" s="1426"/>
      <c r="X358" s="1426"/>
      <c r="Y358" s="1426"/>
      <c r="Z358" s="1426"/>
      <c r="AA358" s="1426"/>
      <c r="AB358" s="1426"/>
      <c r="AC358" s="1426"/>
      <c r="AD358" s="1426"/>
      <c r="AE358" s="1426"/>
    </row>
    <row r="359" spans="1:66" ht="12.95" customHeight="1">
      <c r="T359" s="8"/>
      <c r="U359" s="8"/>
      <c r="V359" s="8"/>
      <c r="W359" s="8"/>
      <c r="X359" s="8"/>
      <c r="Y359" s="8"/>
      <c r="Z359" s="8"/>
      <c r="AU359" s="95"/>
      <c r="AV359" s="95"/>
      <c r="AW359" s="95"/>
      <c r="AX359" s="95"/>
      <c r="AY359" s="95"/>
    </row>
    <row r="360" spans="1:66" ht="12.95" customHeight="1">
      <c r="A360" s="1532" t="s">
        <v>542</v>
      </c>
      <c r="B360" s="1532"/>
      <c r="C360" s="1532"/>
      <c r="D360" s="1532"/>
      <c r="E360" s="1532"/>
      <c r="F360" s="1532"/>
      <c r="G360" s="1532"/>
      <c r="H360" s="1532"/>
      <c r="I360" s="1532"/>
      <c r="J360" s="1532"/>
      <c r="K360" s="1532"/>
      <c r="L360" s="1532"/>
      <c r="M360" s="1532"/>
      <c r="N360" s="1532"/>
      <c r="O360" s="1532"/>
      <c r="P360" s="1532"/>
      <c r="Q360" s="1532"/>
      <c r="R360" s="1532"/>
      <c r="S360" s="1532"/>
      <c r="T360" s="1532"/>
      <c r="U360" s="1532"/>
      <c r="V360" s="1532"/>
      <c r="W360" s="1532"/>
      <c r="X360" s="1532"/>
      <c r="Y360" s="1532"/>
      <c r="Z360" s="1532"/>
      <c r="AA360" s="1532"/>
      <c r="AB360" s="1532"/>
      <c r="AC360" s="1532"/>
      <c r="AD360" s="1532"/>
      <c r="AE360" s="1532"/>
      <c r="AF360" s="1532"/>
      <c r="AG360" s="1532"/>
      <c r="AH360" s="1532"/>
      <c r="AI360" s="1532"/>
      <c r="AJ360" s="1532"/>
      <c r="AK360" s="1532"/>
      <c r="AL360" s="1532"/>
      <c r="AM360" s="1532"/>
      <c r="AN360" s="1532"/>
      <c r="AO360" s="1532"/>
      <c r="AP360" s="1532"/>
      <c r="AQ360" s="1532"/>
      <c r="AR360" s="1532"/>
      <c r="AS360" s="1532"/>
      <c r="AT360" s="1532"/>
      <c r="AU360" s="95"/>
      <c r="AV360" s="95"/>
      <c r="AW360" s="95"/>
      <c r="AX360" s="95"/>
      <c r="AY360" s="95"/>
    </row>
    <row r="361" spans="1:66" ht="12.95" customHeight="1">
      <c r="A361" s="1532"/>
      <c r="B361" s="1532"/>
      <c r="C361" s="1532"/>
      <c r="D361" s="1532"/>
      <c r="E361" s="1532"/>
      <c r="F361" s="1532"/>
      <c r="G361" s="1532"/>
      <c r="H361" s="1532"/>
      <c r="I361" s="1532"/>
      <c r="J361" s="1532"/>
      <c r="K361" s="1532"/>
      <c r="L361" s="1532"/>
      <c r="M361" s="1532"/>
      <c r="N361" s="1532"/>
      <c r="O361" s="1532"/>
      <c r="P361" s="1532"/>
      <c r="Q361" s="1532"/>
      <c r="R361" s="1532"/>
      <c r="S361" s="1532"/>
      <c r="T361" s="1532"/>
      <c r="U361" s="1532"/>
      <c r="V361" s="1532"/>
      <c r="W361" s="1532"/>
      <c r="X361" s="1532"/>
      <c r="Y361" s="1532"/>
      <c r="Z361" s="1532"/>
      <c r="AA361" s="1532"/>
      <c r="AB361" s="1532"/>
      <c r="AC361" s="1532"/>
      <c r="AD361" s="1532"/>
      <c r="AE361" s="1532"/>
      <c r="AF361" s="1532"/>
      <c r="AG361" s="1532"/>
      <c r="AH361" s="1532"/>
      <c r="AI361" s="1532"/>
      <c r="AJ361" s="1532"/>
      <c r="AK361" s="1532"/>
      <c r="AL361" s="1532"/>
      <c r="AM361" s="1532"/>
      <c r="AN361" s="1532"/>
      <c r="AO361" s="1532"/>
      <c r="AP361" s="1532"/>
      <c r="AQ361" s="1532"/>
      <c r="AR361" s="1532"/>
      <c r="AS361" s="1532"/>
      <c r="AT361" s="1532"/>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782</v>
      </c>
    </row>
    <row r="364" spans="1:66" ht="12.95" customHeight="1">
      <c r="D364" s="3" t="s">
        <v>2055</v>
      </c>
      <c r="M364" s="1380" t="s">
        <v>591</v>
      </c>
      <c r="N364" s="1380"/>
      <c r="P364" t="s">
        <v>1639</v>
      </c>
      <c r="AJ364" s="1380" t="s">
        <v>591</v>
      </c>
      <c r="AK364" s="1380"/>
    </row>
    <row r="365" spans="1:66" ht="12.95" customHeight="1">
      <c r="D365" s="3" t="s">
        <v>1628</v>
      </c>
      <c r="M365" s="1380" t="s">
        <v>545</v>
      </c>
      <c r="N365" s="1380"/>
      <c r="P365" s="3" t="s">
        <v>1708</v>
      </c>
      <c r="AJ365" s="1477"/>
      <c r="AK365" s="1477"/>
    </row>
    <row r="366" spans="1:66" ht="12.95" customHeight="1">
      <c r="D366" s="3" t="s">
        <v>704</v>
      </c>
      <c r="M366" s="1380" t="s">
        <v>591</v>
      </c>
      <c r="N366" s="1380"/>
      <c r="P366" t="s">
        <v>1638</v>
      </c>
      <c r="AJ366" s="1380" t="s">
        <v>591</v>
      </c>
      <c r="AK366" s="1380"/>
    </row>
    <row r="367" spans="1:66" ht="12.95" customHeight="1">
      <c r="D367" s="3" t="s">
        <v>705</v>
      </c>
      <c r="M367" s="1380" t="s">
        <v>591</v>
      </c>
      <c r="N367" s="1380"/>
      <c r="Q367" s="4"/>
    </row>
    <row r="368" spans="1:66" ht="12.95" customHeight="1">
      <c r="Q368" s="4"/>
    </row>
    <row r="369" spans="1:34" ht="12.95" customHeight="1">
      <c r="Q369" s="4"/>
    </row>
    <row r="370" spans="1:34" ht="12.95" customHeight="1">
      <c r="A370" s="2" t="s">
        <v>576</v>
      </c>
      <c r="B370" s="2"/>
      <c r="C370" s="2" t="s">
        <v>552</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380" t="s">
        <v>591</v>
      </c>
      <c r="O372" s="1380"/>
      <c r="P372" s="40"/>
      <c r="Q372" s="40"/>
      <c r="R372" s="40"/>
      <c r="S372" s="40"/>
      <c r="T372" s="40"/>
      <c r="U372" s="40"/>
      <c r="V372" s="40"/>
      <c r="W372" s="40"/>
      <c r="X372" s="40"/>
      <c r="Y372" s="40"/>
      <c r="Z372" s="40"/>
      <c r="AC372" s="40"/>
      <c r="AD372" s="40"/>
      <c r="AE372" s="40"/>
    </row>
    <row r="373" spans="1:34" ht="12.95" customHeight="1">
      <c r="E373" t="s">
        <v>370</v>
      </c>
      <c r="Y373" s="1380" t="s">
        <v>591</v>
      </c>
      <c r="Z373" s="1380"/>
    </row>
    <row r="374" spans="1:34" ht="12.95" customHeight="1">
      <c r="D374" s="4" t="s">
        <v>978</v>
      </c>
      <c r="Q374" s="1426"/>
      <c r="R374" s="1426"/>
      <c r="S374" s="1426"/>
      <c r="T374" s="1426"/>
      <c r="U374" s="1426"/>
      <c r="V374" s="1426"/>
      <c r="W374" s="1426"/>
      <c r="X374" s="1426"/>
      <c r="Y374" s="1426"/>
      <c r="Z374" s="1426"/>
      <c r="AA374" s="1426"/>
      <c r="AB374" s="1426"/>
      <c r="AC374" s="1426"/>
      <c r="AD374" s="1426"/>
      <c r="AE374" s="1426"/>
      <c r="AF374" s="1426"/>
      <c r="AG374" s="1426"/>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380" t="s">
        <v>591</v>
      </c>
      <c r="K376" s="1380"/>
      <c r="L376" s="40"/>
      <c r="M376" s="40"/>
      <c r="N376" s="40"/>
      <c r="O376" s="40"/>
      <c r="P376" s="40"/>
      <c r="Q376" s="40"/>
      <c r="R376" s="40"/>
      <c r="S376" s="40"/>
      <c r="T376" s="40"/>
      <c r="U376" s="40"/>
      <c r="V376" s="40"/>
      <c r="W376" s="40"/>
      <c r="X376" s="40"/>
      <c r="Y376" s="40"/>
      <c r="Z376" s="40"/>
      <c r="AC376" s="40"/>
      <c r="AD376" s="40"/>
      <c r="AE376" s="40"/>
    </row>
    <row r="377" spans="1:34" ht="12.95" customHeight="1">
      <c r="E377" s="1540" t="s">
        <v>706</v>
      </c>
      <c r="F377" s="1540"/>
      <c r="G377" s="1540"/>
      <c r="H377" s="1540"/>
      <c r="I377" s="1540"/>
      <c r="J377" s="1540"/>
      <c r="K377" s="1540"/>
      <c r="L377" s="1540"/>
      <c r="M377" s="1540"/>
      <c r="N377" s="1540"/>
      <c r="O377" s="1540"/>
      <c r="P377" s="1540"/>
      <c r="Q377" s="1540"/>
      <c r="R377" s="1540"/>
      <c r="S377" s="1540"/>
      <c r="T377" s="1540"/>
      <c r="U377" s="1540"/>
      <c r="V377" s="1540"/>
      <c r="W377" s="1540"/>
      <c r="X377" s="1540"/>
      <c r="Y377" s="1540"/>
      <c r="Z377" s="1540"/>
      <c r="AA377" s="1540"/>
      <c r="AB377" s="1540"/>
      <c r="AC377" s="1540"/>
      <c r="AD377" s="1540"/>
      <c r="AE377" s="1540"/>
      <c r="AF377" s="1540"/>
      <c r="AG377" s="1540"/>
      <c r="AH377" s="1540"/>
    </row>
    <row r="378" spans="1:34" ht="12.95" customHeight="1">
      <c r="E378" s="1540"/>
      <c r="F378" s="1540"/>
      <c r="G378" s="1540"/>
      <c r="H378" s="1540"/>
      <c r="I378" s="1540"/>
      <c r="J378" s="1540"/>
      <c r="K378" s="1540"/>
      <c r="L378" s="1540"/>
      <c r="M378" s="1540"/>
      <c r="N378" s="1540"/>
      <c r="O378" s="1540"/>
      <c r="P378" s="1540"/>
      <c r="Q378" s="1540"/>
      <c r="R378" s="1540"/>
      <c r="S378" s="1540"/>
      <c r="T378" s="1540"/>
      <c r="U378" s="1540"/>
      <c r="V378" s="1540"/>
      <c r="W378" s="1540"/>
      <c r="X378" s="1540"/>
      <c r="Y378" s="1540"/>
      <c r="Z378" s="1540"/>
      <c r="AA378" s="1540"/>
      <c r="AB378" s="1540"/>
      <c r="AC378" s="1540"/>
      <c r="AD378" s="1540"/>
      <c r="AE378" s="1540"/>
      <c r="AF378" s="1540"/>
      <c r="AG378" s="1540"/>
      <c r="AH378" s="1540"/>
    </row>
    <row r="379" spans="1:34" ht="12.95" customHeight="1">
      <c r="E379" s="4" t="s">
        <v>448</v>
      </c>
      <c r="F379" s="4"/>
      <c r="G379" s="4"/>
      <c r="H379" s="4"/>
      <c r="I379" s="4"/>
      <c r="J379" s="4"/>
      <c r="K379" s="4"/>
      <c r="L379" s="4"/>
      <c r="N379" s="1391"/>
      <c r="O379" s="1391"/>
      <c r="P379" s="1391"/>
      <c r="Q379" s="1391"/>
      <c r="R379" s="4"/>
      <c r="U379" s="4" t="s">
        <v>449</v>
      </c>
      <c r="V379" s="4"/>
      <c r="W379" s="4"/>
      <c r="X379" s="4"/>
      <c r="Y379" s="4"/>
      <c r="Z379" s="4"/>
      <c r="AA379" s="4"/>
      <c r="AB379" s="4"/>
      <c r="AC379" s="1391"/>
      <c r="AD379" s="1391"/>
      <c r="AE379" s="1391"/>
      <c r="AF379" s="1391"/>
    </row>
    <row r="380" spans="1:34" ht="12.95" customHeight="1">
      <c r="E380" s="4" t="s">
        <v>450</v>
      </c>
      <c r="F380" s="4"/>
      <c r="G380" s="4"/>
      <c r="H380" s="4"/>
      <c r="I380" s="4"/>
      <c r="J380" s="4"/>
      <c r="K380" s="4"/>
      <c r="L380" s="4"/>
      <c r="N380" s="1391"/>
      <c r="O380" s="1391"/>
      <c r="P380" s="1391"/>
      <c r="Q380" s="1391"/>
      <c r="R380" s="4"/>
      <c r="U380" s="4" t="s">
        <v>0</v>
      </c>
      <c r="V380" s="4"/>
      <c r="W380" s="4"/>
      <c r="X380" s="4"/>
      <c r="Y380" s="4"/>
      <c r="Z380" s="4"/>
      <c r="AA380" s="4"/>
      <c r="AB380" s="4"/>
      <c r="AC380" s="1391"/>
      <c r="AD380" s="1391"/>
      <c r="AE380" s="1391"/>
      <c r="AF380" s="1391"/>
    </row>
    <row r="381" spans="1:34" ht="12.95" customHeight="1">
      <c r="E381" s="4" t="s">
        <v>1</v>
      </c>
      <c r="F381" s="4"/>
      <c r="G381" s="4"/>
      <c r="H381" s="4"/>
      <c r="I381" s="4"/>
      <c r="J381" s="4"/>
      <c r="K381" s="4"/>
      <c r="L381" s="4"/>
      <c r="N381" s="1391"/>
      <c r="O381" s="1391"/>
      <c r="P381" s="1391"/>
      <c r="Q381" s="1391"/>
      <c r="R381" s="4"/>
      <c r="V381" s="4"/>
      <c r="W381" s="4"/>
      <c r="X381" s="4"/>
      <c r="Y381" s="4"/>
      <c r="Z381" s="4"/>
      <c r="AA381" s="4"/>
      <c r="AB381" s="4"/>
    </row>
    <row r="382" spans="1:34" ht="12.95" customHeight="1">
      <c r="E382" s="4" t="s">
        <v>2</v>
      </c>
      <c r="F382" s="4"/>
      <c r="G382" s="4"/>
      <c r="H382" s="4"/>
      <c r="I382" s="4"/>
      <c r="J382" s="4"/>
      <c r="K382" s="4"/>
      <c r="L382" s="4"/>
      <c r="N382" s="1520"/>
      <c r="O382" s="1520"/>
      <c r="P382" s="1520"/>
      <c r="Q382" s="1520"/>
      <c r="R382" s="1520"/>
      <c r="S382" s="1520"/>
      <c r="T382" s="1520"/>
      <c r="U382" s="1520"/>
      <c r="V382" s="1520"/>
      <c r="W382" s="1520"/>
      <c r="X382" s="1520"/>
      <c r="Y382" s="1520"/>
      <c r="Z382" s="1520"/>
      <c r="AA382" s="1520"/>
      <c r="AB382" s="1520"/>
      <c r="AC382" s="1520"/>
      <c r="AD382" s="1520"/>
      <c r="AE382" s="1520"/>
      <c r="AF382" s="1520"/>
    </row>
    <row r="383" spans="1:34" ht="12.95" customHeight="1">
      <c r="E383" s="4"/>
      <c r="F383" s="4"/>
      <c r="G383" s="4"/>
      <c r="H383" s="4"/>
      <c r="I383" s="4"/>
      <c r="J383" s="4"/>
      <c r="K383" s="4"/>
      <c r="L383" s="4"/>
      <c r="N383" s="1521"/>
      <c r="O383" s="1521"/>
      <c r="P383" s="1521"/>
      <c r="Q383" s="1521"/>
      <c r="R383" s="1521"/>
      <c r="S383" s="1521"/>
      <c r="T383" s="1521"/>
      <c r="U383" s="1521"/>
      <c r="V383" s="1521"/>
      <c r="W383" s="1521"/>
      <c r="X383" s="1521"/>
      <c r="Y383" s="1521"/>
      <c r="Z383" s="1521"/>
      <c r="AA383" s="1521"/>
      <c r="AB383" s="1521"/>
      <c r="AC383" s="1521"/>
      <c r="AD383" s="1521"/>
      <c r="AE383" s="1521"/>
      <c r="AF383" s="1521"/>
    </row>
    <row r="384" spans="1:34" ht="12.95" customHeight="1">
      <c r="C384" s="512"/>
      <c r="E384" s="4"/>
      <c r="F384" s="4"/>
      <c r="G384" s="4"/>
      <c r="H384" s="4"/>
      <c r="I384" s="4"/>
      <c r="J384" s="4"/>
      <c r="K384" s="4"/>
      <c r="L384" s="4"/>
    </row>
    <row r="385" spans="1:36" ht="12.95" customHeight="1">
      <c r="D385" s="2" t="s">
        <v>975</v>
      </c>
      <c r="E385" s="2"/>
      <c r="F385" s="4"/>
      <c r="G385" s="4"/>
      <c r="H385" s="4"/>
      <c r="I385" s="4"/>
      <c r="J385" s="4"/>
      <c r="K385" s="4"/>
      <c r="L385" s="4"/>
    </row>
    <row r="386" spans="1:36" ht="12.95" customHeight="1">
      <c r="E386" s="4" t="s">
        <v>2041</v>
      </c>
      <c r="F386" s="4"/>
      <c r="G386" s="4"/>
      <c r="H386" s="4"/>
      <c r="I386" s="4"/>
      <c r="J386" s="4"/>
      <c r="K386" s="4"/>
      <c r="L386" s="4"/>
      <c r="N386" t="s">
        <v>2037</v>
      </c>
      <c r="R386" s="27" t="s">
        <v>305</v>
      </c>
      <c r="S386" s="1510"/>
      <c r="T386" s="1510"/>
      <c r="U386" s="1" t="s">
        <v>306</v>
      </c>
      <c r="V386" s="1510"/>
      <c r="W386" s="1510"/>
      <c r="Y386" t="s">
        <v>2037</v>
      </c>
      <c r="AC386" s="27" t="s">
        <v>305</v>
      </c>
      <c r="AD386" s="1510"/>
      <c r="AE386" s="1510"/>
      <c r="AF386" s="1" t="s">
        <v>306</v>
      </c>
      <c r="AG386" s="1510"/>
      <c r="AH386" s="1510"/>
    </row>
    <row r="387" spans="1:36" ht="12.95" customHeight="1">
      <c r="E387" s="4" t="s">
        <v>987</v>
      </c>
      <c r="F387" s="4"/>
      <c r="G387" s="4"/>
      <c r="H387" s="4"/>
      <c r="I387" s="4"/>
      <c r="J387" s="4"/>
      <c r="K387" s="4"/>
      <c r="L387" s="4"/>
      <c r="N387" s="1510"/>
      <c r="O387" s="1510"/>
      <c r="P387" s="1510"/>
    </row>
    <row r="388" spans="1:36" ht="12.95" customHeight="1">
      <c r="E388" s="204" t="s">
        <v>2042</v>
      </c>
      <c r="F388" s="4"/>
      <c r="G388" s="4"/>
      <c r="H388" s="4"/>
      <c r="I388" s="4"/>
      <c r="J388" s="4"/>
      <c r="K388" s="4"/>
      <c r="L388" s="4"/>
      <c r="AG388" s="1450" t="s">
        <v>591</v>
      </c>
      <c r="AH388" s="1450"/>
    </row>
    <row r="389" spans="1:36" ht="12.95" customHeight="1">
      <c r="E389" s="4"/>
      <c r="F389" s="4"/>
      <c r="G389" s="4" t="s">
        <v>2043</v>
      </c>
      <c r="H389" s="4"/>
      <c r="I389" s="4"/>
      <c r="J389" s="4"/>
      <c r="K389" s="4"/>
      <c r="L389" s="4"/>
      <c r="AG389" s="1450" t="s">
        <v>591</v>
      </c>
      <c r="AH389" s="1450"/>
    </row>
    <row r="390" spans="1:36" ht="12.95" customHeight="1">
      <c r="E390" s="4"/>
      <c r="F390" s="4"/>
      <c r="G390" s="320" t="s">
        <v>988</v>
      </c>
      <c r="H390" s="4"/>
      <c r="I390" s="4"/>
      <c r="J390" s="4"/>
      <c r="K390" s="4"/>
      <c r="L390" s="4"/>
      <c r="V390" s="1380" t="s">
        <v>591</v>
      </c>
      <c r="W390" s="1380"/>
      <c r="Y390" s="22" t="s">
        <v>980</v>
      </c>
    </row>
    <row r="391" spans="1:36" ht="12.95" customHeight="1">
      <c r="E391" s="4" t="s">
        <v>981</v>
      </c>
      <c r="F391" s="4"/>
      <c r="G391" s="4"/>
      <c r="H391" s="4"/>
      <c r="I391" s="4"/>
      <c r="J391" s="4"/>
      <c r="K391" s="4"/>
      <c r="L391" s="4"/>
      <c r="V391" s="1380" t="s">
        <v>591</v>
      </c>
      <c r="W391" s="1380"/>
      <c r="Y391" s="4" t="s">
        <v>982</v>
      </c>
    </row>
    <row r="392" spans="1:36" ht="12.95" customHeight="1"/>
    <row r="393" spans="1:36" ht="12.95" customHeight="1">
      <c r="A393" s="2" t="s">
        <v>78</v>
      </c>
      <c r="B393" s="2"/>
    </row>
    <row r="394" spans="1:36" ht="12.95" customHeight="1">
      <c r="D394" t="s">
        <v>428</v>
      </c>
      <c r="J394" s="1425" t="s">
        <v>2761</v>
      </c>
      <c r="K394" s="1426"/>
      <c r="L394" s="1426"/>
      <c r="M394" s="1426"/>
      <c r="N394" s="1426"/>
      <c r="O394" s="1426"/>
      <c r="P394" s="1426"/>
      <c r="Q394" s="1426"/>
      <c r="R394" s="1426"/>
      <c r="S394" s="1426"/>
      <c r="T394" s="1426"/>
      <c r="U394" s="1426"/>
      <c r="V394" s="8" t="s">
        <v>83</v>
      </c>
      <c r="W394" s="8"/>
      <c r="X394" s="8"/>
      <c r="Y394" s="8"/>
      <c r="Z394" s="8"/>
      <c r="AA394" s="8"/>
      <c r="AB394" s="8"/>
      <c r="AC394" s="1425" t="s">
        <v>2766</v>
      </c>
      <c r="AD394" s="1426"/>
      <c r="AE394" s="1426"/>
      <c r="AF394" s="1426"/>
      <c r="AG394" s="1426"/>
      <c r="AH394" s="1426"/>
      <c r="AI394" s="1426"/>
      <c r="AJ394" s="1426"/>
    </row>
    <row r="395" spans="1:36" ht="12.95" customHeight="1">
      <c r="D395" s="3" t="s">
        <v>1182</v>
      </c>
      <c r="J395" s="1524" t="s">
        <v>2766</v>
      </c>
      <c r="K395" s="1368"/>
      <c r="L395" s="1368"/>
      <c r="M395" s="1368"/>
      <c r="N395" s="1368"/>
      <c r="O395" s="1368"/>
      <c r="P395" s="1368"/>
      <c r="Q395" s="1368"/>
      <c r="R395" s="1368"/>
      <c r="S395" s="1368"/>
      <c r="T395" s="1368"/>
      <c r="U395" s="1368"/>
      <c r="V395" s="3" t="s">
        <v>1182</v>
      </c>
      <c r="W395" s="8"/>
      <c r="X395" s="8"/>
      <c r="Y395" s="8"/>
      <c r="Z395" s="8"/>
      <c r="AA395" s="8"/>
      <c r="AB395" s="8"/>
      <c r="AC395" s="1425" t="s">
        <v>2767</v>
      </c>
      <c r="AD395" s="1426"/>
      <c r="AE395" s="1426"/>
      <c r="AF395" s="1426"/>
      <c r="AG395" s="1426"/>
      <c r="AH395" s="1426"/>
      <c r="AI395" s="1426"/>
      <c r="AJ395" s="1426"/>
    </row>
    <row r="396" spans="1:36" ht="12.95" customHeight="1">
      <c r="D396" s="3" t="s">
        <v>441</v>
      </c>
      <c r="J396" s="1524" t="s">
        <v>2765</v>
      </c>
      <c r="K396" s="1368"/>
      <c r="L396" s="1368"/>
      <c r="M396" s="1368"/>
      <c r="N396" s="1368"/>
      <c r="O396" s="1368"/>
      <c r="P396" s="1368"/>
      <c r="Q396" s="1368"/>
      <c r="R396" s="1368"/>
      <c r="S396" s="1368"/>
      <c r="T396" s="1368"/>
      <c r="U396" s="1368"/>
      <c r="V396" s="3" t="s">
        <v>441</v>
      </c>
      <c r="W396" s="8"/>
      <c r="X396" s="8"/>
      <c r="Y396" s="8"/>
      <c r="Z396" s="8"/>
      <c r="AA396" s="8"/>
      <c r="AB396" s="8"/>
      <c r="AC396" s="1425" t="s">
        <v>2768</v>
      </c>
      <c r="AD396" s="1426"/>
      <c r="AE396" s="1426"/>
      <c r="AF396" s="1426"/>
      <c r="AG396" s="1426"/>
      <c r="AH396" s="1426"/>
      <c r="AI396" s="1426"/>
      <c r="AJ396" s="1426"/>
    </row>
    <row r="397" spans="1:36" ht="12.95" customHeight="1">
      <c r="D397" t="s">
        <v>1178</v>
      </c>
      <c r="J397" s="1509" t="s">
        <v>2762</v>
      </c>
      <c r="K397" s="1393"/>
      <c r="L397" s="1393"/>
      <c r="M397" s="1393"/>
      <c r="N397" s="1393"/>
      <c r="O397" s="1393"/>
      <c r="P397" s="1393"/>
      <c r="Q397" s="1393"/>
      <c r="R397" s="1393"/>
      <c r="S397" s="1393"/>
      <c r="T397" s="1393"/>
      <c r="U397" s="1393"/>
      <c r="V397" s="1425" t="s">
        <v>2763</v>
      </c>
      <c r="W397" s="1426"/>
      <c r="X397" s="1426"/>
      <c r="Y397" s="1426"/>
      <c r="Z397" s="1426"/>
      <c r="AA397" s="1426"/>
      <c r="AB397" s="1426"/>
      <c r="AC397" s="1426"/>
      <c r="AD397" s="1426"/>
      <c r="AE397" s="1426"/>
      <c r="AF397" s="1426"/>
      <c r="AG397" s="1426"/>
      <c r="AH397" s="1426"/>
      <c r="AI397" s="1426"/>
      <c r="AJ397" s="1426"/>
    </row>
    <row r="398" spans="1:36" ht="12.95" customHeight="1">
      <c r="D398" t="s">
        <v>4</v>
      </c>
      <c r="Q398" s="1517">
        <v>46048</v>
      </c>
      <c r="R398" s="1517"/>
      <c r="S398" s="1517"/>
      <c r="T398" s="1517"/>
      <c r="U398" s="1517"/>
      <c r="V398" t="s">
        <v>309</v>
      </c>
      <c r="AI398" s="1380" t="s">
        <v>669</v>
      </c>
      <c r="AJ398" s="1380"/>
    </row>
    <row r="399" spans="1:36" ht="12.95" customHeight="1">
      <c r="D399" t="s">
        <v>5</v>
      </c>
      <c r="Q399" s="1506">
        <v>46157</v>
      </c>
      <c r="R399" s="1507"/>
      <c r="S399" s="1507"/>
      <c r="T399" s="1507"/>
      <c r="U399" s="1507"/>
      <c r="W399" s="21" t="s">
        <v>74</v>
      </c>
      <c r="AG399" s="1452"/>
      <c r="AH399" s="1452"/>
      <c r="AI399" s="1452"/>
      <c r="AJ399" s="1452"/>
    </row>
    <row r="400" spans="1:36" ht="12.95" customHeight="1">
      <c r="D400" t="s">
        <v>427</v>
      </c>
      <c r="Q400" s="1453">
        <v>11000000</v>
      </c>
      <c r="R400" s="1453"/>
      <c r="S400" s="1453"/>
      <c r="T400" s="1453"/>
      <c r="U400" s="1453"/>
      <c r="V400" s="3" t="s">
        <v>1181</v>
      </c>
      <c r="AG400" s="1581">
        <v>46327</v>
      </c>
      <c r="AH400" s="1581"/>
      <c r="AI400" s="1581"/>
      <c r="AJ400" s="1581"/>
    </row>
    <row r="401" spans="4:36" ht="12.95" customHeight="1">
      <c r="D401" t="s">
        <v>88</v>
      </c>
      <c r="I401" s="1565"/>
      <c r="J401" s="1565"/>
      <c r="K401" s="1565"/>
      <c r="L401" s="1565"/>
      <c r="M401" s="1565"/>
      <c r="N401" s="1565"/>
      <c r="Q401" s="4" t="s">
        <v>206</v>
      </c>
      <c r="S401" s="1451"/>
      <c r="T401" s="1451"/>
      <c r="U401" s="1451"/>
      <c r="V401" t="s">
        <v>73</v>
      </c>
      <c r="AI401" s="1380" t="s">
        <v>669</v>
      </c>
      <c r="AJ401" s="1380"/>
    </row>
    <row r="402" spans="4:36" ht="12.95" customHeight="1">
      <c r="D402" t="s">
        <v>310</v>
      </c>
      <c r="Q402" s="1519"/>
      <c r="R402" s="1519"/>
      <c r="S402" s="1519"/>
      <c r="T402" s="1519"/>
      <c r="U402" s="1519"/>
      <c r="V402" t="s">
        <v>311</v>
      </c>
      <c r="AG402" s="1452"/>
      <c r="AH402" s="1452"/>
      <c r="AI402" s="1452"/>
      <c r="AJ402" s="1452"/>
    </row>
    <row r="403" spans="4:36" ht="12.95" customHeight="1">
      <c r="D403" t="s">
        <v>312</v>
      </c>
      <c r="Q403" s="1494">
        <v>1.2E-2</v>
      </c>
      <c r="R403" s="1494"/>
      <c r="S403" s="1494"/>
      <c r="T403" s="1494"/>
      <c r="U403" s="1494"/>
      <c r="V403" t="s">
        <v>1163</v>
      </c>
      <c r="AG403" s="1452"/>
      <c r="AH403" s="1452"/>
      <c r="AI403" s="1452"/>
      <c r="AJ403" s="1452"/>
    </row>
    <row r="404" spans="4:36" ht="12.95" customHeight="1">
      <c r="D404" t="s">
        <v>1162</v>
      </c>
      <c r="AG404" s="1452"/>
      <c r="AH404" s="1452"/>
      <c r="AI404" s="1452"/>
      <c r="AJ404" s="1452"/>
    </row>
    <row r="405" spans="4:36" ht="12.95" customHeight="1">
      <c r="AG405" s="456"/>
      <c r="AH405" s="456"/>
      <c r="AI405" s="456"/>
      <c r="AJ405" s="456"/>
    </row>
    <row r="406" spans="4:36" ht="12.95" customHeight="1">
      <c r="D406" s="3" t="s">
        <v>2099</v>
      </c>
      <c r="AG406" s="456"/>
      <c r="AH406" s="456"/>
      <c r="AI406" s="1380" t="s">
        <v>669</v>
      </c>
      <c r="AJ406" s="1380"/>
    </row>
    <row r="407" spans="4:36" ht="12.95" customHeight="1">
      <c r="D407" s="3" t="s">
        <v>1656</v>
      </c>
      <c r="T407" s="1470"/>
      <c r="U407" s="1470"/>
      <c r="V407" s="1470"/>
      <c r="W407" s="1470"/>
      <c r="X407" s="1470"/>
      <c r="Y407" s="1470"/>
      <c r="Z407" s="1470"/>
      <c r="AA407" s="1470"/>
      <c r="AB407" s="1470"/>
      <c r="AC407" s="1470"/>
      <c r="AD407" s="1470"/>
      <c r="AE407" s="1470"/>
      <c r="AF407" s="1470"/>
      <c r="AG407" s="1470"/>
      <c r="AH407" s="1470"/>
      <c r="AI407" s="1470"/>
      <c r="AJ407" s="1470"/>
    </row>
    <row r="408" spans="4:36" ht="12.95" customHeight="1">
      <c r="D408" s="3" t="s">
        <v>1655</v>
      </c>
      <c r="T408" s="1470"/>
      <c r="U408" s="1470"/>
      <c r="V408" s="1470"/>
      <c r="W408" s="1470"/>
      <c r="X408" s="1470"/>
      <c r="Y408" s="1470"/>
      <c r="Z408" s="1470"/>
      <c r="AA408" s="1470"/>
      <c r="AB408" s="1470"/>
      <c r="AC408" s="1470"/>
      <c r="AD408" s="1470"/>
      <c r="AE408" s="1470"/>
      <c r="AF408" s="1470"/>
      <c r="AG408" s="1470"/>
      <c r="AH408" s="1470"/>
      <c r="AI408" s="1470"/>
      <c r="AJ408" s="1470"/>
    </row>
    <row r="409" spans="4:36" ht="12.95" customHeight="1">
      <c r="AG409" s="456"/>
      <c r="AH409" s="456"/>
      <c r="AI409" s="456"/>
      <c r="AJ409" s="456"/>
    </row>
    <row r="410" spans="4:36" ht="12.95" customHeight="1">
      <c r="D410" s="3" t="s">
        <v>1649</v>
      </c>
      <c r="S410" s="1470" t="s">
        <v>669</v>
      </c>
      <c r="T410" s="1470"/>
      <c r="U410" s="1470"/>
      <c r="V410" t="s">
        <v>1650</v>
      </c>
      <c r="AG410" s="1571"/>
      <c r="AH410" s="1571"/>
      <c r="AI410" s="1571"/>
      <c r="AJ410" s="1571"/>
    </row>
    <row r="411" spans="4:36" ht="12.95" customHeight="1">
      <c r="D411" s="3" t="s">
        <v>1647</v>
      </c>
      <c r="S411" s="1470" t="s">
        <v>591</v>
      </c>
      <c r="T411" s="1470"/>
      <c r="U411" s="1470"/>
      <c r="V411" t="s">
        <v>1652</v>
      </c>
      <c r="AE411" s="1508"/>
      <c r="AF411" s="1508"/>
      <c r="AG411" s="1508"/>
      <c r="AH411" s="1508"/>
      <c r="AI411" s="1508"/>
      <c r="AJ411" s="1508"/>
    </row>
    <row r="412" spans="4:36" ht="12.95" customHeight="1">
      <c r="D412" s="3" t="s">
        <v>1648</v>
      </c>
      <c r="K412" s="1541"/>
      <c r="L412" s="1541"/>
      <c r="M412" s="1541"/>
      <c r="N412" s="1541"/>
      <c r="O412" s="1541"/>
      <c r="P412" s="1541"/>
      <c r="Q412" s="1541"/>
      <c r="R412" s="1541"/>
      <c r="S412" s="1541"/>
      <c r="T412" s="1541"/>
      <c r="U412" s="1541"/>
      <c r="V412" s="1541"/>
      <c r="W412" s="1541"/>
      <c r="X412" s="1541"/>
      <c r="Y412" s="1541"/>
      <c r="Z412" s="1541"/>
      <c r="AA412" s="1541"/>
      <c r="AB412" s="1541"/>
      <c r="AC412" s="1541"/>
      <c r="AD412" s="1541"/>
      <c r="AE412" s="1541"/>
      <c r="AF412" s="1541"/>
      <c r="AG412" s="1541"/>
      <c r="AH412" s="1541"/>
      <c r="AI412" s="1541"/>
      <c r="AJ412" s="1541"/>
    </row>
    <row r="413" spans="4:36" ht="12.95" customHeight="1">
      <c r="D413" s="3" t="s">
        <v>1651</v>
      </c>
      <c r="K413" s="1541"/>
      <c r="L413" s="1541"/>
      <c r="M413" s="1541"/>
      <c r="N413" s="1541"/>
      <c r="O413" s="1541"/>
      <c r="P413" s="1541"/>
      <c r="Q413" s="1541"/>
      <c r="R413" s="1541"/>
      <c r="S413" s="1541"/>
      <c r="T413" s="1541"/>
      <c r="U413" s="1541"/>
      <c r="V413" s="1541"/>
      <c r="W413" s="1541"/>
      <c r="X413" s="1541"/>
      <c r="Y413" s="1541"/>
      <c r="Z413" s="1541"/>
      <c r="AA413" s="1541"/>
      <c r="AB413" s="1541"/>
      <c r="AC413" s="1541"/>
      <c r="AD413" s="1541"/>
      <c r="AE413" s="1541"/>
      <c r="AF413" s="1541"/>
      <c r="AG413" s="1541"/>
      <c r="AH413" s="1541"/>
      <c r="AI413" s="1541"/>
      <c r="AJ413" s="1541"/>
    </row>
    <row r="414" spans="4:36" ht="12.95" customHeight="1">
      <c r="D414" s="3" t="s">
        <v>1654</v>
      </c>
      <c r="E414" s="477"/>
      <c r="F414" s="477"/>
      <c r="G414" s="477"/>
      <c r="H414" s="477"/>
      <c r="I414" s="477"/>
      <c r="J414" s="477"/>
      <c r="K414" s="477"/>
      <c r="L414" s="477"/>
      <c r="M414" s="477"/>
      <c r="N414" s="477"/>
      <c r="O414" s="477"/>
      <c r="P414" s="477"/>
      <c r="Q414" s="477"/>
      <c r="R414" s="477"/>
      <c r="S414" s="1512" t="s">
        <v>1184</v>
      </c>
      <c r="T414" s="1512"/>
      <c r="U414" s="1512"/>
      <c r="V414" s="1512"/>
      <c r="W414" s="1512"/>
      <c r="X414" s="1512"/>
      <c r="Y414" s="1512"/>
      <c r="Z414" s="1512"/>
      <c r="AA414" s="1512"/>
      <c r="AB414" s="1512"/>
      <c r="AC414" s="1512"/>
      <c r="AD414" s="1512"/>
      <c r="AE414" s="1512"/>
      <c r="AF414" s="1512"/>
      <c r="AG414" s="1512"/>
      <c r="AH414" s="1512"/>
      <c r="AI414" s="1512"/>
      <c r="AJ414" s="1512"/>
    </row>
    <row r="415" spans="4:36" ht="12.95" customHeight="1">
      <c r="D415" s="1272" t="s">
        <v>1653</v>
      </c>
      <c r="E415" s="1272"/>
      <c r="F415" s="1272"/>
      <c r="G415" s="1272"/>
      <c r="H415" s="1272"/>
      <c r="I415" s="1272"/>
      <c r="J415" s="1272"/>
      <c r="K415" s="1272"/>
      <c r="L415" s="1272"/>
      <c r="M415" s="1272"/>
      <c r="N415" s="1272"/>
      <c r="O415" s="1272"/>
      <c r="P415" s="1272"/>
      <c r="Q415" s="1272"/>
      <c r="R415" s="1272"/>
      <c r="S415" s="1272"/>
      <c r="T415" s="1272"/>
      <c r="U415" s="1272"/>
      <c r="V415" s="1272"/>
      <c r="W415" s="1272"/>
      <c r="X415" s="1272"/>
      <c r="Y415" s="1272"/>
      <c r="Z415" s="1272"/>
      <c r="AA415" s="1272"/>
      <c r="AB415" s="1272"/>
      <c r="AC415" s="1272"/>
      <c r="AD415" s="1272"/>
      <c r="AE415" s="1272"/>
      <c r="AF415" s="1272"/>
      <c r="AG415" s="1272"/>
      <c r="AH415" s="1272"/>
      <c r="AI415" s="1272"/>
      <c r="AJ415" s="1272"/>
    </row>
    <row r="416" spans="4:36" ht="12.95" customHeight="1">
      <c r="D416" s="1272"/>
      <c r="E416" s="1272"/>
      <c r="F416" s="1272"/>
      <c r="G416" s="1272"/>
      <c r="H416" s="1272"/>
      <c r="I416" s="1272"/>
      <c r="J416" s="1272"/>
      <c r="K416" s="1272"/>
      <c r="L416" s="1272"/>
      <c r="M416" s="1272"/>
      <c r="N416" s="1272"/>
      <c r="O416" s="1272"/>
      <c r="P416" s="1272"/>
      <c r="Q416" s="1272"/>
      <c r="R416" s="1272"/>
      <c r="S416" s="1272"/>
      <c r="T416" s="1272"/>
      <c r="U416" s="1272"/>
      <c r="V416" s="1272"/>
      <c r="W416" s="1272"/>
      <c r="X416" s="1272"/>
      <c r="Y416" s="1272"/>
      <c r="Z416" s="1272"/>
      <c r="AA416" s="1272"/>
      <c r="AB416" s="1272"/>
      <c r="AC416" s="1272"/>
      <c r="AD416" s="1272"/>
      <c r="AE416" s="1272"/>
      <c r="AF416" s="1272"/>
      <c r="AG416" s="1272"/>
      <c r="AH416" s="1272"/>
      <c r="AI416" s="1272"/>
      <c r="AJ416" s="1272"/>
    </row>
    <row r="417" spans="1:39" ht="12.95" customHeight="1">
      <c r="AG417" s="456"/>
      <c r="AH417" s="456"/>
      <c r="AI417" s="456"/>
      <c r="AJ417" s="456"/>
    </row>
    <row r="418" spans="1:39" ht="12.95" customHeight="1">
      <c r="A418" s="2" t="s">
        <v>589</v>
      </c>
      <c r="B418" s="2"/>
      <c r="C418" s="2" t="s">
        <v>111</v>
      </c>
    </row>
    <row r="419" spans="1:39" ht="12.95" customHeight="1">
      <c r="B419" s="2"/>
      <c r="C419" s="2"/>
      <c r="D419" s="2" t="s">
        <v>1204</v>
      </c>
      <c r="I419" s="1425" t="s">
        <v>2675</v>
      </c>
      <c r="J419" s="1425"/>
      <c r="K419" s="1425"/>
      <c r="L419" s="1425"/>
      <c r="M419" s="1425"/>
      <c r="N419" s="1425"/>
      <c r="O419" s="1425"/>
      <c r="P419" s="1425"/>
      <c r="Q419" s="1425"/>
      <c r="R419" s="1425"/>
      <c r="S419" s="1425"/>
      <c r="T419" s="1425"/>
      <c r="U419" s="1425"/>
      <c r="V419" s="1425"/>
      <c r="W419" s="1425"/>
      <c r="X419" s="1425"/>
      <c r="Y419" s="1425"/>
      <c r="Z419" s="1425"/>
      <c r="AA419" s="1425"/>
      <c r="AB419" s="1425"/>
      <c r="AC419" s="1425"/>
      <c r="AD419" s="1425"/>
      <c r="AE419" s="1425"/>
    </row>
    <row r="420" spans="1:39" ht="12.95" customHeight="1">
      <c r="E420" t="s">
        <v>106</v>
      </c>
      <c r="R420" s="1380" t="s">
        <v>545</v>
      </c>
      <c r="S420" s="1380"/>
      <c r="AC420" s="27" t="s">
        <v>570</v>
      </c>
      <c r="AD420" s="1391">
        <v>9</v>
      </c>
      <c r="AE420" s="1391"/>
    </row>
    <row r="421" spans="1:39" ht="12.95" customHeight="1">
      <c r="E421" t="s">
        <v>107</v>
      </c>
      <c r="R421" s="1380" t="s">
        <v>591</v>
      </c>
      <c r="S421" s="1380"/>
      <c r="AC421" s="27" t="s">
        <v>570</v>
      </c>
      <c r="AD421" s="1391"/>
      <c r="AE421" s="1391"/>
    </row>
    <row r="422" spans="1:39" ht="12.95" customHeight="1">
      <c r="E422" t="s">
        <v>108</v>
      </c>
      <c r="S422" s="1380" t="s">
        <v>591</v>
      </c>
      <c r="T422" s="1380"/>
    </row>
    <row r="423" spans="1:39" ht="12.95" customHeight="1">
      <c r="E423" t="s">
        <v>170</v>
      </c>
      <c r="H423" s="1495" t="s">
        <v>2764</v>
      </c>
      <c r="I423" s="1495"/>
      <c r="J423" s="1495"/>
      <c r="K423" s="1495"/>
      <c r="L423" s="1495"/>
      <c r="M423" s="1495"/>
      <c r="N423" s="1495"/>
      <c r="O423" s="1495"/>
      <c r="P423" s="1495"/>
      <c r="Q423" s="1495"/>
      <c r="R423" s="1495"/>
      <c r="S423" s="1495"/>
      <c r="T423" s="1495"/>
      <c r="U423" s="1495"/>
      <c r="V423" s="1495"/>
      <c r="W423" s="1495"/>
      <c r="X423" s="1495"/>
      <c r="Y423" s="1495"/>
      <c r="Z423" s="1495"/>
      <c r="AA423" s="1495"/>
      <c r="AB423" s="1495"/>
      <c r="AC423" s="1495"/>
      <c r="AD423" s="1495"/>
      <c r="AE423" s="1495"/>
    </row>
    <row r="424" spans="1:39" ht="12.95" customHeight="1">
      <c r="H424" s="1496"/>
      <c r="I424" s="1496"/>
      <c r="J424" s="1496"/>
      <c r="K424" s="1496"/>
      <c r="L424" s="1496"/>
      <c r="M424" s="1496"/>
      <c r="N424" s="1496"/>
      <c r="O424" s="1496"/>
      <c r="P424" s="1496"/>
      <c r="Q424" s="1496"/>
      <c r="R424" s="1496"/>
      <c r="S424" s="1496"/>
      <c r="T424" s="1496"/>
      <c r="U424" s="1496"/>
      <c r="V424" s="1496"/>
      <c r="W424" s="1496"/>
      <c r="X424" s="1496"/>
      <c r="Y424" s="1496"/>
      <c r="Z424" s="1496"/>
      <c r="AA424" s="1496"/>
      <c r="AB424" s="1496"/>
      <c r="AC424" s="1496"/>
      <c r="AD424" s="1496"/>
      <c r="AE424" s="1496"/>
    </row>
    <row r="425" spans="1:39" ht="12.95" customHeight="1"/>
    <row r="426" spans="1:39" ht="12.95" customHeight="1">
      <c r="A426" s="2" t="s">
        <v>590</v>
      </c>
      <c r="B426" s="2"/>
      <c r="C426" s="2"/>
      <c r="D426" s="2" t="s">
        <v>114</v>
      </c>
      <c r="AF426" s="2" t="s">
        <v>957</v>
      </c>
    </row>
    <row r="427" spans="1:39" ht="12.95" customHeight="1">
      <c r="E427" s="1510"/>
      <c r="F427" s="1510"/>
      <c r="G427" s="1510"/>
      <c r="H427" s="13" t="s">
        <v>115</v>
      </c>
      <c r="I427" s="1510"/>
      <c r="J427" s="1510"/>
      <c r="K427" s="1510"/>
      <c r="L427" t="s">
        <v>116</v>
      </c>
      <c r="N427" s="27" t="s">
        <v>575</v>
      </c>
      <c r="P427" s="1513">
        <v>1.60259</v>
      </c>
      <c r="Q427" s="1513"/>
      <c r="R427" s="1513"/>
      <c r="S427" t="s">
        <v>117</v>
      </c>
      <c r="W427" s="1511">
        <f>IF(E427&gt;0,(E427*I427),(P427*43560))</f>
        <v>69808.820399999997</v>
      </c>
      <c r="X427" s="1511"/>
      <c r="Y427" s="1511"/>
      <c r="Z427" t="s">
        <v>118</v>
      </c>
      <c r="AF427" s="1567">
        <f>IFERROR(IF(P427&gt;0,(AG446/P427),(AG446/(W427/43560))),0)</f>
        <v>118.55808410136092</v>
      </c>
      <c r="AG427" s="1567"/>
      <c r="AH427" s="1567"/>
      <c r="AM427" s="3"/>
    </row>
    <row r="428" spans="1:39" ht="12.95" customHeight="1">
      <c r="E428" t="s">
        <v>51</v>
      </c>
    </row>
    <row r="429" spans="1:39" ht="12.95" customHeight="1">
      <c r="E429" s="1499"/>
      <c r="F429" s="1499"/>
      <c r="G429" s="1499"/>
      <c r="H429" s="1499"/>
      <c r="I429" s="1499"/>
      <c r="J429" s="1499"/>
      <c r="K429" s="1499"/>
      <c r="L429" s="1499"/>
      <c r="M429" s="1499"/>
      <c r="N429" s="1499"/>
      <c r="O429" s="1499"/>
      <c r="P429" s="1499"/>
      <c r="Q429" s="1499"/>
      <c r="R429" s="1499"/>
      <c r="S429" s="1499"/>
      <c r="T429" s="1499"/>
      <c r="U429" s="1499"/>
      <c r="V429" s="1499"/>
      <c r="W429" s="1499"/>
      <c r="X429" s="1499"/>
      <c r="Y429" s="1499"/>
      <c r="Z429" s="1499"/>
      <c r="AA429" s="1499"/>
      <c r="AB429" s="1499"/>
      <c r="AC429" s="1499"/>
      <c r="AD429" s="1499"/>
      <c r="AE429" s="1499"/>
      <c r="AF429" s="1499"/>
      <c r="AG429" s="1499"/>
      <c r="AH429" s="1499"/>
      <c r="AI429" s="1499"/>
      <c r="AJ429" s="1499"/>
    </row>
    <row r="430" spans="1:39" ht="12.95" customHeight="1">
      <c r="E430" s="118" t="s">
        <v>1725</v>
      </c>
      <c r="F430" s="1008"/>
      <c r="G430" s="1008"/>
      <c r="H430" s="1008"/>
      <c r="I430" s="1505">
        <v>1.55</v>
      </c>
      <c r="J430" s="1505"/>
      <c r="K430" s="1505"/>
      <c r="L430" s="1008"/>
      <c r="M430" s="118"/>
      <c r="N430" s="1008"/>
      <c r="O430" s="1008"/>
      <c r="P430" s="1516">
        <f>(DU763+DU786+DU808)/I430</f>
        <v>126.45161290322581</v>
      </c>
      <c r="Q430" s="1516"/>
      <c r="R430" s="1516"/>
      <c r="S430" s="118" t="s">
        <v>1726</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592</v>
      </c>
      <c r="B432" s="2"/>
      <c r="C432" s="2"/>
      <c r="D432" s="2" t="s">
        <v>120</v>
      </c>
    </row>
    <row r="433" spans="1:36" ht="12.95" customHeight="1">
      <c r="E433" t="s">
        <v>121</v>
      </c>
      <c r="P433" s="1380">
        <v>1</v>
      </c>
      <c r="Q433" s="1380"/>
      <c r="S433" t="s">
        <v>189</v>
      </c>
      <c r="AE433" s="1380">
        <v>1</v>
      </c>
      <c r="AF433" s="1380"/>
    </row>
    <row r="434" spans="1:36" ht="12.95" customHeight="1">
      <c r="E434" t="s">
        <v>190</v>
      </c>
      <c r="P434" s="1380">
        <v>0</v>
      </c>
      <c r="Q434" s="1380"/>
      <c r="S434" t="s">
        <v>131</v>
      </c>
      <c r="AE434" s="1380" t="s">
        <v>591</v>
      </c>
      <c r="AF434" s="1380"/>
    </row>
    <row r="435" spans="1:36" ht="12.95" customHeight="1">
      <c r="F435" s="28" t="s">
        <v>132</v>
      </c>
    </row>
    <row r="436" spans="1:36" ht="12.95" customHeight="1">
      <c r="F436" s="1522"/>
      <c r="G436" s="1522"/>
      <c r="H436" s="1522"/>
      <c r="I436" s="1522"/>
      <c r="J436" s="1522"/>
      <c r="K436" s="1522"/>
      <c r="L436" s="1522"/>
      <c r="M436" s="1522"/>
      <c r="N436" s="1522"/>
      <c r="O436" s="1522"/>
      <c r="P436" s="1522"/>
      <c r="Q436" s="1522"/>
      <c r="R436" s="1522"/>
      <c r="S436" s="1522"/>
      <c r="T436" s="1522"/>
      <c r="U436" s="1522"/>
      <c r="V436" s="1522"/>
      <c r="W436" s="1522"/>
      <c r="X436" s="1522"/>
      <c r="Y436" s="1522"/>
      <c r="Z436" s="1522"/>
      <c r="AA436" s="1522"/>
      <c r="AB436" s="1522"/>
      <c r="AC436" s="1522"/>
      <c r="AD436" s="1522"/>
      <c r="AE436" s="1522"/>
      <c r="AF436" s="1522"/>
      <c r="AG436" s="1522"/>
      <c r="AH436" s="1522"/>
    </row>
    <row r="437" spans="1:36" ht="12.95" customHeight="1">
      <c r="F437" s="1523"/>
      <c r="G437" s="1523"/>
      <c r="H437" s="1523"/>
      <c r="I437" s="1523"/>
      <c r="J437" s="1523"/>
      <c r="K437" s="1523"/>
      <c r="L437" s="1523"/>
      <c r="M437" s="1523"/>
      <c r="N437" s="1523"/>
      <c r="O437" s="1523"/>
      <c r="P437" s="1523"/>
      <c r="Q437" s="1523"/>
      <c r="R437" s="1523"/>
      <c r="S437" s="1523"/>
      <c r="T437" s="1523"/>
      <c r="U437" s="1523"/>
      <c r="V437" s="1523"/>
      <c r="W437" s="1523"/>
      <c r="X437" s="1523"/>
      <c r="Y437" s="1523"/>
      <c r="Z437" s="1523"/>
      <c r="AA437" s="1523"/>
      <c r="AB437" s="1523"/>
      <c r="AC437" s="1523"/>
      <c r="AD437" s="1523"/>
      <c r="AE437" s="1523"/>
      <c r="AF437" s="1523"/>
      <c r="AG437" s="1523"/>
      <c r="AH437" s="1523"/>
    </row>
    <row r="438" spans="1:36" ht="12.95" customHeight="1">
      <c r="E438" t="s">
        <v>608</v>
      </c>
      <c r="P438" s="1"/>
      <c r="Q438" s="1380" t="s">
        <v>545</v>
      </c>
      <c r="R438" s="1380"/>
    </row>
    <row r="439" spans="1:36" ht="12.95" customHeight="1">
      <c r="F439" t="s">
        <v>609</v>
      </c>
      <c r="P439" s="1"/>
      <c r="Q439" s="1"/>
      <c r="AF439" s="1380" t="s">
        <v>591</v>
      </c>
      <c r="AG439" s="1504"/>
    </row>
    <row r="440" spans="1:36" ht="12.95" customHeight="1"/>
    <row r="441" spans="1:36" ht="12.95" customHeight="1">
      <c r="A441" s="2"/>
      <c r="B441" s="2"/>
      <c r="C441" s="2"/>
      <c r="E441" s="4" t="s">
        <v>308</v>
      </c>
      <c r="Z441" s="1380" t="s">
        <v>669</v>
      </c>
      <c r="AA441" s="1380"/>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707</v>
      </c>
      <c r="G443" s="40"/>
      <c r="I443" s="40"/>
      <c r="J443" s="40"/>
      <c r="K443" s="40"/>
      <c r="L443" s="40"/>
      <c r="M443" s="40"/>
      <c r="N443" s="40"/>
      <c r="O443" s="28"/>
      <c r="P443" s="40"/>
      <c r="Q443" s="40"/>
      <c r="R443" s="40"/>
      <c r="S443" s="40"/>
      <c r="T443" s="40"/>
      <c r="U443" s="40"/>
      <c r="V443" s="40"/>
      <c r="W443" s="40"/>
      <c r="Z443" s="1380" t="s">
        <v>591</v>
      </c>
      <c r="AA443" s="1380"/>
    </row>
    <row r="444" spans="1:36" ht="12.95" customHeight="1"/>
    <row r="445" spans="1:36" ht="12.95" customHeight="1">
      <c r="A445" s="2" t="s">
        <v>467</v>
      </c>
      <c r="B445" s="2"/>
      <c r="C445" s="2"/>
      <c r="D445" s="2" t="s">
        <v>764</v>
      </c>
      <c r="AF445" s="48"/>
    </row>
    <row r="446" spans="1:36" ht="12.95" customHeight="1">
      <c r="D446" s="1395" t="s">
        <v>43</v>
      </c>
      <c r="E446" s="1396"/>
      <c r="F446" s="1396"/>
      <c r="G446" s="1396"/>
      <c r="H446" s="1396"/>
      <c r="I446" s="1396"/>
      <c r="J446" s="1396"/>
      <c r="K446" s="1396"/>
      <c r="L446" s="1396"/>
      <c r="M446" s="1396"/>
      <c r="N446" s="1396"/>
      <c r="O446" s="1396"/>
      <c r="P446" s="1396"/>
      <c r="Q446" s="1396"/>
      <c r="R446" s="1396"/>
      <c r="S446" s="1396"/>
      <c r="T446" s="1396"/>
      <c r="U446" s="1396"/>
      <c r="V446" s="1396"/>
      <c r="W446" s="1396"/>
      <c r="X446" s="1396"/>
      <c r="Y446" s="1396"/>
      <c r="Z446" s="1396"/>
      <c r="AA446" s="1396"/>
      <c r="AB446" s="1396"/>
      <c r="AC446" s="1396"/>
      <c r="AD446" s="1396"/>
      <c r="AE446" s="1396"/>
      <c r="AF446" s="1397"/>
      <c r="AG446" s="1500">
        <v>190</v>
      </c>
      <c r="AH446" s="1500"/>
      <c r="AI446" s="1500"/>
      <c r="AJ446" s="1500"/>
    </row>
    <row r="447" spans="1:36" ht="12.95" customHeight="1">
      <c r="D447" s="1501" t="s">
        <v>1222</v>
      </c>
      <c r="E447" s="1502"/>
      <c r="F447" s="1502"/>
      <c r="G447" s="1502"/>
      <c r="H447" s="1502"/>
      <c r="I447" s="1502"/>
      <c r="J447" s="1502"/>
      <c r="K447" s="1502"/>
      <c r="L447" s="1502"/>
      <c r="M447" s="1502"/>
      <c r="N447" s="1502"/>
      <c r="O447" s="1502"/>
      <c r="P447" s="1502"/>
      <c r="Q447" s="1502"/>
      <c r="R447" s="1502"/>
      <c r="S447" s="1502"/>
      <c r="T447" s="1502"/>
      <c r="U447" s="1502"/>
      <c r="V447" s="1502"/>
      <c r="W447" s="1502"/>
      <c r="X447" s="1502"/>
      <c r="Y447" s="1502"/>
      <c r="Z447" s="1502"/>
      <c r="AA447" s="1502"/>
      <c r="AB447" s="1502"/>
      <c r="AC447" s="1502"/>
      <c r="AD447" s="1502"/>
      <c r="AE447" s="1502"/>
      <c r="AF447" s="1503"/>
      <c r="AG447" s="1514">
        <v>0</v>
      </c>
      <c r="AH447" s="1515"/>
      <c r="AI447" s="1515"/>
      <c r="AJ447" s="1515"/>
    </row>
    <row r="448" spans="1:36" ht="12.95" customHeight="1">
      <c r="D448" s="1501" t="s">
        <v>1031</v>
      </c>
      <c r="E448" s="1502"/>
      <c r="F448" s="1502"/>
      <c r="G448" s="1502"/>
      <c r="H448" s="1502"/>
      <c r="I448" s="1502"/>
      <c r="J448" s="1502"/>
      <c r="K448" s="1502"/>
      <c r="L448" s="1502"/>
      <c r="M448" s="1502"/>
      <c r="N448" s="1502"/>
      <c r="O448" s="1502"/>
      <c r="P448" s="1502"/>
      <c r="Q448" s="1502"/>
      <c r="R448" s="1502"/>
      <c r="S448" s="1502"/>
      <c r="T448" s="1502"/>
      <c r="U448" s="1502"/>
      <c r="V448" s="1502"/>
      <c r="W448" s="1502"/>
      <c r="X448" s="1502"/>
      <c r="Y448" s="1502"/>
      <c r="Z448" s="1502"/>
      <c r="AA448" s="1502"/>
      <c r="AB448" s="1502"/>
      <c r="AC448" s="1502"/>
      <c r="AD448" s="1502"/>
      <c r="AE448" s="1502"/>
      <c r="AF448" s="1503"/>
      <c r="AG448" s="1500">
        <v>188</v>
      </c>
      <c r="AH448" s="1500"/>
      <c r="AI448" s="1500"/>
      <c r="AJ448" s="1500"/>
    </row>
    <row r="449" spans="4:55" ht="12.95" customHeight="1">
      <c r="D449" s="1501" t="s">
        <v>1032</v>
      </c>
      <c r="E449" s="1502"/>
      <c r="F449" s="1502"/>
      <c r="G449" s="1502"/>
      <c r="H449" s="1502"/>
      <c r="I449" s="1502"/>
      <c r="J449" s="1502"/>
      <c r="K449" s="1502"/>
      <c r="L449" s="1502"/>
      <c r="M449" s="1502"/>
      <c r="N449" s="1502"/>
      <c r="O449" s="1502"/>
      <c r="P449" s="1502"/>
      <c r="Q449" s="1502"/>
      <c r="R449" s="1502"/>
      <c r="S449" s="1502"/>
      <c r="T449" s="1502"/>
      <c r="U449" s="1502"/>
      <c r="V449" s="1502"/>
      <c r="W449" s="1502"/>
      <c r="X449" s="1502"/>
      <c r="Y449" s="1502"/>
      <c r="Z449" s="1502"/>
      <c r="AA449" s="1502"/>
      <c r="AB449" s="1502"/>
      <c r="AC449" s="1502"/>
      <c r="AD449" s="1502"/>
      <c r="AE449" s="1502"/>
      <c r="AF449" s="1503"/>
      <c r="AG449" s="1500">
        <v>188</v>
      </c>
      <c r="AH449" s="1500"/>
      <c r="AI449" s="1500"/>
      <c r="AJ449" s="1500"/>
    </row>
    <row r="450" spans="4:55" ht="12.95" customHeight="1">
      <c r="D450" s="1501" t="s">
        <v>1034</v>
      </c>
      <c r="E450" s="1502"/>
      <c r="F450" s="1502"/>
      <c r="G450" s="1502"/>
      <c r="H450" s="1502"/>
      <c r="I450" s="1502"/>
      <c r="J450" s="1502"/>
      <c r="K450" s="1502"/>
      <c r="L450" s="1502"/>
      <c r="M450" s="1502"/>
      <c r="N450" s="1502"/>
      <c r="O450" s="1502"/>
      <c r="P450" s="1502"/>
      <c r="Q450" s="1502"/>
      <c r="R450" s="1502"/>
      <c r="S450" s="1502"/>
      <c r="T450" s="1502"/>
      <c r="U450" s="1502"/>
      <c r="V450" s="1502"/>
      <c r="W450" s="1502"/>
      <c r="X450" s="1502"/>
      <c r="Y450" s="1502"/>
      <c r="Z450" s="1502"/>
      <c r="AA450" s="1502"/>
      <c r="AB450" s="1502"/>
      <c r="AC450" s="1502"/>
      <c r="AD450" s="1502"/>
      <c r="AE450" s="1502"/>
      <c r="AF450" s="1503"/>
      <c r="AG450" s="1389">
        <f>IF(ISERROR(AG449/AG448),0,AG449/AG448)</f>
        <v>1</v>
      </c>
      <c r="AH450" s="1389"/>
      <c r="AI450" s="1389"/>
      <c r="AJ450" s="1389"/>
    </row>
    <row r="451" spans="4:55" ht="12.95" customHeight="1">
      <c r="D451" s="1501" t="s">
        <v>1033</v>
      </c>
      <c r="E451" s="1502"/>
      <c r="F451" s="1502"/>
      <c r="G451" s="1502"/>
      <c r="H451" s="1502"/>
      <c r="I451" s="1502"/>
      <c r="J451" s="1502"/>
      <c r="K451" s="1502"/>
      <c r="L451" s="1502"/>
      <c r="M451" s="1502"/>
      <c r="N451" s="1502"/>
      <c r="O451" s="1502"/>
      <c r="P451" s="1502"/>
      <c r="Q451" s="1502"/>
      <c r="R451" s="1502"/>
      <c r="S451" s="1502"/>
      <c r="T451" s="1502"/>
      <c r="U451" s="1502"/>
      <c r="V451" s="1502"/>
      <c r="W451" s="1502"/>
      <c r="X451" s="1502"/>
      <c r="Y451" s="1502"/>
      <c r="Z451" s="1502"/>
      <c r="AA451" s="1502"/>
      <c r="AB451" s="1502"/>
      <c r="AC451" s="1502"/>
      <c r="AD451" s="1502"/>
      <c r="AE451" s="1502"/>
      <c r="AF451" s="1503"/>
      <c r="AG451" s="1493">
        <v>108804</v>
      </c>
      <c r="AH451" s="1493"/>
      <c r="AI451" s="1493"/>
      <c r="AJ451" s="1493"/>
    </row>
    <row r="452" spans="4:55" ht="12.95" customHeight="1">
      <c r="D452" s="1501" t="s">
        <v>1035</v>
      </c>
      <c r="E452" s="1502"/>
      <c r="F452" s="1502"/>
      <c r="G452" s="1502"/>
      <c r="H452" s="1502"/>
      <c r="I452" s="1502"/>
      <c r="J452" s="1502"/>
      <c r="K452" s="1502"/>
      <c r="L452" s="1502"/>
      <c r="M452" s="1502"/>
      <c r="N452" s="1502"/>
      <c r="O452" s="1502"/>
      <c r="P452" s="1502"/>
      <c r="Q452" s="1502"/>
      <c r="R452" s="1502"/>
      <c r="S452" s="1502"/>
      <c r="T452" s="1502"/>
      <c r="U452" s="1502"/>
      <c r="V452" s="1502"/>
      <c r="W452" s="1502"/>
      <c r="X452" s="1502"/>
      <c r="Y452" s="1502"/>
      <c r="Z452" s="1502"/>
      <c r="AA452" s="1502"/>
      <c r="AB452" s="1502"/>
      <c r="AC452" s="1502"/>
      <c r="AD452" s="1502"/>
      <c r="AE452" s="1502"/>
      <c r="AF452" s="1503"/>
      <c r="AG452" s="1493">
        <v>108804</v>
      </c>
      <c r="AH452" s="1493"/>
      <c r="AI452" s="1493"/>
      <c r="AJ452" s="1493"/>
    </row>
    <row r="453" spans="4:55" ht="12.95" customHeight="1">
      <c r="D453" s="1501" t="s">
        <v>1036</v>
      </c>
      <c r="E453" s="1502"/>
      <c r="F453" s="1502"/>
      <c r="G453" s="1502"/>
      <c r="H453" s="1502"/>
      <c r="I453" s="1502"/>
      <c r="J453" s="1502"/>
      <c r="K453" s="1502"/>
      <c r="L453" s="1502"/>
      <c r="M453" s="1502"/>
      <c r="N453" s="1502"/>
      <c r="O453" s="1502"/>
      <c r="P453" s="1502"/>
      <c r="Q453" s="1502"/>
      <c r="R453" s="1502"/>
      <c r="S453" s="1502"/>
      <c r="T453" s="1502"/>
      <c r="U453" s="1502"/>
      <c r="V453" s="1502"/>
      <c r="W453" s="1502"/>
      <c r="X453" s="1502"/>
      <c r="Y453" s="1502"/>
      <c r="Z453" s="1502"/>
      <c r="AA453" s="1502"/>
      <c r="AB453" s="1502"/>
      <c r="AC453" s="1502"/>
      <c r="AD453" s="1502"/>
      <c r="AE453" s="1502"/>
      <c r="AF453" s="1503"/>
      <c r="AG453" s="1389">
        <f>IF(ISERROR(AG452/AG451),0,AG452/AG451)</f>
        <v>1</v>
      </c>
      <c r="AH453" s="1389"/>
      <c r="AI453" s="1389"/>
      <c r="AJ453" s="1389"/>
    </row>
    <row r="454" spans="4:55" ht="12.95" customHeight="1">
      <c r="D454" s="1501" t="s">
        <v>1037</v>
      </c>
      <c r="E454" s="1502"/>
      <c r="F454" s="1502"/>
      <c r="G454" s="1502"/>
      <c r="H454" s="1502"/>
      <c r="I454" s="1502"/>
      <c r="J454" s="1502"/>
      <c r="K454" s="1502"/>
      <c r="L454" s="1502"/>
      <c r="M454" s="1502"/>
      <c r="N454" s="1502"/>
      <c r="O454" s="1502"/>
      <c r="P454" s="1502"/>
      <c r="Q454" s="1502"/>
      <c r="R454" s="1502"/>
      <c r="S454" s="1502"/>
      <c r="T454" s="1502"/>
      <c r="U454" s="1502"/>
      <c r="V454" s="1502"/>
      <c r="W454" s="1502"/>
      <c r="X454" s="1502"/>
      <c r="Y454" s="1502"/>
      <c r="Z454" s="1502"/>
      <c r="AA454" s="1502"/>
      <c r="AB454" s="1502"/>
      <c r="AC454" s="1502"/>
      <c r="AD454" s="1502"/>
      <c r="AE454" s="1502"/>
      <c r="AF454" s="1503"/>
      <c r="AG454" s="1389">
        <f>MIN(IF(AG450&gt;AG453,AG453,AG450),1)</f>
        <v>1</v>
      </c>
      <c r="AH454" s="1389"/>
      <c r="AI454" s="1389"/>
      <c r="AJ454" s="1389"/>
    </row>
    <row r="455" spans="4:55" ht="12.95" customHeight="1">
      <c r="D455" s="1501" t="s">
        <v>2044</v>
      </c>
      <c r="E455" s="1396"/>
      <c r="F455" s="1396"/>
      <c r="G455" s="1396"/>
      <c r="H455" s="1396"/>
      <c r="I455" s="1396"/>
      <c r="J455" s="1396"/>
      <c r="K455" s="1396"/>
      <c r="L455" s="1396"/>
      <c r="M455" s="1396"/>
      <c r="N455" s="1396"/>
      <c r="O455" s="1396"/>
      <c r="P455" s="1396"/>
      <c r="Q455" s="1396"/>
      <c r="R455" s="1396"/>
      <c r="S455" s="1396"/>
      <c r="T455" s="1396"/>
      <c r="U455" s="1396"/>
      <c r="V455" s="1396"/>
      <c r="W455" s="1396"/>
      <c r="X455" s="1396"/>
      <c r="Y455" s="1396"/>
      <c r="Z455" s="1396"/>
      <c r="AA455" s="1396"/>
      <c r="AB455" s="1396"/>
      <c r="AC455" s="1396"/>
      <c r="AD455" s="1396"/>
      <c r="AE455" s="1396"/>
      <c r="AF455" s="1397"/>
      <c r="AG455" s="1493">
        <v>5306</v>
      </c>
      <c r="AH455" s="1493"/>
      <c r="AI455" s="1493"/>
      <c r="AJ455" s="1493"/>
      <c r="AZ455" s="34"/>
      <c r="BA455" s="34"/>
      <c r="BB455" s="34"/>
      <c r="BC455" s="34"/>
    </row>
    <row r="456" spans="4:55" ht="12.95" customHeight="1">
      <c r="D456" s="1395" t="s">
        <v>569</v>
      </c>
      <c r="E456" s="1396"/>
      <c r="F456" s="1396"/>
      <c r="G456" s="1396"/>
      <c r="H456" s="1396"/>
      <c r="I456" s="1396"/>
      <c r="J456" s="1396"/>
      <c r="K456" s="1396"/>
      <c r="L456" s="1396"/>
      <c r="M456" s="1396"/>
      <c r="N456" s="1396"/>
      <c r="O456" s="1396"/>
      <c r="P456" s="1396"/>
      <c r="Q456" s="1396"/>
      <c r="R456" s="1396"/>
      <c r="S456" s="1396"/>
      <c r="T456" s="1396"/>
      <c r="U456" s="1396"/>
      <c r="V456" s="1396"/>
      <c r="W456" s="1396"/>
      <c r="X456" s="1396"/>
      <c r="Y456" s="1396"/>
      <c r="Z456" s="1396"/>
      <c r="AA456" s="1396"/>
      <c r="AB456" s="1396"/>
      <c r="AC456" s="1396"/>
      <c r="AD456" s="1396"/>
      <c r="AE456" s="1396"/>
      <c r="AF456" s="1397"/>
      <c r="AG456" s="1493">
        <v>0</v>
      </c>
      <c r="AH456" s="1493"/>
      <c r="AI456" s="1493"/>
      <c r="AJ456" s="1493"/>
      <c r="AZ456" s="3"/>
      <c r="BA456" s="3"/>
      <c r="BB456" s="3"/>
      <c r="BC456" s="3"/>
    </row>
    <row r="457" spans="4:55" ht="12.95" customHeight="1">
      <c r="D457" s="1501" t="s">
        <v>1205</v>
      </c>
      <c r="E457" s="1396"/>
      <c r="F457" s="1396"/>
      <c r="G457" s="1396"/>
      <c r="H457" s="1396"/>
      <c r="I457" s="1396"/>
      <c r="J457" s="1396"/>
      <c r="K457" s="1396"/>
      <c r="L457" s="1396"/>
      <c r="M457" s="1396"/>
      <c r="N457" s="1396"/>
      <c r="O457" s="1396"/>
      <c r="P457" s="1396"/>
      <c r="Q457" s="1396"/>
      <c r="R457" s="1396"/>
      <c r="S457" s="1396"/>
      <c r="T457" s="1396"/>
      <c r="U457" s="1396"/>
      <c r="V457" s="1396"/>
      <c r="W457" s="1396"/>
      <c r="X457" s="1396"/>
      <c r="Y457" s="1396"/>
      <c r="Z457" s="1396"/>
      <c r="AA457" s="1396"/>
      <c r="AB457" s="1396"/>
      <c r="AC457" s="1396"/>
      <c r="AD457" s="1396"/>
      <c r="AE457" s="1396"/>
      <c r="AF457" s="1397"/>
      <c r="AG457" s="1493">
        <v>6380</v>
      </c>
      <c r="AH457" s="1493"/>
      <c r="AI457" s="1493"/>
      <c r="AJ457" s="1493"/>
      <c r="AZ457" s="3"/>
      <c r="BA457" s="3"/>
      <c r="BB457" s="3"/>
      <c r="BC457" s="3"/>
    </row>
    <row r="458" spans="4:55" ht="12.95" customHeight="1">
      <c r="D458" s="1501" t="s">
        <v>1038</v>
      </c>
      <c r="E458" s="1396"/>
      <c r="F458" s="1396"/>
      <c r="G458" s="1396"/>
      <c r="H458" s="1396"/>
      <c r="I458" s="1396"/>
      <c r="J458" s="1396"/>
      <c r="K458" s="1396"/>
      <c r="L458" s="1396"/>
      <c r="M458" s="1396"/>
      <c r="N458" s="1396"/>
      <c r="O458" s="1396"/>
      <c r="P458" s="1396"/>
      <c r="Q458" s="1396"/>
      <c r="R458" s="1396"/>
      <c r="S458" s="1396"/>
      <c r="T458" s="1396"/>
      <c r="U458" s="1396"/>
      <c r="V458" s="1396"/>
      <c r="W458" s="1396"/>
      <c r="X458" s="1396"/>
      <c r="Y458" s="1396"/>
      <c r="Z458" s="1396"/>
      <c r="AA458" s="1396"/>
      <c r="AB458" s="1396"/>
      <c r="AC458" s="1396"/>
      <c r="AD458" s="1396"/>
      <c r="AE458" s="1396"/>
      <c r="AF458" s="1397"/>
      <c r="AG458" s="1493">
        <v>0</v>
      </c>
      <c r="AH458" s="1493"/>
      <c r="AI458" s="1493"/>
      <c r="AJ458" s="1493"/>
      <c r="BB458" s="3"/>
      <c r="BC458" s="3"/>
    </row>
    <row r="459" spans="4:55" ht="12.95" customHeight="1">
      <c r="D459" s="1568" t="s">
        <v>1039</v>
      </c>
      <c r="E459" s="1569"/>
      <c r="F459" s="1569"/>
      <c r="G459" s="1569"/>
      <c r="H459" s="1569"/>
      <c r="I459" s="1569"/>
      <c r="J459" s="1569"/>
      <c r="K459" s="1569"/>
      <c r="L459" s="1569"/>
      <c r="M459" s="1569"/>
      <c r="N459" s="1569"/>
      <c r="O459" s="1569"/>
      <c r="P459" s="1569"/>
      <c r="Q459" s="1569"/>
      <c r="R459" s="1569"/>
      <c r="S459" s="1569"/>
      <c r="T459" s="1569"/>
      <c r="U459" s="1569"/>
      <c r="V459" s="1569"/>
      <c r="W459" s="1569"/>
      <c r="X459" s="1569"/>
      <c r="Y459" s="1569"/>
      <c r="Z459" s="1569"/>
      <c r="AA459" s="1569"/>
      <c r="AB459" s="1569"/>
      <c r="AC459" s="1569"/>
      <c r="AD459" s="1569"/>
      <c r="AE459" s="1569"/>
      <c r="AF459" s="1570"/>
      <c r="AG459" s="1436">
        <f>AG451+AG455+AG457+AG458</f>
        <v>120490</v>
      </c>
      <c r="AH459" s="1436"/>
      <c r="AI459" s="1436"/>
      <c r="AJ459" s="1436"/>
      <c r="AZ459" s="3"/>
      <c r="BA459" s="3"/>
      <c r="BB459" s="3"/>
      <c r="BC459" s="3"/>
    </row>
    <row r="460" spans="4:55" ht="12.95" customHeight="1">
      <c r="D460" s="1572" t="s">
        <v>1206</v>
      </c>
      <c r="E460" s="1572"/>
      <c r="F460" s="1572"/>
      <c r="G460" s="1572"/>
      <c r="H460" s="1572"/>
      <c r="I460" s="1572"/>
      <c r="J460" s="1572"/>
      <c r="K460" s="1572"/>
      <c r="L460" s="1572"/>
      <c r="M460" s="1572"/>
      <c r="N460" s="1572"/>
      <c r="O460" s="1572"/>
      <c r="P460" s="1572"/>
      <c r="Q460" s="1572"/>
      <c r="R460" s="1572"/>
      <c r="S460" s="1572"/>
      <c r="T460" s="1572"/>
      <c r="U460" s="1572"/>
      <c r="V460" s="1572"/>
      <c r="W460" s="1572"/>
      <c r="X460" s="1572"/>
      <c r="Y460" s="1572"/>
      <c r="Z460" s="1572"/>
      <c r="AA460" s="1572"/>
      <c r="AB460" s="1572"/>
      <c r="AC460" s="1572"/>
      <c r="AD460" s="1572"/>
      <c r="AE460" s="1572"/>
      <c r="AF460" s="1572"/>
      <c r="AG460" s="1572"/>
      <c r="AH460" s="1572"/>
      <c r="AI460" s="1572"/>
      <c r="AJ460" s="1572"/>
      <c r="AZ460" s="3"/>
      <c r="BA460" s="3"/>
      <c r="BB460" s="3"/>
      <c r="BC460" s="3"/>
    </row>
    <row r="461" spans="4:55" ht="12.95" customHeight="1">
      <c r="D461" s="1573"/>
      <c r="E461" s="1573"/>
      <c r="F461" s="1573"/>
      <c r="G461" s="1573"/>
      <c r="H461" s="1573"/>
      <c r="I461" s="1573"/>
      <c r="J461" s="1573"/>
      <c r="K461" s="1573"/>
      <c r="L461" s="1573"/>
      <c r="M461" s="1573"/>
      <c r="N461" s="1573"/>
      <c r="O461" s="1573"/>
      <c r="P461" s="1573"/>
      <c r="Q461" s="1573"/>
      <c r="R461" s="1573"/>
      <c r="S461" s="1573"/>
      <c r="T461" s="1573"/>
      <c r="U461" s="1573"/>
      <c r="V461" s="1573"/>
      <c r="W461" s="1573"/>
      <c r="X461" s="1573"/>
      <c r="Y461" s="1573"/>
      <c r="Z461" s="1573"/>
      <c r="AA461" s="1573"/>
      <c r="AB461" s="1573"/>
      <c r="AC461" s="1573"/>
      <c r="AD461" s="1573"/>
      <c r="AE461" s="1573"/>
      <c r="AF461" s="1573"/>
      <c r="AG461" s="1573"/>
      <c r="AH461" s="1573"/>
      <c r="AI461" s="1573"/>
      <c r="AJ461" s="1573"/>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472">
        <f>IF(AG446=0,"",'Sources and Uses Budget'!B105/Application!AG446)</f>
        <v>375282.66842105263</v>
      </c>
      <c r="AD463" s="1472"/>
      <c r="AE463" s="1472"/>
      <c r="AF463" s="1472"/>
      <c r="AG463" s="177"/>
      <c r="AH463" s="177"/>
      <c r="AI463" s="177"/>
      <c r="AJ463" s="183"/>
      <c r="AZ463" s="3"/>
      <c r="BA463" s="3" t="str">
        <f>AG583</f>
        <v>Yes</v>
      </c>
      <c r="BB463" s="3"/>
      <c r="BC463" s="3"/>
    </row>
    <row r="464" spans="4:55" ht="12.95"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472">
        <f>IF(AG446=0,"",'Sources and Uses Budget'!C105/Application!AG446)</f>
        <v>375282.66842105263</v>
      </c>
      <c r="AD464" s="1472"/>
      <c r="AE464" s="1472"/>
      <c r="AF464" s="1472"/>
      <c r="AG464" s="177"/>
      <c r="AH464" s="177"/>
      <c r="AI464" s="177"/>
      <c r="AJ464" s="183"/>
      <c r="AZ464" s="3"/>
      <c r="BA464" s="3"/>
      <c r="BB464" s="3"/>
      <c r="BC464" s="3"/>
    </row>
    <row r="465" spans="1:55" ht="12.95"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472">
        <f>IF(AG446=0,"",('Sources and Uses Budget'!$S$107+'Sources and Uses Budget'!$T$107)/Application!AG446)</f>
        <v>290280.81052631576</v>
      </c>
      <c r="AD465" s="1472"/>
      <c r="AE465" s="1472"/>
      <c r="AF465" s="1472"/>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1850</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1851</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1852</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407" t="s">
        <v>2056</v>
      </c>
      <c r="E473" s="1438"/>
      <c r="F473" s="1438"/>
      <c r="G473" s="1438"/>
      <c r="H473" s="1438"/>
      <c r="I473" s="1438"/>
      <c r="J473" s="1438"/>
      <c r="K473" s="1438"/>
      <c r="L473" s="1438"/>
      <c r="M473" s="1438"/>
      <c r="N473" s="1438"/>
      <c r="O473" s="1438"/>
      <c r="P473" s="1438"/>
      <c r="Q473" s="1438"/>
      <c r="R473" s="1438"/>
      <c r="S473" s="1438"/>
      <c r="T473" s="1438"/>
      <c r="U473" s="1438"/>
      <c r="V473" s="1439"/>
      <c r="W473" s="1398">
        <v>0</v>
      </c>
      <c r="X473" s="1399"/>
      <c r="Y473" s="1400"/>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437" t="s">
        <v>693</v>
      </c>
      <c r="E474" s="1438"/>
      <c r="F474" s="1438"/>
      <c r="G474" s="1438"/>
      <c r="H474" s="1438"/>
      <c r="I474" s="1438"/>
      <c r="J474" s="1438"/>
      <c r="K474" s="1438"/>
      <c r="L474" s="1438"/>
      <c r="M474" s="1438"/>
      <c r="N474" s="1438"/>
      <c r="O474" s="1438"/>
      <c r="P474" s="1438"/>
      <c r="Q474" s="1438"/>
      <c r="R474" s="1438"/>
      <c r="S474" s="1438"/>
      <c r="T474" s="1438"/>
      <c r="U474" s="1438"/>
      <c r="V474" s="1439"/>
      <c r="W474" s="1398">
        <v>0</v>
      </c>
      <c r="X474" s="1399"/>
      <c r="Y474" s="1400"/>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437" t="s">
        <v>694</v>
      </c>
      <c r="E475" s="1438"/>
      <c r="F475" s="1438"/>
      <c r="G475" s="1438"/>
      <c r="H475" s="1438"/>
      <c r="I475" s="1438"/>
      <c r="J475" s="1438"/>
      <c r="K475" s="1438"/>
      <c r="L475" s="1438"/>
      <c r="M475" s="1438"/>
      <c r="N475" s="1438"/>
      <c r="O475" s="1438"/>
      <c r="P475" s="1438"/>
      <c r="Q475" s="1438"/>
      <c r="R475" s="1438"/>
      <c r="S475" s="1438"/>
      <c r="T475" s="1438"/>
      <c r="U475" s="1438"/>
      <c r="V475" s="1439"/>
      <c r="W475" s="1398">
        <v>0</v>
      </c>
      <c r="X475" s="1399"/>
      <c r="Y475" s="1400"/>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437" t="s">
        <v>695</v>
      </c>
      <c r="E476" s="1438"/>
      <c r="F476" s="1438"/>
      <c r="G476" s="1438"/>
      <c r="H476" s="1438"/>
      <c r="I476" s="1438"/>
      <c r="J476" s="1438"/>
      <c r="K476" s="1438"/>
      <c r="L476" s="1438"/>
      <c r="M476" s="1438"/>
      <c r="N476" s="1438"/>
      <c r="O476" s="1438"/>
      <c r="P476" s="1438"/>
      <c r="Q476" s="1438"/>
      <c r="R476" s="1438"/>
      <c r="S476" s="1438"/>
      <c r="T476" s="1438"/>
      <c r="U476" s="1438"/>
      <c r="V476" s="1439"/>
      <c r="W476" s="1398">
        <v>0</v>
      </c>
      <c r="X476" s="1399"/>
      <c r="Y476" s="1400"/>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437" t="s">
        <v>881</v>
      </c>
      <c r="E477" s="1438"/>
      <c r="F477" s="1438"/>
      <c r="G477" s="1438"/>
      <c r="H477" s="1438"/>
      <c r="I477" s="1438"/>
      <c r="J477" s="1438"/>
      <c r="K477" s="1438"/>
      <c r="L477" s="1438"/>
      <c r="M477" s="1438"/>
      <c r="N477" s="1438"/>
      <c r="O477" s="1438"/>
      <c r="P477" s="1438"/>
      <c r="Q477" s="1438"/>
      <c r="R477" s="1438"/>
      <c r="S477" s="1438"/>
      <c r="T477" s="1438"/>
      <c r="U477" s="1438"/>
      <c r="V477" s="1439"/>
      <c r="W477" s="1398">
        <v>0</v>
      </c>
      <c r="X477" s="1399"/>
      <c r="Y477" s="1400"/>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437" t="s">
        <v>696</v>
      </c>
      <c r="E478" s="1438"/>
      <c r="F478" s="1438"/>
      <c r="G478" s="1438"/>
      <c r="H478" s="1438"/>
      <c r="I478" s="1438"/>
      <c r="J478" s="1438"/>
      <c r="K478" s="1438"/>
      <c r="L478" s="1438"/>
      <c r="M478" s="1438"/>
      <c r="N478" s="1438"/>
      <c r="O478" s="1438"/>
      <c r="P478" s="1438"/>
      <c r="Q478" s="1438"/>
      <c r="R478" s="1438"/>
      <c r="S478" s="1438"/>
      <c r="T478" s="1438"/>
      <c r="U478" s="1438"/>
      <c r="V478" s="1439"/>
      <c r="W478" s="1398">
        <v>0</v>
      </c>
      <c r="X478" s="1399"/>
      <c r="Y478" s="1400"/>
      <c r="Z478" s="184"/>
      <c r="AA478" s="184"/>
      <c r="AB478" s="184"/>
      <c r="AC478" s="184"/>
      <c r="AD478" s="177"/>
      <c r="AE478" s="177"/>
      <c r="AF478" s="177"/>
      <c r="AG478" s="177"/>
      <c r="AH478" s="177"/>
      <c r="AI478" s="177"/>
      <c r="AJ478" s="183"/>
      <c r="AZ478" s="3"/>
      <c r="BA478" s="3" t="str">
        <f>AG599</f>
        <v>No</v>
      </c>
      <c r="BB478" s="3"/>
      <c r="BC478" s="3"/>
    </row>
    <row r="479" spans="1:55" ht="12.95" customHeight="1">
      <c r="A479" s="3"/>
      <c r="B479" s="3"/>
      <c r="C479" s="3"/>
      <c r="D479" s="1437" t="s">
        <v>1012</v>
      </c>
      <c r="E479" s="1438"/>
      <c r="F479" s="1438"/>
      <c r="G479" s="1438"/>
      <c r="H479" s="1438"/>
      <c r="I479" s="1438"/>
      <c r="J479" s="1438"/>
      <c r="K479" s="1438"/>
      <c r="L479" s="1438"/>
      <c r="M479" s="1438"/>
      <c r="N479" s="1438"/>
      <c r="O479" s="1438"/>
      <c r="P479" s="1438"/>
      <c r="Q479" s="1438"/>
      <c r="R479" s="1438"/>
      <c r="S479" s="1438"/>
      <c r="T479" s="1438"/>
      <c r="U479" s="1438"/>
      <c r="V479" s="1439"/>
      <c r="W479" s="1398">
        <v>0</v>
      </c>
      <c r="X479" s="1399"/>
      <c r="Y479" s="1400"/>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407" t="s">
        <v>2146</v>
      </c>
      <c r="E480" s="1408"/>
      <c r="F480" s="1408"/>
      <c r="G480" s="1408"/>
      <c r="H480" s="1408"/>
      <c r="I480" s="1408"/>
      <c r="J480" s="1408"/>
      <c r="K480" s="1408"/>
      <c r="L480" s="1408"/>
      <c r="M480" s="1408"/>
      <c r="N480" s="1408"/>
      <c r="O480" s="1408"/>
      <c r="P480" s="1408"/>
      <c r="Q480" s="1408"/>
      <c r="R480" s="1408"/>
      <c r="S480" s="1408"/>
      <c r="T480" s="1408"/>
      <c r="U480" s="1408"/>
      <c r="V480" s="1409"/>
      <c r="W480" s="1398">
        <v>0</v>
      </c>
      <c r="X480" s="1399"/>
      <c r="Y480" s="1400"/>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407" t="s">
        <v>1643</v>
      </c>
      <c r="E481" s="1438"/>
      <c r="F481" s="1438"/>
      <c r="G481" s="1438"/>
      <c r="H481" s="1438"/>
      <c r="I481" s="1438"/>
      <c r="J481" s="1438"/>
      <c r="K481" s="1438"/>
      <c r="L481" s="1438"/>
      <c r="M481" s="1438"/>
      <c r="N481" s="1438"/>
      <c r="O481" s="1438"/>
      <c r="P481" s="1438"/>
      <c r="Q481" s="1438"/>
      <c r="R481" s="1438"/>
      <c r="S481" s="1438"/>
      <c r="T481" s="1438"/>
      <c r="U481" s="1438"/>
      <c r="V481" s="1439"/>
      <c r="W481" s="1398">
        <v>47</v>
      </c>
      <c r="X481" s="1399"/>
      <c r="Y481" s="1400"/>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832"/>
      <c r="H482" s="1833"/>
      <c r="I482" s="1833"/>
      <c r="J482" s="1833"/>
      <c r="K482" s="1833"/>
      <c r="L482" s="1833"/>
      <c r="M482" s="1833"/>
      <c r="N482" s="1833"/>
      <c r="O482" s="1833"/>
      <c r="P482" s="1833"/>
      <c r="Q482" s="1833"/>
      <c r="R482" s="1833"/>
      <c r="S482" s="1833"/>
      <c r="T482" s="1833"/>
      <c r="U482" s="1833"/>
      <c r="V482" s="1834"/>
      <c r="W482" s="1398">
        <v>0</v>
      </c>
      <c r="X482" s="1399"/>
      <c r="Y482" s="1400"/>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2.95" customHeight="1">
      <c r="AU487" s="95"/>
      <c r="AV487" s="95"/>
      <c r="AW487" s="95"/>
      <c r="AX487" s="95"/>
      <c r="AY487" s="95"/>
      <c r="AZ487" s="3"/>
      <c r="BA487" s="3" t="str">
        <f>AG607</f>
        <v>No</v>
      </c>
      <c r="BB487" s="3"/>
      <c r="BC487" s="3"/>
    </row>
    <row r="488" spans="1:55" ht="12.95" customHeight="1">
      <c r="A488" s="1532" t="s">
        <v>810</v>
      </c>
      <c r="B488" s="1532"/>
      <c r="C488" s="1532"/>
      <c r="D488" s="1532"/>
      <c r="E488" s="1532"/>
      <c r="F488" s="1532"/>
      <c r="G488" s="1532"/>
      <c r="H488" s="1532"/>
      <c r="I488" s="1532"/>
      <c r="J488" s="1532"/>
      <c r="K488" s="1532"/>
      <c r="L488" s="1532"/>
      <c r="M488" s="1532"/>
      <c r="N488" s="1532"/>
      <c r="O488" s="1532"/>
      <c r="P488" s="1532"/>
      <c r="Q488" s="1532"/>
      <c r="R488" s="1532"/>
      <c r="S488" s="1532"/>
      <c r="T488" s="1532"/>
      <c r="U488" s="1532"/>
      <c r="V488" s="1532"/>
      <c r="W488" s="1532"/>
      <c r="X488" s="1532"/>
      <c r="Y488" s="1532"/>
      <c r="Z488" s="1532"/>
      <c r="AA488" s="1532"/>
      <c r="AB488" s="1532"/>
      <c r="AC488" s="1532"/>
      <c r="AD488" s="1532"/>
      <c r="AE488" s="1532"/>
      <c r="AF488" s="1532"/>
      <c r="AG488" s="1532"/>
      <c r="AH488" s="1532"/>
      <c r="AI488" s="1532"/>
      <c r="AJ488" s="1532"/>
      <c r="AK488" s="1532"/>
      <c r="AL488" s="1532"/>
      <c r="AM488" s="1532"/>
      <c r="AN488" s="1532"/>
      <c r="AO488" s="1532"/>
      <c r="AP488" s="1532"/>
      <c r="AQ488" s="1532"/>
      <c r="AR488" s="1532"/>
      <c r="AS488" s="1532"/>
      <c r="AT488" s="1532"/>
      <c r="AU488" s="95"/>
      <c r="AV488" s="95"/>
      <c r="AW488" s="95"/>
      <c r="AX488" s="95"/>
      <c r="AY488" s="95"/>
      <c r="AZ488" s="3"/>
      <c r="BB488" s="3"/>
      <c r="BC488" s="3"/>
    </row>
    <row r="489" spans="1:55" ht="12.95" customHeight="1">
      <c r="A489" s="1532"/>
      <c r="B489" s="1532"/>
      <c r="C489" s="1532"/>
      <c r="D489" s="1532"/>
      <c r="E489" s="1532"/>
      <c r="F489" s="1532"/>
      <c r="G489" s="1532"/>
      <c r="H489" s="1532"/>
      <c r="I489" s="1532"/>
      <c r="J489" s="1532"/>
      <c r="K489" s="1532"/>
      <c r="L489" s="1532"/>
      <c r="M489" s="1532"/>
      <c r="N489" s="1532"/>
      <c r="O489" s="1532"/>
      <c r="P489" s="1532"/>
      <c r="Q489" s="1532"/>
      <c r="R489" s="1532"/>
      <c r="S489" s="1532"/>
      <c r="T489" s="1532"/>
      <c r="U489" s="1532"/>
      <c r="V489" s="1532"/>
      <c r="W489" s="1532"/>
      <c r="X489" s="1532"/>
      <c r="Y489" s="1532"/>
      <c r="Z489" s="1532"/>
      <c r="AA489" s="1532"/>
      <c r="AB489" s="1532"/>
      <c r="AC489" s="1532"/>
      <c r="AD489" s="1532"/>
      <c r="AE489" s="1532"/>
      <c r="AF489" s="1532"/>
      <c r="AG489" s="1532"/>
      <c r="AH489" s="1532"/>
      <c r="AI489" s="1532"/>
      <c r="AJ489" s="1532"/>
      <c r="AK489" s="1532"/>
      <c r="AL489" s="1532"/>
      <c r="AM489" s="1532"/>
      <c r="AN489" s="1532"/>
      <c r="AO489" s="1532"/>
      <c r="AP489" s="1532"/>
      <c r="AQ489" s="1532"/>
      <c r="AR489" s="1532"/>
      <c r="AS489" s="1532"/>
      <c r="AT489" s="1532"/>
      <c r="AZ489" s="3"/>
      <c r="BB489" s="3"/>
      <c r="BC489" s="3"/>
    </row>
    <row r="490" spans="1:55" ht="12.95" customHeight="1">
      <c r="AZ490" s="3"/>
      <c r="BB490" s="3"/>
      <c r="BC490" s="3"/>
    </row>
    <row r="491" spans="1:55" ht="12.95" customHeight="1">
      <c r="A491" s="2" t="s">
        <v>319</v>
      </c>
      <c r="C491" s="2" t="s">
        <v>808</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401" t="s">
        <v>393</v>
      </c>
      <c r="R493" s="1402"/>
      <c r="S493" s="1402"/>
      <c r="T493" s="1402"/>
      <c r="U493" s="1402"/>
      <c r="V493" s="1402"/>
      <c r="W493" s="1402"/>
      <c r="X493" s="1402"/>
      <c r="Y493" s="1402"/>
      <c r="Z493" s="1402"/>
      <c r="AA493" s="1402"/>
      <c r="AB493" s="1402"/>
      <c r="AC493" s="1402"/>
      <c r="AD493" s="1402"/>
      <c r="AE493" s="1402"/>
      <c r="AF493" s="1402"/>
      <c r="AG493" s="1402"/>
      <c r="AH493" s="1402"/>
      <c r="AI493" s="1402"/>
      <c r="AJ493" s="1402"/>
      <c r="AK493" s="1403"/>
      <c r="AZ493" s="3"/>
      <c r="BB493" s="3"/>
      <c r="BC493" s="3"/>
    </row>
    <row r="494" spans="1:55" ht="12.95" customHeight="1">
      <c r="B494" s="45" t="s">
        <v>394</v>
      </c>
      <c r="C494" s="5"/>
      <c r="D494" s="5"/>
      <c r="E494" s="5"/>
      <c r="F494" s="5"/>
      <c r="G494" s="5"/>
      <c r="H494" s="5"/>
      <c r="I494" s="5"/>
      <c r="J494" s="5"/>
      <c r="K494" s="5"/>
      <c r="L494" s="5"/>
      <c r="M494" s="5"/>
      <c r="N494" s="5"/>
      <c r="O494" s="5"/>
      <c r="P494" s="5"/>
      <c r="Q494" s="1498" t="s">
        <v>2739</v>
      </c>
      <c r="R494" s="1368"/>
      <c r="S494" s="1368"/>
      <c r="T494" s="1368"/>
      <c r="U494" s="1368"/>
      <c r="V494" s="1368"/>
      <c r="W494" s="1368"/>
      <c r="X494" s="1368"/>
      <c r="Y494" s="1368"/>
      <c r="Z494" s="1368"/>
      <c r="AA494" s="1368"/>
      <c r="AB494" s="1368"/>
      <c r="AC494" s="1368"/>
      <c r="AD494" s="1368"/>
      <c r="AE494" s="1368"/>
      <c r="AF494" s="1368"/>
      <c r="AG494" s="1368"/>
      <c r="AH494" s="1368"/>
      <c r="AI494" s="1368"/>
      <c r="AJ494" s="1368"/>
      <c r="AK494" s="1468"/>
      <c r="AZ494" s="3"/>
      <c r="BB494" s="3"/>
      <c r="BC494" s="3"/>
    </row>
    <row r="495" spans="1:55" ht="12.95" customHeight="1">
      <c r="B495" s="45" t="s">
        <v>395</v>
      </c>
      <c r="C495" s="5"/>
      <c r="D495" s="5"/>
      <c r="E495" s="5"/>
      <c r="F495" s="5"/>
      <c r="G495" s="5"/>
      <c r="H495" s="5"/>
      <c r="I495" s="5"/>
      <c r="J495" s="5"/>
      <c r="K495" s="5"/>
      <c r="L495" s="5"/>
      <c r="M495" s="5"/>
      <c r="N495" s="5"/>
      <c r="O495" s="5"/>
      <c r="P495" s="5"/>
      <c r="Q495" s="1498" t="s">
        <v>2738</v>
      </c>
      <c r="R495" s="1368"/>
      <c r="S495" s="1368"/>
      <c r="T495" s="1368"/>
      <c r="U495" s="1368"/>
      <c r="V495" s="1368"/>
      <c r="W495" s="1368"/>
      <c r="X495" s="1368"/>
      <c r="Y495" s="1368"/>
      <c r="Z495" s="1368"/>
      <c r="AA495" s="1368"/>
      <c r="AB495" s="1368"/>
      <c r="AC495" s="1368"/>
      <c r="AD495" s="1368"/>
      <c r="AE495" s="1368"/>
      <c r="AF495" s="1368"/>
      <c r="AG495" s="1368"/>
      <c r="AH495" s="1368"/>
      <c r="AI495" s="1368"/>
      <c r="AJ495" s="1368"/>
      <c r="AK495" s="1468"/>
      <c r="AZ495" s="3"/>
      <c r="BB495" s="3"/>
      <c r="BC495" s="3"/>
    </row>
    <row r="496" spans="1:55" ht="12.95" customHeight="1">
      <c r="B496" s="45" t="s">
        <v>396</v>
      </c>
      <c r="C496" s="5"/>
      <c r="D496" s="5"/>
      <c r="E496" s="5"/>
      <c r="F496" s="5"/>
      <c r="G496" s="5"/>
      <c r="H496" s="5"/>
      <c r="I496" s="5"/>
      <c r="J496" s="5"/>
      <c r="K496" s="5"/>
      <c r="L496" s="5"/>
      <c r="M496" s="5"/>
      <c r="N496" s="5"/>
      <c r="O496" s="5"/>
      <c r="P496" s="5"/>
      <c r="Q496" s="1467" t="s">
        <v>2738</v>
      </c>
      <c r="R496" s="1368"/>
      <c r="S496" s="1368"/>
      <c r="T496" s="1368"/>
      <c r="U496" s="1368"/>
      <c r="V496" s="1368"/>
      <c r="W496" s="1368"/>
      <c r="X496" s="1368"/>
      <c r="Y496" s="1368"/>
      <c r="Z496" s="1368"/>
      <c r="AA496" s="1368"/>
      <c r="AB496" s="1368"/>
      <c r="AC496" s="1368"/>
      <c r="AD496" s="1368"/>
      <c r="AE496" s="1368"/>
      <c r="AF496" s="1368"/>
      <c r="AG496" s="1368"/>
      <c r="AH496" s="1368"/>
      <c r="AI496" s="1368"/>
      <c r="AJ496" s="1368"/>
      <c r="AK496" s="1468"/>
      <c r="AZ496" s="3"/>
      <c r="BA496" s="3"/>
      <c r="BB496" s="3"/>
      <c r="BC496" s="3"/>
    </row>
    <row r="497" spans="1:66" ht="12.95" customHeight="1">
      <c r="B497" s="1457" t="s">
        <v>397</v>
      </c>
      <c r="C497" s="1458"/>
      <c r="D497" s="1458"/>
      <c r="E497" s="1458"/>
      <c r="F497" s="1458"/>
      <c r="G497" s="1458"/>
      <c r="H497" s="1458"/>
      <c r="I497" s="1458"/>
      <c r="J497" s="1458"/>
      <c r="K497" s="1458"/>
      <c r="L497" s="1458"/>
      <c r="M497" s="1458"/>
      <c r="N497" s="1458"/>
      <c r="O497" s="1458"/>
      <c r="P497" s="1459"/>
      <c r="Q497" s="1463" t="s">
        <v>669</v>
      </c>
      <c r="R497" s="1464"/>
      <c r="S497" s="1574" t="s">
        <v>166</v>
      </c>
      <c r="T497" s="1575"/>
      <c r="U497" s="1575"/>
      <c r="V497" s="1575"/>
      <c r="W497" s="1575"/>
      <c r="X497" s="1575"/>
      <c r="Y497" s="1575"/>
      <c r="Z497" s="1575"/>
      <c r="AA497" s="1575"/>
      <c r="AB497" s="1575"/>
      <c r="AC497" s="1575"/>
      <c r="AD497" s="1575"/>
      <c r="AE497" s="1575"/>
      <c r="AF497" s="1575"/>
      <c r="AG497" s="1575"/>
      <c r="AH497" s="1575"/>
      <c r="AI497" s="1575"/>
      <c r="AJ497" s="1575"/>
      <c r="AK497" s="1576"/>
      <c r="AZ497" s="3"/>
      <c r="BA497" s="3"/>
      <c r="BB497" s="3"/>
      <c r="BC497" s="3"/>
    </row>
    <row r="498" spans="1:66" ht="12.95" customHeight="1">
      <c r="B498" s="1460"/>
      <c r="C498" s="1461"/>
      <c r="D498" s="1461"/>
      <c r="E498" s="1461"/>
      <c r="F498" s="1461"/>
      <c r="G498" s="1461"/>
      <c r="H498" s="1461"/>
      <c r="I498" s="1461"/>
      <c r="J498" s="1461"/>
      <c r="K498" s="1461"/>
      <c r="L498" s="1461"/>
      <c r="M498" s="1461"/>
      <c r="N498" s="1461"/>
      <c r="O498" s="1461"/>
      <c r="P498" s="1462"/>
      <c r="Q498" s="1465"/>
      <c r="R498" s="1466"/>
      <c r="S498" s="1577"/>
      <c r="T498" s="1523"/>
      <c r="U498" s="1523"/>
      <c r="V498" s="1523"/>
      <c r="W498" s="1523"/>
      <c r="X498" s="1523"/>
      <c r="Y498" s="1523"/>
      <c r="Z498" s="1523"/>
      <c r="AA498" s="1523"/>
      <c r="AB498" s="1523"/>
      <c r="AC498" s="1523"/>
      <c r="AD498" s="1523"/>
      <c r="AE498" s="1523"/>
      <c r="AF498" s="1523"/>
      <c r="AG498" s="1523"/>
      <c r="AH498" s="1523"/>
      <c r="AI498" s="1523"/>
      <c r="AJ498" s="1523"/>
      <c r="AK498" s="1578"/>
      <c r="AZ498" s="3"/>
      <c r="BA498" s="3"/>
      <c r="BB498" s="3"/>
      <c r="BC498" s="3"/>
    </row>
    <row r="499" spans="1:66" ht="12.95" customHeight="1">
      <c r="B499" s="891" t="s">
        <v>1660</v>
      </c>
      <c r="C499" s="869"/>
      <c r="D499" s="869"/>
      <c r="E499" s="869"/>
      <c r="F499" s="869"/>
      <c r="G499" s="869"/>
      <c r="H499" s="869"/>
      <c r="I499" s="869"/>
      <c r="J499" s="869"/>
      <c r="K499" s="869"/>
      <c r="L499" s="869"/>
      <c r="M499" s="869"/>
      <c r="N499" s="869"/>
      <c r="O499" s="869"/>
      <c r="P499" s="869"/>
      <c r="Q499" s="1473" t="s">
        <v>2742</v>
      </c>
      <c r="R499" s="1474"/>
      <c r="S499" s="1474"/>
      <c r="T499" s="1474"/>
      <c r="U499" s="1474"/>
      <c r="V499" s="1474"/>
      <c r="W499" s="1474"/>
      <c r="X499" s="1474"/>
      <c r="Y499" s="1474"/>
      <c r="Z499" s="1474"/>
      <c r="AA499" s="1474"/>
      <c r="AB499" s="1474"/>
      <c r="AC499" s="1474"/>
      <c r="AD499" s="1474"/>
      <c r="AE499" s="1474"/>
      <c r="AF499" s="1474"/>
      <c r="AG499" s="1474"/>
      <c r="AH499" s="1474"/>
      <c r="AI499" s="1474"/>
      <c r="AJ499" s="1474"/>
      <c r="AK499" s="1475"/>
      <c r="AZ499" s="3"/>
      <c r="BA499" s="3"/>
      <c r="BB499" s="3"/>
      <c r="BC499" s="3"/>
    </row>
    <row r="500" spans="1:66" ht="12.95" customHeight="1">
      <c r="B500" s="45" t="s">
        <v>398</v>
      </c>
      <c r="C500" s="5"/>
      <c r="D500" s="5"/>
      <c r="E500" s="5"/>
      <c r="F500" s="5"/>
      <c r="G500" s="5"/>
      <c r="H500" s="5"/>
      <c r="I500" s="5"/>
      <c r="J500" s="5"/>
      <c r="K500" s="5"/>
      <c r="L500" s="5"/>
      <c r="M500" s="5"/>
      <c r="N500" s="5"/>
      <c r="O500" s="5"/>
      <c r="P500" s="5"/>
      <c r="Q500" s="1467" t="s">
        <v>2743</v>
      </c>
      <c r="R500" s="1368"/>
      <c r="S500" s="1368"/>
      <c r="T500" s="1368"/>
      <c r="U500" s="1368"/>
      <c r="V500" s="1368"/>
      <c r="W500" s="1368"/>
      <c r="X500" s="1368"/>
      <c r="Y500" s="1368"/>
      <c r="Z500" s="1368"/>
      <c r="AA500" s="1368"/>
      <c r="AB500" s="1368"/>
      <c r="AC500" s="1368"/>
      <c r="AD500" s="1368"/>
      <c r="AE500" s="1368"/>
      <c r="AF500" s="1368"/>
      <c r="AG500" s="1368"/>
      <c r="AH500" s="1368"/>
      <c r="AI500" s="1368"/>
      <c r="AJ500" s="1368"/>
      <c r="AK500" s="1468"/>
      <c r="AZ500" s="3"/>
      <c r="BA500" s="3"/>
      <c r="BB500" s="3"/>
      <c r="BC500" s="3"/>
    </row>
    <row r="501" spans="1:66" ht="12.95" customHeight="1">
      <c r="B501" s="45" t="s">
        <v>399</v>
      </c>
      <c r="C501" s="5"/>
      <c r="D501" s="5"/>
      <c r="E501" s="5"/>
      <c r="F501" s="5"/>
      <c r="G501" s="5"/>
      <c r="H501" s="5"/>
      <c r="I501" s="5"/>
      <c r="J501" s="5"/>
      <c r="K501" s="5"/>
      <c r="L501" s="5"/>
      <c r="M501" s="5"/>
      <c r="N501" s="5"/>
      <c r="O501" s="5"/>
      <c r="P501" s="5"/>
      <c r="Q501" s="1498">
        <v>0</v>
      </c>
      <c r="R501" s="1368"/>
      <c r="S501" s="1368"/>
      <c r="T501" s="1368"/>
      <c r="U501" s="1368"/>
      <c r="V501" s="1368"/>
      <c r="W501" s="1368"/>
      <c r="X501" s="1368"/>
      <c r="Y501" s="1368"/>
      <c r="Z501" s="1368"/>
      <c r="AA501" s="1368"/>
      <c r="AB501" s="1368"/>
      <c r="AC501" s="1368"/>
      <c r="AD501" s="1368"/>
      <c r="AE501" s="1368"/>
      <c r="AF501" s="1368"/>
      <c r="AG501" s="1368"/>
      <c r="AH501" s="1368"/>
      <c r="AI501" s="1368"/>
      <c r="AJ501" s="1368"/>
      <c r="AK501" s="1468"/>
      <c r="AZ501" s="3"/>
      <c r="BA501" s="3"/>
      <c r="BB501" s="3"/>
      <c r="BC501" s="3"/>
    </row>
    <row r="502" spans="1:66" ht="12.95" customHeight="1">
      <c r="B502" s="121" t="s">
        <v>1657</v>
      </c>
      <c r="C502" s="5"/>
      <c r="D502" s="5"/>
      <c r="E502" s="5"/>
      <c r="F502" s="5"/>
      <c r="G502" s="5"/>
      <c r="H502" s="5"/>
      <c r="I502" s="5"/>
      <c r="J502" s="5"/>
      <c r="K502" s="5"/>
      <c r="L502" s="5"/>
      <c r="M502" s="5"/>
      <c r="N502" s="5"/>
      <c r="O502" s="5"/>
      <c r="P502" s="5"/>
      <c r="Q502" s="1498">
        <v>0</v>
      </c>
      <c r="R502" s="1368"/>
      <c r="S502" s="1368"/>
      <c r="T502" s="1368"/>
      <c r="U502" s="1368"/>
      <c r="V502" s="1368"/>
      <c r="W502" s="1368"/>
      <c r="X502" s="1368"/>
      <c r="Y502" s="1368"/>
      <c r="Z502" s="1368"/>
      <c r="AA502" s="1368"/>
      <c r="AB502" s="1368"/>
      <c r="AC502" s="1368"/>
      <c r="AD502" s="1368"/>
      <c r="AE502" s="1368"/>
      <c r="AF502" s="1368"/>
      <c r="AG502" s="1368"/>
      <c r="AH502" s="1368"/>
      <c r="AI502" s="1368"/>
      <c r="AJ502" s="1368"/>
      <c r="AK502" s="1468"/>
      <c r="AZ502" s="3"/>
      <c r="BA502" s="3"/>
      <c r="BB502" s="3"/>
      <c r="BC502" s="3"/>
    </row>
    <row r="503" spans="1:66" ht="12.95" customHeight="1">
      <c r="B503" s="121" t="s">
        <v>1658</v>
      </c>
      <c r="C503" s="5"/>
      <c r="D503" s="5"/>
      <c r="E503" s="5"/>
      <c r="F503" s="5"/>
      <c r="G503" s="5"/>
      <c r="H503" s="5"/>
      <c r="I503" s="5"/>
      <c r="J503" s="5"/>
      <c r="K503" s="5"/>
      <c r="L503" s="5"/>
      <c r="M503" s="1476"/>
      <c r="N503" s="1477"/>
      <c r="O503" s="1477"/>
      <c r="P503" s="1478"/>
      <c r="Q503" s="121" t="s">
        <v>1659</v>
      </c>
      <c r="R503" s="5"/>
      <c r="S503" s="5"/>
      <c r="T503" s="5"/>
      <c r="U503" s="5"/>
      <c r="V503" s="5"/>
      <c r="W503" s="5"/>
      <c r="X503" s="5"/>
      <c r="Y503" s="5"/>
      <c r="Z503" s="5"/>
      <c r="AA503" s="5"/>
      <c r="AB503" s="5"/>
      <c r="AC503" s="5"/>
      <c r="AD503" s="5"/>
      <c r="AE503" s="5"/>
      <c r="AF503" s="5"/>
      <c r="AG503" s="5"/>
      <c r="AH503" s="1476"/>
      <c r="AI503" s="1477"/>
      <c r="AJ503" s="1477"/>
      <c r="AK503" s="1478"/>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401" t="s">
        <v>401</v>
      </c>
      <c r="AD507" s="1402"/>
      <c r="AE507" s="1402"/>
      <c r="AF507" s="1402"/>
      <c r="AG507" s="1402"/>
      <c r="AH507" s="1402"/>
      <c r="AI507" s="1402"/>
      <c r="AJ507" s="1402"/>
      <c r="AK507" s="1403"/>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401" t="s">
        <v>402</v>
      </c>
      <c r="AD508" s="1402"/>
      <c r="AE508" s="1402"/>
      <c r="AF508" s="1402"/>
      <c r="AG508" s="50" t="s">
        <v>403</v>
      </c>
      <c r="AH508" s="1402" t="s">
        <v>404</v>
      </c>
      <c r="AI508" s="1402"/>
      <c r="AJ508" s="1402"/>
      <c r="AK508" s="1403"/>
      <c r="AZ508" s="3"/>
      <c r="BA508" s="3"/>
      <c r="BB508" s="3"/>
      <c r="BC508" s="3"/>
      <c r="BD508" s="3"/>
      <c r="BE508" s="3"/>
      <c r="BF508" s="3"/>
      <c r="BG508" s="3"/>
      <c r="BH508" s="3"/>
      <c r="BI508" s="3"/>
      <c r="BJ508" s="3"/>
      <c r="BK508" s="3"/>
      <c r="BL508" s="3"/>
      <c r="BM508" s="3"/>
      <c r="BN508" s="3"/>
    </row>
    <row r="509" spans="1:66" ht="12.95" customHeight="1">
      <c r="B509" s="1410" t="s">
        <v>405</v>
      </c>
      <c r="C509" s="1411"/>
      <c r="D509" s="1411"/>
      <c r="E509" s="1411"/>
      <c r="F509" s="1411"/>
      <c r="G509" s="1411"/>
      <c r="H509" s="1412"/>
      <c r="I509" s="42" t="s">
        <v>406</v>
      </c>
      <c r="J509" s="42"/>
      <c r="K509" s="42"/>
      <c r="L509" s="42"/>
      <c r="M509" s="42"/>
      <c r="N509" s="42"/>
      <c r="O509" s="42"/>
      <c r="P509" s="42"/>
      <c r="Q509" s="42"/>
      <c r="R509" s="42"/>
      <c r="S509" s="42"/>
      <c r="T509" s="42"/>
      <c r="U509" s="42"/>
      <c r="V509" s="42"/>
      <c r="W509" s="42"/>
      <c r="AC509" s="1390" t="s">
        <v>591</v>
      </c>
      <c r="AD509" s="1391"/>
      <c r="AE509" s="1391"/>
      <c r="AF509" s="1391"/>
      <c r="AG509" s="13" t="s">
        <v>403</v>
      </c>
      <c r="AH509" s="1509" t="s">
        <v>2699</v>
      </c>
      <c r="AI509" s="1393"/>
      <c r="AJ509" s="1393"/>
      <c r="AK509" s="1394"/>
      <c r="AZ509" s="3"/>
      <c r="BA509" s="3"/>
      <c r="BB509" s="3"/>
      <c r="BC509" s="3"/>
      <c r="BD509" s="3"/>
      <c r="BE509" s="3"/>
      <c r="BF509" s="3"/>
      <c r="BG509" s="3"/>
      <c r="BH509" s="3"/>
      <c r="BI509" s="3"/>
      <c r="BJ509" s="3"/>
      <c r="BK509" s="3"/>
      <c r="BL509" s="3"/>
      <c r="BM509" s="3"/>
      <c r="BN509" s="3"/>
    </row>
    <row r="510" spans="1:66" ht="12.95" customHeight="1">
      <c r="B510" s="1413"/>
      <c r="C510" s="1414"/>
      <c r="D510" s="1414"/>
      <c r="E510" s="1414"/>
      <c r="F510" s="1414"/>
      <c r="G510" s="1414"/>
      <c r="H510" s="1415"/>
      <c r="I510" s="48" t="s">
        <v>407</v>
      </c>
      <c r="J510" s="48"/>
      <c r="K510" s="48"/>
      <c r="L510" s="48"/>
      <c r="M510" s="48"/>
      <c r="N510" s="48"/>
      <c r="O510" s="48"/>
      <c r="P510" s="48"/>
      <c r="Q510" s="48"/>
      <c r="R510" s="48"/>
      <c r="S510" s="48"/>
      <c r="T510" s="48"/>
      <c r="U510" s="48"/>
      <c r="V510" s="48"/>
      <c r="W510" s="48"/>
      <c r="X510" s="48"/>
      <c r="Y510" s="48"/>
      <c r="Z510" s="48"/>
      <c r="AA510" s="48"/>
      <c r="AB510" s="48"/>
      <c r="AC510" s="1390" t="s">
        <v>591</v>
      </c>
      <c r="AD510" s="1391"/>
      <c r="AE510" s="1391"/>
      <c r="AF510" s="1391"/>
      <c r="AG510" s="38" t="s">
        <v>403</v>
      </c>
      <c r="AH510" s="1509" t="s">
        <v>2699</v>
      </c>
      <c r="AI510" s="1393"/>
      <c r="AJ510" s="1393"/>
      <c r="AK510" s="1394"/>
      <c r="AZ510" s="3"/>
      <c r="BA510" s="3"/>
      <c r="BB510" s="3"/>
      <c r="BC510" s="3"/>
      <c r="BD510" s="3"/>
      <c r="BE510" s="3"/>
      <c r="BF510" s="3"/>
      <c r="BG510" s="3"/>
      <c r="BH510" s="3"/>
      <c r="BI510" s="3"/>
      <c r="BJ510" s="3"/>
      <c r="BK510" s="3"/>
      <c r="BL510" s="3"/>
      <c r="BM510" s="3"/>
      <c r="BN510" s="3"/>
    </row>
    <row r="511" spans="1:66" ht="12.95" customHeight="1">
      <c r="B511" s="1410" t="s">
        <v>408</v>
      </c>
      <c r="C511" s="1411"/>
      <c r="D511" s="1411"/>
      <c r="E511" s="1411"/>
      <c r="F511" s="1411"/>
      <c r="G511" s="1411"/>
      <c r="H511" s="1412"/>
      <c r="I511" s="42" t="s">
        <v>409</v>
      </c>
      <c r="J511" s="42"/>
      <c r="K511" s="42"/>
      <c r="L511" s="42"/>
      <c r="M511" s="42"/>
      <c r="N511" s="42"/>
      <c r="O511" s="42"/>
      <c r="P511" s="42"/>
      <c r="Q511" s="42"/>
      <c r="R511" s="42"/>
      <c r="S511" s="42"/>
      <c r="T511" s="42"/>
      <c r="U511" s="42"/>
      <c r="V511" s="42"/>
      <c r="W511" s="42"/>
      <c r="AC511" s="1390" t="s">
        <v>591</v>
      </c>
      <c r="AD511" s="1391"/>
      <c r="AE511" s="1391"/>
      <c r="AF511" s="1391"/>
      <c r="AG511" s="13" t="s">
        <v>403</v>
      </c>
      <c r="AH511" s="1509" t="s">
        <v>2699</v>
      </c>
      <c r="AI511" s="1393"/>
      <c r="AJ511" s="1393"/>
      <c r="AK511" s="1394"/>
      <c r="AZ511" s="3"/>
      <c r="BA511" s="3"/>
      <c r="BB511" s="3"/>
      <c r="BC511" s="3"/>
      <c r="BD511" s="3"/>
      <c r="BE511" s="3"/>
      <c r="BF511" s="3"/>
      <c r="BG511" s="3"/>
      <c r="BH511" s="3"/>
      <c r="BI511" s="3"/>
      <c r="BJ511" s="3"/>
      <c r="BK511" s="3"/>
      <c r="BL511" s="3"/>
      <c r="BM511" s="3"/>
      <c r="BN511" s="3"/>
    </row>
    <row r="512" spans="1:66" ht="12.95" customHeight="1">
      <c r="B512" s="1413"/>
      <c r="C512" s="1414"/>
      <c r="D512" s="1414"/>
      <c r="E512" s="1414"/>
      <c r="F512" s="1414"/>
      <c r="G512" s="1414"/>
      <c r="H512" s="1415"/>
      <c r="I512" t="s">
        <v>410</v>
      </c>
      <c r="AC512" s="1390" t="s">
        <v>591</v>
      </c>
      <c r="AD512" s="1391"/>
      <c r="AE512" s="1391"/>
      <c r="AF512" s="1391"/>
      <c r="AG512" s="13" t="s">
        <v>403</v>
      </c>
      <c r="AH512" s="1509" t="s">
        <v>2699</v>
      </c>
      <c r="AI512" s="1393"/>
      <c r="AJ512" s="1393"/>
      <c r="AK512" s="1394"/>
      <c r="AZ512" s="3"/>
      <c r="BA512" s="3"/>
      <c r="BB512" s="3"/>
      <c r="BC512" s="3"/>
      <c r="BD512" s="3"/>
      <c r="BE512" s="3"/>
      <c r="BF512" s="3"/>
      <c r="BG512" s="3"/>
      <c r="BH512" s="3"/>
      <c r="BI512" s="3"/>
      <c r="BJ512" s="3"/>
      <c r="BK512" s="3"/>
      <c r="BL512" s="3"/>
      <c r="BM512" s="3"/>
      <c r="BN512" s="3"/>
    </row>
    <row r="513" spans="2:66" ht="12.95" customHeight="1">
      <c r="B513" s="1413"/>
      <c r="C513" s="1414"/>
      <c r="D513" s="1414"/>
      <c r="E513" s="1414"/>
      <c r="F513" s="1414"/>
      <c r="G513" s="1414"/>
      <c r="H513" s="1415"/>
      <c r="I513" t="s">
        <v>411</v>
      </c>
      <c r="AC513" s="1390">
        <v>1</v>
      </c>
      <c r="AD513" s="1391"/>
      <c r="AE513" s="1391"/>
      <c r="AF513" s="1391"/>
      <c r="AG513" s="13" t="s">
        <v>403</v>
      </c>
      <c r="AH513" s="1393">
        <v>2026</v>
      </c>
      <c r="AI513" s="1393"/>
      <c r="AJ513" s="1393"/>
      <c r="AK513" s="1394"/>
      <c r="AZ513" s="3"/>
      <c r="BA513" s="3"/>
      <c r="BB513" s="3"/>
      <c r="BC513" s="3"/>
      <c r="BD513" s="3"/>
      <c r="BE513" s="3"/>
      <c r="BF513" s="3"/>
      <c r="BG513" s="3"/>
      <c r="BH513" s="3"/>
      <c r="BI513" s="3"/>
      <c r="BJ513" s="3"/>
      <c r="BK513" s="3"/>
      <c r="BL513" s="3"/>
      <c r="BM513" s="3"/>
      <c r="BN513" s="3"/>
    </row>
    <row r="514" spans="2:66" ht="12.95" customHeight="1">
      <c r="B514" s="1413"/>
      <c r="C514" s="1414"/>
      <c r="D514" s="1414"/>
      <c r="E514" s="1414"/>
      <c r="F514" s="1414"/>
      <c r="G514" s="1414"/>
      <c r="H514" s="1415"/>
      <c r="I514" t="s">
        <v>412</v>
      </c>
      <c r="AC514" s="1390" t="s">
        <v>591</v>
      </c>
      <c r="AD514" s="1391"/>
      <c r="AE514" s="1391"/>
      <c r="AF514" s="1391"/>
      <c r="AG514" s="13" t="s">
        <v>403</v>
      </c>
      <c r="AH514" s="1509" t="s">
        <v>2699</v>
      </c>
      <c r="AI514" s="1393"/>
      <c r="AJ514" s="1393"/>
      <c r="AK514" s="1394"/>
      <c r="AZ514" s="3"/>
      <c r="BA514" s="3"/>
      <c r="BB514" s="3"/>
      <c r="BC514" s="3"/>
      <c r="BD514" s="3"/>
      <c r="BE514" s="3"/>
      <c r="BF514" s="3"/>
      <c r="BG514" s="3"/>
      <c r="BH514" s="3"/>
      <c r="BI514" s="3"/>
      <c r="BJ514" s="3"/>
      <c r="BK514" s="3"/>
      <c r="BL514" s="3"/>
      <c r="BM514" s="3"/>
      <c r="BN514" s="3"/>
    </row>
    <row r="515" spans="2:66" ht="12.95" customHeight="1">
      <c r="B515" s="1413"/>
      <c r="C515" s="1414"/>
      <c r="D515" s="1414"/>
      <c r="E515" s="1414"/>
      <c r="F515" s="1414"/>
      <c r="G515" s="1414"/>
      <c r="H515" s="1415"/>
      <c r="I515" s="3" t="s">
        <v>413</v>
      </c>
      <c r="AC515" s="1362">
        <v>7</v>
      </c>
      <c r="AD515" s="1363"/>
      <c r="AE515" s="1363"/>
      <c r="AF515" s="1363"/>
      <c r="AG515" s="13" t="s">
        <v>403</v>
      </c>
      <c r="AH515" s="1393">
        <v>2026</v>
      </c>
      <c r="AI515" s="1393"/>
      <c r="AJ515" s="1393"/>
      <c r="AK515" s="1394"/>
      <c r="AZ515" s="3"/>
      <c r="BA515" s="3"/>
      <c r="BB515" s="3"/>
      <c r="BC515" s="3"/>
      <c r="BD515" s="3"/>
      <c r="BE515" s="3"/>
      <c r="BF515" s="3"/>
      <c r="BG515" s="3"/>
      <c r="BH515" s="3"/>
      <c r="BI515" s="3"/>
      <c r="BJ515" s="3"/>
      <c r="BK515" s="3"/>
      <c r="BL515" s="3"/>
      <c r="BM515" s="3"/>
      <c r="BN515" s="3"/>
    </row>
    <row r="516" spans="2:66" ht="12.95" customHeight="1">
      <c r="B516" s="1413"/>
      <c r="C516" s="1414"/>
      <c r="D516" s="1414"/>
      <c r="E516" s="1414"/>
      <c r="F516" s="1414"/>
      <c r="G516" s="1414"/>
      <c r="H516" s="1415"/>
      <c r="I516" s="892" t="s">
        <v>170</v>
      </c>
      <c r="J516" s="48"/>
      <c r="K516" s="48"/>
      <c r="L516" s="1469" t="s">
        <v>334</v>
      </c>
      <c r="M516" s="1470"/>
      <c r="N516" s="1470"/>
      <c r="O516" s="1470"/>
      <c r="P516" s="1470"/>
      <c r="Q516" s="1470"/>
      <c r="R516" s="1470"/>
      <c r="S516" s="1470"/>
      <c r="T516" s="1470"/>
      <c r="U516" s="1470"/>
      <c r="V516" s="1470"/>
      <c r="W516" s="1470"/>
      <c r="X516" s="1470"/>
      <c r="Y516" s="1470"/>
      <c r="Z516" s="1470"/>
      <c r="AA516" s="1470"/>
      <c r="AB516" s="1471"/>
      <c r="AC516" s="1390" t="s">
        <v>591</v>
      </c>
      <c r="AD516" s="1391"/>
      <c r="AE516" s="1391"/>
      <c r="AF516" s="1391"/>
      <c r="AG516" s="38" t="s">
        <v>403</v>
      </c>
      <c r="AH516" s="1509" t="s">
        <v>2699</v>
      </c>
      <c r="AI516" s="1393"/>
      <c r="AJ516" s="1393"/>
      <c r="AK516" s="1394"/>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1664</v>
      </c>
      <c r="AC517" s="1500" t="s">
        <v>545</v>
      </c>
      <c r="AD517" s="1500"/>
      <c r="AE517" s="1500"/>
      <c r="AF517" s="1500"/>
      <c r="AG517" s="13"/>
      <c r="AH517" s="1448"/>
      <c r="AI517" s="1448"/>
      <c r="AJ517" s="1448"/>
      <c r="AK517" s="1449"/>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1661</v>
      </c>
      <c r="AC518" s="1362">
        <v>1</v>
      </c>
      <c r="AD518" s="1363"/>
      <c r="AE518" s="1363"/>
      <c r="AF518" s="1364"/>
      <c r="AG518" s="13"/>
      <c r="AH518" s="1448"/>
      <c r="AI518" s="1448"/>
      <c r="AJ518" s="1448"/>
      <c r="AK518" s="1449"/>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1454">
        <v>0.75</v>
      </c>
      <c r="AD520" s="1455"/>
      <c r="AE520" s="1455"/>
      <c r="AF520" s="1456"/>
      <c r="AG520" s="38"/>
      <c r="AH520" s="1579"/>
      <c r="AI520" s="1579"/>
      <c r="AJ520" s="1579"/>
      <c r="AK520" s="1580"/>
      <c r="AZ520" s="3"/>
      <c r="BA520" s="3"/>
      <c r="BB520" s="3"/>
      <c r="BC520" s="3"/>
      <c r="BD520" s="3"/>
      <c r="BE520" s="3"/>
      <c r="BF520" s="3"/>
      <c r="BG520" s="3"/>
      <c r="BH520" s="3"/>
      <c r="BI520" s="3"/>
      <c r="BJ520" s="3"/>
      <c r="BK520" s="3"/>
      <c r="BL520" s="3"/>
      <c r="BM520" s="3"/>
      <c r="BN520" s="3" t="s">
        <v>1184</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497" t="s">
        <v>402</v>
      </c>
      <c r="AD521" s="1434"/>
      <c r="AE521" s="1434"/>
      <c r="AF521" s="1434"/>
      <c r="AG521" s="38" t="s">
        <v>403</v>
      </c>
      <c r="AH521" s="1434" t="s">
        <v>404</v>
      </c>
      <c r="AI521" s="1434"/>
      <c r="AJ521" s="1434"/>
      <c r="AK521" s="1435"/>
      <c r="AZ521" s="3"/>
      <c r="BA521" s="3"/>
      <c r="BB521" s="3"/>
      <c r="BC521" s="3"/>
      <c r="BD521" s="3"/>
      <c r="BE521" s="3"/>
      <c r="BF521" s="3"/>
      <c r="BG521" s="3"/>
      <c r="BH521" s="3"/>
      <c r="BI521" s="3"/>
      <c r="BJ521" s="3"/>
      <c r="BK521" s="3"/>
      <c r="BL521" s="3"/>
      <c r="BM521" s="3"/>
      <c r="BN521" s="3" t="s">
        <v>2061</v>
      </c>
    </row>
    <row r="522" spans="2:66" ht="12.95" customHeight="1">
      <c r="B522" s="1410" t="s">
        <v>414</v>
      </c>
      <c r="C522" s="1411"/>
      <c r="D522" s="1411"/>
      <c r="E522" s="1411"/>
      <c r="F522" s="1411"/>
      <c r="G522" s="1411"/>
      <c r="H522" s="1412"/>
      <c r="I522" s="42" t="s">
        <v>415</v>
      </c>
      <c r="J522" s="42"/>
      <c r="K522" s="42"/>
      <c r="L522" s="42"/>
      <c r="M522" s="42"/>
      <c r="N522" s="42"/>
      <c r="O522" s="42"/>
      <c r="P522" s="42"/>
      <c r="Q522" s="42"/>
      <c r="R522" s="42"/>
      <c r="S522" s="42"/>
      <c r="T522" s="42"/>
      <c r="U522" s="42"/>
      <c r="V522" s="42"/>
      <c r="W522" s="42"/>
      <c r="AC522" s="1390">
        <v>1</v>
      </c>
      <c r="AD522" s="1391"/>
      <c r="AE522" s="1391"/>
      <c r="AF522" s="1391"/>
      <c r="AG522" s="13" t="s">
        <v>403</v>
      </c>
      <c r="AH522" s="1393">
        <v>2026</v>
      </c>
      <c r="AI522" s="1393"/>
      <c r="AJ522" s="1393"/>
      <c r="AK522" s="1394"/>
      <c r="AZ522" s="3"/>
      <c r="BA522" s="3"/>
      <c r="BB522" s="3"/>
      <c r="BC522" s="3"/>
      <c r="BD522" s="3"/>
      <c r="BE522" s="3"/>
      <c r="BF522" s="3"/>
      <c r="BG522" s="3"/>
      <c r="BH522" s="3"/>
      <c r="BI522" s="3"/>
      <c r="BJ522" s="3"/>
      <c r="BK522" s="3"/>
      <c r="BL522" s="3"/>
      <c r="BM522" s="3"/>
      <c r="BN522" s="3" t="s">
        <v>2062</v>
      </c>
    </row>
    <row r="523" spans="2:66" ht="12.95" customHeight="1">
      <c r="B523" s="1413"/>
      <c r="C523" s="1414"/>
      <c r="D523" s="1414"/>
      <c r="E523" s="1414"/>
      <c r="F523" s="1414"/>
      <c r="G523" s="1414"/>
      <c r="H523" s="1415"/>
      <c r="I523" t="s">
        <v>416</v>
      </c>
      <c r="AC523" s="1390">
        <v>1</v>
      </c>
      <c r="AD523" s="1391"/>
      <c r="AE523" s="1391"/>
      <c r="AF523" s="1391"/>
      <c r="AG523" s="13" t="s">
        <v>403</v>
      </c>
      <c r="AH523" s="1393">
        <v>2026</v>
      </c>
      <c r="AI523" s="1393"/>
      <c r="AJ523" s="1393"/>
      <c r="AK523" s="1394"/>
      <c r="AZ523" s="3"/>
      <c r="BA523" s="3"/>
      <c r="BB523" s="3"/>
      <c r="BC523" s="3"/>
      <c r="BD523" s="3"/>
      <c r="BE523" s="3"/>
      <c r="BF523" s="3"/>
      <c r="BG523" s="3"/>
      <c r="BH523" s="3"/>
      <c r="BI523" s="3"/>
      <c r="BJ523" s="3"/>
      <c r="BK523" s="3"/>
      <c r="BL523" s="3"/>
      <c r="BM523" s="3"/>
      <c r="BN523" s="3" t="s">
        <v>2063</v>
      </c>
    </row>
    <row r="524" spans="2:66" ht="12.95" customHeight="1">
      <c r="B524" s="1413"/>
      <c r="C524" s="1414"/>
      <c r="D524" s="1414"/>
      <c r="E524" s="1414"/>
      <c r="F524" s="1414"/>
      <c r="G524" s="1414"/>
      <c r="H524" s="1415"/>
      <c r="I524" s="48" t="s">
        <v>417</v>
      </c>
      <c r="J524" s="48"/>
      <c r="K524" s="48"/>
      <c r="L524" s="48"/>
      <c r="M524" s="48"/>
      <c r="N524" s="48"/>
      <c r="O524" s="48"/>
      <c r="P524" s="48"/>
      <c r="Q524" s="48"/>
      <c r="R524" s="48"/>
      <c r="S524" s="48"/>
      <c r="T524" s="48"/>
      <c r="U524" s="48"/>
      <c r="V524" s="48"/>
      <c r="W524" s="48"/>
      <c r="X524" s="48"/>
      <c r="Y524" s="48"/>
      <c r="Z524" s="48"/>
      <c r="AA524" s="48"/>
      <c r="AB524" s="48"/>
      <c r="AC524" s="1390">
        <v>11</v>
      </c>
      <c r="AD524" s="1391"/>
      <c r="AE524" s="1391"/>
      <c r="AF524" s="1391"/>
      <c r="AG524" s="38" t="s">
        <v>403</v>
      </c>
      <c r="AH524" s="1393">
        <v>2026</v>
      </c>
      <c r="AI524" s="1393"/>
      <c r="AJ524" s="1393"/>
      <c r="AK524" s="1394"/>
      <c r="AZ524" s="3"/>
      <c r="BA524" s="3"/>
      <c r="BB524" s="3"/>
      <c r="BC524" s="3"/>
      <c r="BD524" s="3"/>
      <c r="BE524" s="3"/>
      <c r="BF524" s="3"/>
      <c r="BG524" s="3"/>
      <c r="BH524" s="3"/>
      <c r="BI524" s="3"/>
      <c r="BJ524" s="3"/>
      <c r="BK524" s="3"/>
      <c r="BL524" s="3"/>
      <c r="BM524" s="3"/>
      <c r="BN524" s="3" t="s">
        <v>2064</v>
      </c>
    </row>
    <row r="525" spans="2:66" ht="12.95" customHeight="1">
      <c r="B525" s="1410" t="s">
        <v>418</v>
      </c>
      <c r="C525" s="1411"/>
      <c r="D525" s="1411"/>
      <c r="E525" s="1411"/>
      <c r="F525" s="1411"/>
      <c r="G525" s="1411"/>
      <c r="H525" s="1412"/>
      <c r="I525" s="42" t="s">
        <v>415</v>
      </c>
      <c r="J525" s="42"/>
      <c r="K525" s="42"/>
      <c r="L525" s="42"/>
      <c r="M525" s="42"/>
      <c r="N525" s="42"/>
      <c r="O525" s="42"/>
      <c r="P525" s="42"/>
      <c r="Q525" s="42"/>
      <c r="R525" s="42"/>
      <c r="S525" s="42"/>
      <c r="T525" s="42"/>
      <c r="U525" s="42"/>
      <c r="V525" s="42"/>
      <c r="W525" s="42"/>
      <c r="X525" s="42"/>
      <c r="Y525" s="42"/>
      <c r="Z525" s="42"/>
      <c r="AA525" s="42"/>
      <c r="AB525" s="42"/>
      <c r="AC525" s="1362">
        <v>1</v>
      </c>
      <c r="AD525" s="1363"/>
      <c r="AE525" s="1363"/>
      <c r="AF525" s="1363"/>
      <c r="AG525" s="129" t="s">
        <v>403</v>
      </c>
      <c r="AH525" s="1393">
        <v>2026</v>
      </c>
      <c r="AI525" s="1393"/>
      <c r="AJ525" s="1393"/>
      <c r="AK525" s="1394"/>
      <c r="AZ525" s="3"/>
      <c r="BB525" s="3"/>
      <c r="BC525" s="3"/>
      <c r="BD525" s="3"/>
      <c r="BE525" s="3"/>
      <c r="BF525" s="3"/>
      <c r="BG525" s="3"/>
      <c r="BH525" s="3"/>
      <c r="BI525" s="3"/>
      <c r="BJ525" s="3"/>
      <c r="BK525" s="3"/>
      <c r="BL525" s="3"/>
      <c r="BM525" s="3"/>
      <c r="BN525" s="3" t="s">
        <v>2065</v>
      </c>
    </row>
    <row r="526" spans="2:66" ht="12.95" customHeight="1">
      <c r="B526" s="1413"/>
      <c r="C526" s="1414"/>
      <c r="D526" s="1414"/>
      <c r="E526" s="1414"/>
      <c r="F526" s="1414"/>
      <c r="G526" s="1414"/>
      <c r="H526" s="1415"/>
      <c r="I526" t="s">
        <v>416</v>
      </c>
      <c r="AC526" s="1390">
        <v>1</v>
      </c>
      <c r="AD526" s="1391"/>
      <c r="AE526" s="1391"/>
      <c r="AF526" s="1391"/>
      <c r="AG526" s="13" t="s">
        <v>403</v>
      </c>
      <c r="AH526" s="1393">
        <v>2026</v>
      </c>
      <c r="AI526" s="1393"/>
      <c r="AJ526" s="1393"/>
      <c r="AK526" s="1394"/>
      <c r="BB526" s="3"/>
      <c r="BC526" s="3"/>
      <c r="BD526" s="3"/>
      <c r="BE526" s="3"/>
      <c r="BF526" s="3"/>
      <c r="BG526" s="3"/>
      <c r="BH526" s="3"/>
      <c r="BI526" s="3"/>
      <c r="BJ526" s="3"/>
      <c r="BK526" s="3"/>
      <c r="BL526" s="3"/>
      <c r="BM526" s="3"/>
      <c r="BN526" s="3" t="s">
        <v>2066</v>
      </c>
    </row>
    <row r="527" spans="2:66" ht="12.95" customHeight="1">
      <c r="B527" s="1416"/>
      <c r="C527" s="1417"/>
      <c r="D527" s="1417"/>
      <c r="E527" s="1417"/>
      <c r="F527" s="1417"/>
      <c r="G527" s="1417"/>
      <c r="H527" s="1418"/>
      <c r="I527" s="48" t="s">
        <v>417</v>
      </c>
      <c r="J527" s="48"/>
      <c r="K527" s="48"/>
      <c r="L527" s="48"/>
      <c r="M527" s="48"/>
      <c r="N527" s="48"/>
      <c r="O527" s="48"/>
      <c r="P527" s="48"/>
      <c r="Q527" s="48"/>
      <c r="R527" s="48"/>
      <c r="S527" s="48"/>
      <c r="T527" s="48"/>
      <c r="U527" s="48"/>
      <c r="V527" s="48"/>
      <c r="W527" s="48"/>
      <c r="X527" s="48"/>
      <c r="Y527" s="48"/>
      <c r="Z527" s="48"/>
      <c r="AA527" s="48"/>
      <c r="AB527" s="48"/>
      <c r="AC527" s="1390">
        <v>10</v>
      </c>
      <c r="AD527" s="1391"/>
      <c r="AE527" s="1391"/>
      <c r="AF527" s="1391"/>
      <c r="AG527" s="38" t="s">
        <v>403</v>
      </c>
      <c r="AH527" s="1393">
        <v>2028</v>
      </c>
      <c r="AI527" s="1393"/>
      <c r="AJ527" s="1393"/>
      <c r="AK527" s="1394"/>
      <c r="BB527" s="3"/>
      <c r="BC527" s="3"/>
      <c r="BD527" s="3"/>
      <c r="BE527" s="3"/>
      <c r="BF527" s="3"/>
      <c r="BG527" s="3"/>
      <c r="BH527" s="3"/>
      <c r="BI527" s="3"/>
      <c r="BJ527" s="3"/>
      <c r="BK527" s="3"/>
      <c r="BL527" s="3"/>
      <c r="BM527" s="3"/>
      <c r="BN527" s="3" t="s">
        <v>2067</v>
      </c>
    </row>
    <row r="528" spans="2:66" ht="12.95" customHeight="1">
      <c r="B528" s="1410" t="s">
        <v>419</v>
      </c>
      <c r="C528" s="1411"/>
      <c r="D528" s="1411"/>
      <c r="E528" s="1411"/>
      <c r="F528" s="1411"/>
      <c r="G528" s="1411"/>
      <c r="H528" s="1412"/>
      <c r="I528" s="41" t="s">
        <v>420</v>
      </c>
      <c r="J528" s="42"/>
      <c r="K528" s="42"/>
      <c r="L528" s="42"/>
      <c r="M528" s="42"/>
      <c r="N528" s="42"/>
      <c r="O528" s="1469" t="s">
        <v>334</v>
      </c>
      <c r="P528" s="1470"/>
      <c r="Q528" s="1470"/>
      <c r="R528" s="1470"/>
      <c r="S528" s="1470"/>
      <c r="T528" s="1470"/>
      <c r="U528" s="1470"/>
      <c r="V528" s="1470"/>
      <c r="W528" s="1470"/>
      <c r="X528" s="1470"/>
      <c r="Y528" s="1470"/>
      <c r="Z528" s="1470"/>
      <c r="AA528" s="1470"/>
      <c r="AB528" s="58"/>
      <c r="AC528" s="1362" t="s">
        <v>591</v>
      </c>
      <c r="AD528" s="1363"/>
      <c r="AE528" s="1363"/>
      <c r="AF528" s="1363"/>
      <c r="AG528" s="129" t="s">
        <v>403</v>
      </c>
      <c r="AH528" s="1393"/>
      <c r="AI528" s="1393"/>
      <c r="AJ528" s="1393"/>
      <c r="AK528" s="1394"/>
      <c r="AZ528" s="3"/>
      <c r="BB528" s="3"/>
      <c r="BC528" s="3"/>
      <c r="BD528" s="3"/>
      <c r="BE528" s="3"/>
      <c r="BF528" s="3"/>
      <c r="BG528" s="3"/>
      <c r="BH528" s="3"/>
      <c r="BI528" s="3"/>
      <c r="BJ528" s="3"/>
      <c r="BK528" s="3"/>
      <c r="BL528" s="3"/>
      <c r="BM528" s="3"/>
      <c r="BN528" s="3" t="s">
        <v>2068</v>
      </c>
    </row>
    <row r="529" spans="2:66" ht="12.95" customHeight="1">
      <c r="B529" s="1413"/>
      <c r="C529" s="1414"/>
      <c r="D529" s="1414"/>
      <c r="E529" s="1414"/>
      <c r="F529" s="1414"/>
      <c r="G529" s="1414"/>
      <c r="H529" s="1415"/>
      <c r="I529" s="114" t="s">
        <v>421</v>
      </c>
      <c r="AB529" s="65"/>
      <c r="AC529" s="1390" t="s">
        <v>591</v>
      </c>
      <c r="AD529" s="1391"/>
      <c r="AE529" s="1391"/>
      <c r="AF529" s="1391"/>
      <c r="AG529" s="13" t="s">
        <v>403</v>
      </c>
      <c r="AH529" s="1393"/>
      <c r="AI529" s="1393"/>
      <c r="AJ529" s="1393"/>
      <c r="AK529" s="1394"/>
      <c r="AZ529" s="3"/>
      <c r="BB529" s="3"/>
      <c r="BC529" s="3"/>
      <c r="BD529" s="3"/>
      <c r="BE529" s="3"/>
      <c r="BF529" s="3"/>
      <c r="BG529" s="3"/>
      <c r="BH529" s="3"/>
      <c r="BI529" s="3"/>
      <c r="BJ529" s="3"/>
      <c r="BK529" s="3"/>
      <c r="BL529" s="3"/>
      <c r="BM529" s="3"/>
      <c r="BN529" s="3" t="s">
        <v>2069</v>
      </c>
    </row>
    <row r="530" spans="2:66" ht="12.95" customHeight="1">
      <c r="B530" s="1413"/>
      <c r="C530" s="1414"/>
      <c r="D530" s="1414"/>
      <c r="E530" s="1414"/>
      <c r="F530" s="1414"/>
      <c r="G530" s="1414"/>
      <c r="H530" s="1415"/>
      <c r="I530" s="47" t="s">
        <v>422</v>
      </c>
      <c r="J530" s="48"/>
      <c r="K530" s="48"/>
      <c r="L530" s="48"/>
      <c r="M530" s="48"/>
      <c r="N530" s="48"/>
      <c r="O530" s="48"/>
      <c r="P530" s="48"/>
      <c r="Q530" s="48"/>
      <c r="R530" s="48"/>
      <c r="S530" s="48"/>
      <c r="T530" s="48"/>
      <c r="U530" s="48"/>
      <c r="V530" s="48"/>
      <c r="W530" s="48"/>
      <c r="X530" s="48"/>
      <c r="Y530" s="48"/>
      <c r="Z530" s="48"/>
      <c r="AA530" s="48"/>
      <c r="AB530" s="49"/>
      <c r="AC530" s="1390" t="s">
        <v>591</v>
      </c>
      <c r="AD530" s="1391"/>
      <c r="AE530" s="1391"/>
      <c r="AF530" s="1391"/>
      <c r="AG530" s="38" t="s">
        <v>403</v>
      </c>
      <c r="AH530" s="1393"/>
      <c r="AI530" s="1393"/>
      <c r="AJ530" s="1393"/>
      <c r="AK530" s="1394"/>
      <c r="AZ530" s="3"/>
      <c r="BA530" s="3"/>
      <c r="BB530" s="3"/>
      <c r="BC530" s="3"/>
      <c r="BD530" s="3"/>
      <c r="BE530" s="3"/>
      <c r="BF530" s="3"/>
      <c r="BG530" s="3"/>
      <c r="BH530" s="3"/>
      <c r="BI530" s="3"/>
      <c r="BJ530" s="3"/>
      <c r="BK530" s="3"/>
      <c r="BL530" s="3"/>
      <c r="BM530" s="3"/>
      <c r="BN530" s="3" t="s">
        <v>2070</v>
      </c>
    </row>
    <row r="531" spans="2:66" ht="12.95" customHeight="1">
      <c r="B531" s="1413"/>
      <c r="C531" s="1414"/>
      <c r="D531" s="1414"/>
      <c r="E531" s="1414"/>
      <c r="F531" s="1414"/>
      <c r="G531" s="1414"/>
      <c r="H531" s="1415"/>
      <c r="I531" s="42" t="s">
        <v>423</v>
      </c>
      <c r="J531" s="42"/>
      <c r="K531" s="42"/>
      <c r="L531" s="42"/>
      <c r="M531" s="42"/>
      <c r="N531" s="42"/>
      <c r="O531" s="1469" t="s">
        <v>334</v>
      </c>
      <c r="P531" s="1470"/>
      <c r="Q531" s="1470"/>
      <c r="R531" s="1470"/>
      <c r="S531" s="1470"/>
      <c r="T531" s="1470"/>
      <c r="U531" s="1470"/>
      <c r="V531" s="1470"/>
      <c r="W531" s="1470"/>
      <c r="X531" s="1470"/>
      <c r="Y531" s="1470"/>
      <c r="Z531" s="1470"/>
      <c r="AA531" s="1470"/>
      <c r="AC531" s="1390" t="s">
        <v>591</v>
      </c>
      <c r="AD531" s="1391"/>
      <c r="AE531" s="1391"/>
      <c r="AF531" s="1391"/>
      <c r="AG531" s="13" t="s">
        <v>403</v>
      </c>
      <c r="AH531" s="1393"/>
      <c r="AI531" s="1393"/>
      <c r="AJ531" s="1393"/>
      <c r="AK531" s="1394"/>
      <c r="AZ531" s="3"/>
      <c r="BA531" s="3"/>
      <c r="BB531" s="3"/>
      <c r="BC531" s="3"/>
      <c r="BD531" s="3"/>
      <c r="BE531" s="3"/>
      <c r="BF531" s="3"/>
      <c r="BG531" s="3"/>
      <c r="BH531" s="3"/>
      <c r="BI531" s="3"/>
      <c r="BJ531" s="3"/>
      <c r="BK531" s="3"/>
      <c r="BL531" s="3"/>
      <c r="BM531" s="3"/>
      <c r="BN531" s="3" t="s">
        <v>2071</v>
      </c>
    </row>
    <row r="532" spans="2:66" ht="12.95" customHeight="1">
      <c r="B532" s="1413"/>
      <c r="C532" s="1414"/>
      <c r="D532" s="1414"/>
      <c r="E532" s="1414"/>
      <c r="F532" s="1414"/>
      <c r="G532" s="1414"/>
      <c r="H532" s="1415"/>
      <c r="I532" t="s">
        <v>421</v>
      </c>
      <c r="AC532" s="1390" t="s">
        <v>591</v>
      </c>
      <c r="AD532" s="1391"/>
      <c r="AE532" s="1391"/>
      <c r="AF532" s="1391"/>
      <c r="AG532" s="13" t="s">
        <v>403</v>
      </c>
      <c r="AH532" s="1393"/>
      <c r="AI532" s="1393"/>
      <c r="AJ532" s="1393"/>
      <c r="AK532" s="1394"/>
      <c r="AZ532" s="3"/>
      <c r="BA532" s="3"/>
      <c r="BB532" s="3"/>
      <c r="BC532" s="3"/>
      <c r="BD532" s="3"/>
      <c r="BE532" s="3"/>
      <c r="BF532" s="3"/>
      <c r="BG532" s="3"/>
      <c r="BH532" s="3"/>
      <c r="BI532" s="3"/>
      <c r="BJ532" s="3"/>
      <c r="BK532" s="3"/>
      <c r="BL532" s="3"/>
      <c r="BM532" s="3"/>
      <c r="BN532" s="3" t="s">
        <v>2072</v>
      </c>
    </row>
    <row r="533" spans="2:66" ht="12.95" customHeight="1">
      <c r="B533" s="1413"/>
      <c r="C533" s="1414"/>
      <c r="D533" s="1414"/>
      <c r="E533" s="1414"/>
      <c r="F533" s="1414"/>
      <c r="G533" s="1414"/>
      <c r="H533" s="1415"/>
      <c r="I533" s="48" t="s">
        <v>422</v>
      </c>
      <c r="J533" s="48"/>
      <c r="K533" s="48"/>
      <c r="L533" s="48"/>
      <c r="M533" s="48"/>
      <c r="N533" s="48"/>
      <c r="O533" s="48"/>
      <c r="P533" s="48"/>
      <c r="Q533" s="48"/>
      <c r="R533" s="48"/>
      <c r="S533" s="48"/>
      <c r="T533" s="48"/>
      <c r="U533" s="48"/>
      <c r="V533" s="48"/>
      <c r="W533" s="48"/>
      <c r="X533" s="48"/>
      <c r="Y533" s="48"/>
      <c r="Z533" s="48"/>
      <c r="AA533" s="48"/>
      <c r="AB533" s="48"/>
      <c r="AC533" s="1390" t="s">
        <v>591</v>
      </c>
      <c r="AD533" s="1391"/>
      <c r="AE533" s="1391"/>
      <c r="AF533" s="1391"/>
      <c r="AG533" s="38" t="s">
        <v>403</v>
      </c>
      <c r="AH533" s="1393"/>
      <c r="AI533" s="1393"/>
      <c r="AJ533" s="1393"/>
      <c r="AK533" s="1394"/>
      <c r="AZ533" s="3"/>
      <c r="BA533" s="3"/>
      <c r="BB533" s="3"/>
      <c r="BC533" s="3"/>
      <c r="BD533" s="3"/>
      <c r="BE533" s="3"/>
      <c r="BF533" s="3"/>
      <c r="BG533" s="3"/>
      <c r="BH533" s="3"/>
      <c r="BI533" s="3"/>
      <c r="BJ533" s="3"/>
      <c r="BK533" s="3"/>
      <c r="BL533" s="3"/>
      <c r="BM533" s="3"/>
      <c r="BN533" s="3" t="s">
        <v>2073</v>
      </c>
    </row>
    <row r="534" spans="2:66" ht="12.95" customHeight="1">
      <c r="B534" s="1413"/>
      <c r="C534" s="1414"/>
      <c r="D534" s="1414"/>
      <c r="E534" s="1414"/>
      <c r="F534" s="1414"/>
      <c r="G534" s="1414"/>
      <c r="H534" s="1415"/>
      <c r="I534" s="42" t="s">
        <v>423</v>
      </c>
      <c r="J534" s="42"/>
      <c r="K534" s="42"/>
      <c r="L534" s="42"/>
      <c r="M534" s="42"/>
      <c r="N534" s="42"/>
      <c r="O534" s="1469" t="s">
        <v>334</v>
      </c>
      <c r="P534" s="1470"/>
      <c r="Q534" s="1470"/>
      <c r="R534" s="1470"/>
      <c r="S534" s="1470"/>
      <c r="T534" s="1470"/>
      <c r="U534" s="1470"/>
      <c r="V534" s="1470"/>
      <c r="W534" s="1470"/>
      <c r="X534" s="1470"/>
      <c r="Y534" s="1470"/>
      <c r="Z534" s="1470"/>
      <c r="AA534" s="1470"/>
      <c r="AC534" s="1390" t="s">
        <v>591</v>
      </c>
      <c r="AD534" s="1391"/>
      <c r="AE534" s="1391"/>
      <c r="AF534" s="1391"/>
      <c r="AG534" s="13" t="s">
        <v>403</v>
      </c>
      <c r="AH534" s="1393"/>
      <c r="AI534" s="1393"/>
      <c r="AJ534" s="1393"/>
      <c r="AK534" s="1394"/>
      <c r="AZ534" s="3"/>
      <c r="BA534" s="3"/>
      <c r="BB534" s="3"/>
      <c r="BC534" s="3"/>
      <c r="BD534" s="3"/>
      <c r="BE534" s="3"/>
      <c r="BF534" s="3"/>
      <c r="BG534" s="3"/>
      <c r="BH534" s="3"/>
      <c r="BI534" s="3"/>
      <c r="BJ534" s="3"/>
      <c r="BK534" s="3"/>
      <c r="BL534" s="3"/>
      <c r="BM534" s="3"/>
      <c r="BN534" s="3" t="s">
        <v>2074</v>
      </c>
    </row>
    <row r="535" spans="2:66" ht="12.95" customHeight="1">
      <c r="B535" s="1413"/>
      <c r="C535" s="1414"/>
      <c r="D535" s="1414"/>
      <c r="E535" s="1414"/>
      <c r="F535" s="1414"/>
      <c r="G535" s="1414"/>
      <c r="H535" s="1415"/>
      <c r="I535" t="s">
        <v>421</v>
      </c>
      <c r="AC535" s="1390" t="s">
        <v>591</v>
      </c>
      <c r="AD535" s="1391"/>
      <c r="AE535" s="1391"/>
      <c r="AF535" s="1391"/>
      <c r="AG535" s="13" t="s">
        <v>403</v>
      </c>
      <c r="AH535" s="1393"/>
      <c r="AI535" s="1393"/>
      <c r="AJ535" s="1393"/>
      <c r="AK535" s="1394"/>
      <c r="AZ535" s="3"/>
      <c r="BA535" s="3"/>
      <c r="BB535" s="3"/>
      <c r="BC535" s="3"/>
      <c r="BD535" s="3"/>
      <c r="BE535" s="3"/>
      <c r="BF535" s="3"/>
      <c r="BG535" s="3"/>
      <c r="BH535" s="3"/>
      <c r="BI535" s="3"/>
      <c r="BJ535" s="3"/>
      <c r="BK535" s="3"/>
      <c r="BL535" s="3"/>
      <c r="BM535" s="3"/>
      <c r="BN535" s="3" t="s">
        <v>2075</v>
      </c>
    </row>
    <row r="536" spans="2:66" ht="12.95" customHeight="1">
      <c r="B536" s="1413"/>
      <c r="C536" s="1414"/>
      <c r="D536" s="1414"/>
      <c r="E536" s="1414"/>
      <c r="F536" s="1414"/>
      <c r="G536" s="1414"/>
      <c r="H536" s="1415"/>
      <c r="I536" s="48" t="s">
        <v>422</v>
      </c>
      <c r="J536" s="48"/>
      <c r="K536" s="48"/>
      <c r="L536" s="48"/>
      <c r="M536" s="48"/>
      <c r="N536" s="48"/>
      <c r="O536" s="48"/>
      <c r="P536" s="48"/>
      <c r="Q536" s="48"/>
      <c r="R536" s="48"/>
      <c r="S536" s="48"/>
      <c r="T536" s="48"/>
      <c r="U536" s="48"/>
      <c r="V536" s="48"/>
      <c r="W536" s="48"/>
      <c r="X536" s="48"/>
      <c r="Y536" s="48"/>
      <c r="Z536" s="48"/>
      <c r="AA536" s="48"/>
      <c r="AB536" s="48"/>
      <c r="AC536" s="1390" t="s">
        <v>591</v>
      </c>
      <c r="AD536" s="1391"/>
      <c r="AE536" s="1391"/>
      <c r="AF536" s="1391"/>
      <c r="AG536" s="38" t="s">
        <v>403</v>
      </c>
      <c r="AH536" s="1393"/>
      <c r="AI536" s="1393"/>
      <c r="AJ536" s="1393"/>
      <c r="AK536" s="1394"/>
      <c r="AZ536" s="3"/>
      <c r="BA536" s="3"/>
      <c r="BB536" s="3"/>
      <c r="BC536" s="3"/>
      <c r="BD536" s="3"/>
      <c r="BE536" s="3"/>
      <c r="BF536" s="3"/>
      <c r="BG536" s="3"/>
      <c r="BH536" s="3"/>
      <c r="BI536" s="3"/>
      <c r="BJ536" s="3"/>
      <c r="BK536" s="3"/>
      <c r="BL536" s="3"/>
      <c r="BM536" s="3"/>
      <c r="BN536" s="3" t="s">
        <v>2076</v>
      </c>
    </row>
    <row r="537" spans="2:66" ht="12.95" customHeight="1">
      <c r="B537" s="1413"/>
      <c r="C537" s="1414"/>
      <c r="D537" s="1414"/>
      <c r="E537" s="1414"/>
      <c r="F537" s="1414"/>
      <c r="G537" s="1414"/>
      <c r="H537" s="1415"/>
      <c r="I537" s="42" t="s">
        <v>423</v>
      </c>
      <c r="J537" s="42"/>
      <c r="K537" s="42"/>
      <c r="L537" s="42"/>
      <c r="M537" s="42"/>
      <c r="N537" s="42"/>
      <c r="O537" s="1469" t="s">
        <v>334</v>
      </c>
      <c r="P537" s="1470"/>
      <c r="Q537" s="1470"/>
      <c r="R537" s="1470"/>
      <c r="S537" s="1470"/>
      <c r="T537" s="1470"/>
      <c r="U537" s="1470"/>
      <c r="V537" s="1470"/>
      <c r="W537" s="1470"/>
      <c r="X537" s="1470"/>
      <c r="Y537" s="1470"/>
      <c r="Z537" s="1470"/>
      <c r="AA537" s="1470"/>
      <c r="AC537" s="1390" t="s">
        <v>591</v>
      </c>
      <c r="AD537" s="1391"/>
      <c r="AE537" s="1391"/>
      <c r="AF537" s="1391"/>
      <c r="AG537" s="13" t="s">
        <v>403</v>
      </c>
      <c r="AH537" s="1393"/>
      <c r="AI537" s="1393"/>
      <c r="AJ537" s="1393"/>
      <c r="AK537" s="1394"/>
      <c r="AZ537" s="3"/>
      <c r="BA537" s="3"/>
      <c r="BB537" s="3"/>
      <c r="BC537" s="3"/>
      <c r="BD537" s="3"/>
      <c r="BE537" s="3"/>
      <c r="BF537" s="3"/>
      <c r="BG537" s="3"/>
      <c r="BH537" s="3"/>
      <c r="BI537" s="3"/>
      <c r="BJ537" s="3"/>
      <c r="BK537" s="3"/>
      <c r="BL537" s="3"/>
      <c r="BM537" s="3"/>
      <c r="BN537" s="3" t="s">
        <v>2077</v>
      </c>
    </row>
    <row r="538" spans="2:66" ht="12.95" customHeight="1">
      <c r="B538" s="1413"/>
      <c r="C538" s="1414"/>
      <c r="D538" s="1414"/>
      <c r="E538" s="1414"/>
      <c r="F538" s="1414"/>
      <c r="G538" s="1414"/>
      <c r="H538" s="1415"/>
      <c r="I538" t="s">
        <v>421</v>
      </c>
      <c r="AC538" s="1390" t="s">
        <v>591</v>
      </c>
      <c r="AD538" s="1391"/>
      <c r="AE538" s="1391"/>
      <c r="AF538" s="1391"/>
      <c r="AG538" s="13" t="s">
        <v>403</v>
      </c>
      <c r="AH538" s="1393"/>
      <c r="AI538" s="1393"/>
      <c r="AJ538" s="1393"/>
      <c r="AK538" s="1394"/>
      <c r="AZ538" s="3"/>
      <c r="BA538" s="3"/>
      <c r="BB538" s="3"/>
      <c r="BC538" s="3"/>
      <c r="BD538" s="3"/>
      <c r="BE538" s="3"/>
      <c r="BF538" s="3"/>
      <c r="BG538" s="3"/>
      <c r="BH538" s="3"/>
      <c r="BI538" s="3"/>
      <c r="BJ538" s="3"/>
      <c r="BK538" s="3"/>
      <c r="BL538" s="3"/>
      <c r="BM538" s="3"/>
      <c r="BN538" s="3" t="s">
        <v>2078</v>
      </c>
    </row>
    <row r="539" spans="2:66" ht="12.95" customHeight="1">
      <c r="B539" s="1413"/>
      <c r="C539" s="1414"/>
      <c r="D539" s="1414"/>
      <c r="E539" s="1414"/>
      <c r="F539" s="1414"/>
      <c r="G539" s="1414"/>
      <c r="H539" s="1415"/>
      <c r="I539" s="48" t="s">
        <v>422</v>
      </c>
      <c r="J539" s="48"/>
      <c r="K539" s="48"/>
      <c r="L539" s="48"/>
      <c r="M539" s="48"/>
      <c r="N539" s="48"/>
      <c r="O539" s="48"/>
      <c r="P539" s="48"/>
      <c r="Q539" s="48"/>
      <c r="R539" s="48"/>
      <c r="S539" s="48"/>
      <c r="T539" s="48"/>
      <c r="U539" s="48"/>
      <c r="V539" s="48"/>
      <c r="W539" s="48"/>
      <c r="X539" s="48"/>
      <c r="Y539" s="48"/>
      <c r="Z539" s="48"/>
      <c r="AA539" s="48"/>
      <c r="AB539" s="48"/>
      <c r="AC539" s="1390" t="s">
        <v>591</v>
      </c>
      <c r="AD539" s="1391"/>
      <c r="AE539" s="1391"/>
      <c r="AF539" s="1391"/>
      <c r="AG539" s="38" t="s">
        <v>403</v>
      </c>
      <c r="AH539" s="1393"/>
      <c r="AI539" s="1393"/>
      <c r="AJ539" s="1393"/>
      <c r="AK539" s="1394"/>
      <c r="AZ539" s="3"/>
      <c r="BA539" s="3"/>
      <c r="BB539" s="3"/>
      <c r="BC539" s="3"/>
      <c r="BD539" s="3"/>
      <c r="BE539" s="3"/>
      <c r="BF539" s="3"/>
      <c r="BG539" s="3"/>
      <c r="BH539" s="3"/>
      <c r="BI539" s="3"/>
      <c r="BJ539" s="3"/>
      <c r="BK539" s="3"/>
      <c r="BL539" s="3"/>
      <c r="BM539" s="3"/>
      <c r="BN539" s="3" t="s">
        <v>2079</v>
      </c>
    </row>
    <row r="540" spans="2:66" ht="12.95" customHeight="1">
      <c r="B540" s="1413"/>
      <c r="C540" s="1414"/>
      <c r="D540" s="1414"/>
      <c r="E540" s="1414"/>
      <c r="F540" s="1414"/>
      <c r="G540" s="1414"/>
      <c r="H540" s="1415"/>
      <c r="I540" s="42" t="s">
        <v>423</v>
      </c>
      <c r="J540" s="42"/>
      <c r="K540" s="42"/>
      <c r="L540" s="42"/>
      <c r="M540" s="42"/>
      <c r="N540" s="42"/>
      <c r="O540" s="1469" t="s">
        <v>334</v>
      </c>
      <c r="P540" s="1470"/>
      <c r="Q540" s="1470"/>
      <c r="R540" s="1470"/>
      <c r="S540" s="1470"/>
      <c r="T540" s="1470"/>
      <c r="U540" s="1470"/>
      <c r="V540" s="1470"/>
      <c r="W540" s="1470"/>
      <c r="X540" s="1470"/>
      <c r="Y540" s="1470"/>
      <c r="Z540" s="1470"/>
      <c r="AA540" s="1470"/>
      <c r="AC540" s="1390" t="s">
        <v>591</v>
      </c>
      <c r="AD540" s="1391"/>
      <c r="AE540" s="1391"/>
      <c r="AF540" s="1391"/>
      <c r="AG540" s="13" t="s">
        <v>403</v>
      </c>
      <c r="AH540" s="1393"/>
      <c r="AI540" s="1393"/>
      <c r="AJ540" s="1393"/>
      <c r="AK540" s="1394"/>
      <c r="AZ540" s="3"/>
      <c r="BA540" s="3"/>
      <c r="BB540" s="3"/>
      <c r="BC540" s="3"/>
      <c r="BD540" s="3"/>
      <c r="BE540" s="3"/>
      <c r="BF540" s="3"/>
      <c r="BG540" s="3"/>
      <c r="BH540" s="3"/>
      <c r="BI540" s="3"/>
      <c r="BJ540" s="3"/>
      <c r="BK540" s="3"/>
      <c r="BL540" s="3"/>
      <c r="BM540" s="3"/>
      <c r="BN540" s="3" t="s">
        <v>2080</v>
      </c>
    </row>
    <row r="541" spans="2:66" ht="12.95" customHeight="1">
      <c r="B541" s="1413"/>
      <c r="C541" s="1414"/>
      <c r="D541" s="1414"/>
      <c r="E541" s="1414"/>
      <c r="F541" s="1414"/>
      <c r="G541" s="1414"/>
      <c r="H541" s="1415"/>
      <c r="I541" t="s">
        <v>421</v>
      </c>
      <c r="AC541" s="1390" t="s">
        <v>591</v>
      </c>
      <c r="AD541" s="1391"/>
      <c r="AE541" s="1391"/>
      <c r="AF541" s="1391"/>
      <c r="AG541" s="38" t="s">
        <v>403</v>
      </c>
      <c r="AH541" s="1393"/>
      <c r="AI541" s="1393"/>
      <c r="AJ541" s="1393"/>
      <c r="AK541" s="1394"/>
      <c r="AZ541" s="3"/>
      <c r="BA541" s="3"/>
      <c r="BB541" s="3"/>
      <c r="BC541" s="3"/>
      <c r="BD541" s="3"/>
      <c r="BE541" s="3"/>
      <c r="BF541" s="3"/>
      <c r="BG541" s="3"/>
      <c r="BH541" s="3"/>
      <c r="BI541" s="3"/>
      <c r="BJ541" s="3"/>
      <c r="BK541" s="3"/>
      <c r="BL541" s="3"/>
      <c r="BM541" s="3"/>
      <c r="BN541" s="3" t="s">
        <v>2081</v>
      </c>
    </row>
    <row r="542" spans="2:66" ht="12.95" customHeight="1">
      <c r="B542" s="1413"/>
      <c r="C542" s="1414"/>
      <c r="D542" s="1414"/>
      <c r="E542" s="1414"/>
      <c r="F542" s="1414"/>
      <c r="G542" s="1414"/>
      <c r="H542" s="1415"/>
      <c r="I542" s="48" t="s">
        <v>422</v>
      </c>
      <c r="J542" s="48"/>
      <c r="K542" s="48"/>
      <c r="L542" s="48"/>
      <c r="M542" s="48"/>
      <c r="N542" s="48"/>
      <c r="O542" s="48"/>
      <c r="P542" s="48"/>
      <c r="Q542" s="48"/>
      <c r="R542" s="48"/>
      <c r="S542" s="48"/>
      <c r="T542" s="48"/>
      <c r="U542" s="48"/>
      <c r="V542" s="48"/>
      <c r="W542" s="48"/>
      <c r="X542" s="48"/>
      <c r="Y542" s="48"/>
      <c r="Z542" s="48"/>
      <c r="AA542" s="48"/>
      <c r="AB542" s="48"/>
      <c r="AC542" s="1390" t="s">
        <v>591</v>
      </c>
      <c r="AD542" s="1391"/>
      <c r="AE542" s="1391"/>
      <c r="AF542" s="1391"/>
      <c r="AG542" s="13" t="s">
        <v>403</v>
      </c>
      <c r="AH542" s="1393"/>
      <c r="AI542" s="1393"/>
      <c r="AJ542" s="1393"/>
      <c r="AK542" s="1394"/>
      <c r="AZ542" s="3"/>
      <c r="BA542" s="3"/>
      <c r="BB542" s="3"/>
      <c r="BC542" s="3"/>
      <c r="BD542" s="3"/>
      <c r="BE542" s="3"/>
      <c r="BF542" s="3"/>
      <c r="BG542" s="3"/>
      <c r="BH542" s="3"/>
      <c r="BI542" s="3"/>
      <c r="BJ542" s="3"/>
      <c r="BK542" s="3"/>
      <c r="BL542" s="3"/>
      <c r="BM542" s="3"/>
      <c r="BN542" s="3" t="s">
        <v>2082</v>
      </c>
    </row>
    <row r="543" spans="2:66" ht="12.95" customHeight="1">
      <c r="B543" s="1413"/>
      <c r="C543" s="1414"/>
      <c r="D543" s="1414"/>
      <c r="E543" s="1414"/>
      <c r="F543" s="1414"/>
      <c r="G543" s="1414"/>
      <c r="H543" s="1415"/>
      <c r="I543" s="42" t="s">
        <v>423</v>
      </c>
      <c r="J543" s="42"/>
      <c r="K543" s="42"/>
      <c r="L543" s="42"/>
      <c r="M543" s="42"/>
      <c r="N543" s="42"/>
      <c r="O543" s="1469" t="s">
        <v>334</v>
      </c>
      <c r="P543" s="1470"/>
      <c r="Q543" s="1470"/>
      <c r="R543" s="1470"/>
      <c r="S543" s="1470"/>
      <c r="T543" s="1470"/>
      <c r="U543" s="1470"/>
      <c r="V543" s="1470"/>
      <c r="W543" s="1470"/>
      <c r="X543" s="1470"/>
      <c r="Y543" s="1470"/>
      <c r="Z543" s="1470"/>
      <c r="AA543" s="1470"/>
      <c r="AC543" s="1390" t="s">
        <v>591</v>
      </c>
      <c r="AD543" s="1391"/>
      <c r="AE543" s="1391"/>
      <c r="AF543" s="1391"/>
      <c r="AG543" s="38" t="s">
        <v>403</v>
      </c>
      <c r="AH543" s="1393"/>
      <c r="AI543" s="1393"/>
      <c r="AJ543" s="1393"/>
      <c r="AK543" s="1394"/>
      <c r="AZ543" s="3"/>
      <c r="BA543" s="3"/>
      <c r="BB543" s="3"/>
      <c r="BC543" s="3"/>
      <c r="BD543" s="3"/>
      <c r="BE543" s="3"/>
      <c r="BF543" s="3"/>
      <c r="BG543" s="3"/>
      <c r="BH543" s="3"/>
      <c r="BI543" s="3"/>
      <c r="BJ543" s="3"/>
      <c r="BK543" s="3"/>
      <c r="BL543" s="3"/>
      <c r="BM543" s="3"/>
      <c r="BN543" s="3" t="s">
        <v>2083</v>
      </c>
    </row>
    <row r="544" spans="2:66" ht="12.95" customHeight="1">
      <c r="B544" s="1413"/>
      <c r="C544" s="1414"/>
      <c r="D544" s="1414"/>
      <c r="E544" s="1414"/>
      <c r="F544" s="1414"/>
      <c r="G544" s="1414"/>
      <c r="H544" s="1415"/>
      <c r="I544" t="s">
        <v>421</v>
      </c>
      <c r="AC544" s="1390" t="s">
        <v>591</v>
      </c>
      <c r="AD544" s="1391"/>
      <c r="AE544" s="1391"/>
      <c r="AF544" s="1391"/>
      <c r="AG544" s="13" t="s">
        <v>403</v>
      </c>
      <c r="AH544" s="1393"/>
      <c r="AI544" s="1393"/>
      <c r="AJ544" s="1393"/>
      <c r="AK544" s="1394"/>
      <c r="AZ544" s="3"/>
      <c r="BA544" s="3"/>
      <c r="BB544" s="3"/>
      <c r="BC544" s="3"/>
      <c r="BD544" s="3"/>
      <c r="BE544" s="3"/>
      <c r="BF544" s="3"/>
      <c r="BG544" s="3"/>
      <c r="BH544" s="3"/>
      <c r="BI544" s="3"/>
      <c r="BJ544" s="3"/>
      <c r="BK544" s="3"/>
      <c r="BL544" s="3"/>
      <c r="BM544" s="3"/>
      <c r="BN544" s="3" t="s">
        <v>2084</v>
      </c>
    </row>
    <row r="545" spans="1:66" ht="12.95" customHeight="1">
      <c r="B545" s="1413"/>
      <c r="C545" s="1414"/>
      <c r="D545" s="1414"/>
      <c r="E545" s="1414"/>
      <c r="F545" s="1414"/>
      <c r="G545" s="1414"/>
      <c r="H545" s="1415"/>
      <c r="I545" s="48" t="s">
        <v>422</v>
      </c>
      <c r="J545" s="48"/>
      <c r="K545" s="48"/>
      <c r="L545" s="48"/>
      <c r="M545" s="48"/>
      <c r="N545" s="48"/>
      <c r="O545" s="48"/>
      <c r="P545" s="48"/>
      <c r="Q545" s="48"/>
      <c r="R545" s="48"/>
      <c r="S545" s="48"/>
      <c r="T545" s="48"/>
      <c r="U545" s="48"/>
      <c r="V545" s="48"/>
      <c r="W545" s="48"/>
      <c r="X545" s="48"/>
      <c r="Y545" s="48"/>
      <c r="Z545" s="48"/>
      <c r="AA545" s="48"/>
      <c r="AB545" s="48"/>
      <c r="AC545" s="1390" t="s">
        <v>591</v>
      </c>
      <c r="AD545" s="1391"/>
      <c r="AE545" s="1391"/>
      <c r="AF545" s="1391"/>
      <c r="AG545" s="38" t="s">
        <v>403</v>
      </c>
      <c r="AH545" s="1393"/>
      <c r="AI545" s="1393"/>
      <c r="AJ545" s="1393"/>
      <c r="AK545" s="1394"/>
      <c r="AZ545" s="3"/>
      <c r="BA545" s="3"/>
      <c r="BB545" s="3"/>
      <c r="BC545" s="3"/>
      <c r="BD545" s="3"/>
      <c r="BE545" s="3"/>
      <c r="BF545" s="3"/>
      <c r="BG545" s="3"/>
      <c r="BH545" s="3"/>
      <c r="BI545" s="3"/>
      <c r="BJ545" s="3"/>
      <c r="BK545" s="3"/>
      <c r="BL545" s="3"/>
      <c r="BM545" s="3"/>
      <c r="BN545" s="3" t="s">
        <v>2085</v>
      </c>
    </row>
    <row r="546" spans="1:66" ht="12.95" customHeight="1">
      <c r="B546" s="1413"/>
      <c r="C546" s="1414"/>
      <c r="D546" s="1414"/>
      <c r="E546" s="1414"/>
      <c r="F546" s="1414"/>
      <c r="G546" s="1414"/>
      <c r="H546" s="1415"/>
      <c r="I546" s="42" t="s">
        <v>562</v>
      </c>
      <c r="J546" s="42"/>
      <c r="K546" s="42"/>
      <c r="L546" s="42"/>
      <c r="M546" s="42"/>
      <c r="N546" s="42"/>
      <c r="O546" s="42"/>
      <c r="P546" s="42"/>
      <c r="Q546" s="42"/>
      <c r="R546" s="42"/>
      <c r="S546" s="42"/>
      <c r="T546" s="42"/>
      <c r="U546" s="42"/>
      <c r="V546" s="42"/>
      <c r="W546" s="42"/>
      <c r="AC546" s="1390">
        <v>11</v>
      </c>
      <c r="AD546" s="1391"/>
      <c r="AE546" s="1391"/>
      <c r="AF546" s="1391"/>
      <c r="AG546" s="38" t="s">
        <v>403</v>
      </c>
      <c r="AH546" s="1393">
        <v>2026</v>
      </c>
      <c r="AI546" s="1393"/>
      <c r="AJ546" s="1393"/>
      <c r="AK546" s="1394"/>
      <c r="AZ546" s="3"/>
      <c r="BA546" s="3"/>
      <c r="BB546" s="3"/>
      <c r="BC546" s="3"/>
      <c r="BD546" s="3"/>
      <c r="BE546" s="3"/>
      <c r="BF546" s="3"/>
      <c r="BG546" s="3"/>
      <c r="BH546" s="3"/>
      <c r="BI546" s="3"/>
      <c r="BJ546" s="3"/>
      <c r="BK546" s="3"/>
      <c r="BL546" s="3"/>
      <c r="BM546" s="3"/>
      <c r="BN546" s="3"/>
    </row>
    <row r="547" spans="1:66" ht="12.95" customHeight="1">
      <c r="B547" s="1413"/>
      <c r="C547" s="1414"/>
      <c r="D547" s="1414"/>
      <c r="E547" s="1414"/>
      <c r="F547" s="1414"/>
      <c r="G547" s="1414"/>
      <c r="H547" s="1415"/>
      <c r="I547" t="s">
        <v>563</v>
      </c>
      <c r="AC547" s="1390">
        <v>11</v>
      </c>
      <c r="AD547" s="1391"/>
      <c r="AE547" s="1391"/>
      <c r="AF547" s="1391"/>
      <c r="AG547" s="13" t="s">
        <v>403</v>
      </c>
      <c r="AH547" s="1393">
        <v>2026</v>
      </c>
      <c r="AI547" s="1393"/>
      <c r="AJ547" s="1393"/>
      <c r="AK547" s="1394"/>
      <c r="AZ547" s="3"/>
      <c r="BA547" s="3"/>
      <c r="BB547" s="3"/>
      <c r="BC547" s="3"/>
      <c r="BD547" s="3"/>
      <c r="BE547" s="3"/>
      <c r="BF547" s="3"/>
      <c r="BG547" s="3"/>
      <c r="BH547" s="3"/>
      <c r="BI547" s="3"/>
      <c r="BJ547" s="3"/>
      <c r="BK547" s="3"/>
      <c r="BL547" s="3"/>
      <c r="BM547" s="3"/>
      <c r="BN547" s="3"/>
    </row>
    <row r="548" spans="1:66" ht="12.95" customHeight="1">
      <c r="B548" s="1413"/>
      <c r="C548" s="1414"/>
      <c r="D548" s="1414"/>
      <c r="E548" s="1414"/>
      <c r="F548" s="1414"/>
      <c r="G548" s="1414"/>
      <c r="H548" s="1415"/>
      <c r="I548" t="s">
        <v>564</v>
      </c>
      <c r="AC548" s="1390">
        <v>5</v>
      </c>
      <c r="AD548" s="1391"/>
      <c r="AE548" s="1391"/>
      <c r="AF548" s="1391"/>
      <c r="AG548" s="38" t="s">
        <v>403</v>
      </c>
      <c r="AH548" s="1393">
        <v>2028</v>
      </c>
      <c r="AI548" s="1393"/>
      <c r="AJ548" s="1393"/>
      <c r="AK548" s="1394"/>
      <c r="AZ548" s="3"/>
      <c r="BA548" s="3"/>
      <c r="BB548" s="3"/>
      <c r="BC548" s="3"/>
      <c r="BD548" s="3"/>
      <c r="BE548" s="3"/>
      <c r="BF548" s="3"/>
      <c r="BG548" s="3"/>
      <c r="BH548" s="3"/>
      <c r="BI548" s="3"/>
      <c r="BJ548" s="3"/>
      <c r="BK548" s="3"/>
      <c r="BL548" s="3"/>
      <c r="BM548" s="3"/>
      <c r="BN548" s="3"/>
    </row>
    <row r="549" spans="1:66" ht="12.95" customHeight="1">
      <c r="B549" s="1413"/>
      <c r="C549" s="1414"/>
      <c r="D549" s="1414"/>
      <c r="E549" s="1414"/>
      <c r="F549" s="1414"/>
      <c r="G549" s="1414"/>
      <c r="H549" s="1415"/>
      <c r="I549" t="s">
        <v>565</v>
      </c>
      <c r="AC549" s="1390">
        <v>6</v>
      </c>
      <c r="AD549" s="1391"/>
      <c r="AE549" s="1391"/>
      <c r="AF549" s="1391"/>
      <c r="AG549" s="38" t="s">
        <v>403</v>
      </c>
      <c r="AH549" s="1393">
        <v>2028</v>
      </c>
      <c r="AI549" s="1393"/>
      <c r="AJ549" s="1393"/>
      <c r="AK549" s="1394"/>
      <c r="AZ549" s="3"/>
      <c r="BA549" s="3"/>
      <c r="BB549" s="3"/>
      <c r="BC549" s="3"/>
      <c r="BD549" s="3"/>
      <c r="BE549" s="3"/>
      <c r="BF549" s="3"/>
      <c r="BG549" s="3"/>
      <c r="BH549" s="3"/>
      <c r="BI549" s="3"/>
      <c r="BJ549" s="3"/>
      <c r="BK549" s="3"/>
      <c r="BL549" s="3"/>
      <c r="BM549" s="3"/>
      <c r="BN549" s="3"/>
    </row>
    <row r="550" spans="1:66" ht="12.95" customHeight="1">
      <c r="B550" s="1416"/>
      <c r="C550" s="1417"/>
      <c r="D550" s="1417"/>
      <c r="E550" s="1417"/>
      <c r="F550" s="1417"/>
      <c r="G550" s="1417"/>
      <c r="H550" s="1418"/>
      <c r="I550" s="48" t="s">
        <v>451</v>
      </c>
      <c r="J550" s="48"/>
      <c r="K550" s="48"/>
      <c r="L550" s="48"/>
      <c r="M550" s="48"/>
      <c r="N550" s="48"/>
      <c r="O550" s="48"/>
      <c r="P550" s="48"/>
      <c r="Q550" s="48"/>
      <c r="R550" s="48"/>
      <c r="S550" s="48"/>
      <c r="T550" s="48"/>
      <c r="U550" s="48"/>
      <c r="V550" s="48"/>
      <c r="W550" s="48"/>
      <c r="X550" s="48"/>
      <c r="Y550" s="48"/>
      <c r="Z550" s="48"/>
      <c r="AA550" s="48"/>
      <c r="AB550" s="48"/>
      <c r="AC550" s="1390">
        <v>9</v>
      </c>
      <c r="AD550" s="1391"/>
      <c r="AE550" s="1391"/>
      <c r="AF550" s="1391"/>
      <c r="AG550" s="38" t="s">
        <v>403</v>
      </c>
      <c r="AH550" s="1393">
        <v>2028</v>
      </c>
      <c r="AI550" s="1393"/>
      <c r="AJ550" s="1393"/>
      <c r="AK550" s="1394"/>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276" t="s">
        <v>543</v>
      </c>
      <c r="B552" s="1276"/>
      <c r="C552" s="1276"/>
      <c r="D552" s="1276"/>
      <c r="E552" s="1276"/>
      <c r="F552" s="1276"/>
      <c r="G552" s="1276"/>
      <c r="H552" s="1276"/>
      <c r="I552" s="1276"/>
      <c r="J552" s="1276"/>
      <c r="K552" s="1276"/>
      <c r="L552" s="1276"/>
      <c r="M552" s="1276"/>
      <c r="N552" s="1276"/>
      <c r="O552" s="1276"/>
      <c r="P552" s="1276"/>
      <c r="Q552" s="1276"/>
      <c r="R552" s="1276"/>
      <c r="S552" s="1276"/>
      <c r="T552" s="1276"/>
      <c r="U552" s="1276"/>
      <c r="V552" s="1276"/>
      <c r="W552" s="1276"/>
      <c r="X552" s="1276"/>
      <c r="Y552" s="1276"/>
      <c r="Z552" s="1276"/>
      <c r="AA552" s="1276"/>
      <c r="AB552" s="1276"/>
      <c r="AC552" s="1276"/>
      <c r="AD552" s="1276"/>
      <c r="AE552" s="1276"/>
      <c r="AF552" s="1276"/>
      <c r="AG552" s="1276"/>
      <c r="AH552" s="1276"/>
      <c r="AI552" s="1276"/>
      <c r="AJ552" s="1276"/>
      <c r="AK552" s="1276"/>
      <c r="AL552" s="1276"/>
      <c r="AM552" s="1276"/>
      <c r="AN552" s="1276"/>
      <c r="AO552" s="1276"/>
      <c r="AP552" s="1276"/>
      <c r="AQ552" s="1276"/>
      <c r="AR552" s="1276"/>
      <c r="AS552" s="1276"/>
      <c r="AT552" s="1276"/>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276"/>
      <c r="B553" s="1276"/>
      <c r="C553" s="1276"/>
      <c r="D553" s="1276"/>
      <c r="E553" s="1276"/>
      <c r="F553" s="1276"/>
      <c r="G553" s="1276"/>
      <c r="H553" s="1276"/>
      <c r="I553" s="1276"/>
      <c r="J553" s="1276"/>
      <c r="K553" s="1276"/>
      <c r="L553" s="1276"/>
      <c r="M553" s="1276"/>
      <c r="N553" s="1276"/>
      <c r="O553" s="1276"/>
      <c r="P553" s="1276"/>
      <c r="Q553" s="1276"/>
      <c r="R553" s="1276"/>
      <c r="S553" s="1276"/>
      <c r="T553" s="1276"/>
      <c r="U553" s="1276"/>
      <c r="V553" s="1276"/>
      <c r="W553" s="1276"/>
      <c r="X553" s="1276"/>
      <c r="Y553" s="1276"/>
      <c r="Z553" s="1276"/>
      <c r="AA553" s="1276"/>
      <c r="AB553" s="1276"/>
      <c r="AC553" s="1276"/>
      <c r="AD553" s="1276"/>
      <c r="AE553" s="1276"/>
      <c r="AF553" s="1276"/>
      <c r="AG553" s="1276"/>
      <c r="AH553" s="1276"/>
      <c r="AI553" s="1276"/>
      <c r="AJ553" s="1276"/>
      <c r="AK553" s="1276"/>
      <c r="AL553" s="1276"/>
      <c r="AM553" s="1276"/>
      <c r="AN553" s="1276"/>
      <c r="AO553" s="1276"/>
      <c r="AP553" s="1276"/>
      <c r="AQ553" s="1276"/>
      <c r="AR553" s="1276"/>
      <c r="AS553" s="1276"/>
      <c r="AT553" s="1276"/>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2057</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No</v>
      </c>
    </row>
    <row r="559" spans="1:66" ht="12.95" customHeight="1">
      <c r="B559" s="1410" t="s">
        <v>2059</v>
      </c>
      <c r="C559" s="1411"/>
      <c r="D559" s="1411"/>
      <c r="E559" s="1411"/>
      <c r="F559" s="1411"/>
      <c r="G559" s="1411"/>
      <c r="H559" s="1411"/>
      <c r="I559" s="1411"/>
      <c r="J559" s="1411"/>
      <c r="K559" s="1411"/>
      <c r="L559" s="1412"/>
      <c r="M559" s="1410" t="s">
        <v>2060</v>
      </c>
      <c r="N559" s="1411"/>
      <c r="O559" s="1411"/>
      <c r="P559" s="1412"/>
      <c r="Q559" s="1410" t="s">
        <v>2086</v>
      </c>
      <c r="R559" s="1411"/>
      <c r="S559" s="1412"/>
      <c r="T559" s="1410" t="s">
        <v>2087</v>
      </c>
      <c r="U559" s="1411"/>
      <c r="V559" s="1412"/>
      <c r="W559" s="1410" t="s">
        <v>453</v>
      </c>
      <c r="X559" s="1411"/>
      <c r="Y559" s="1412"/>
      <c r="Z559" s="1410" t="s">
        <v>1828</v>
      </c>
      <c r="AA559" s="1411"/>
      <c r="AB559" s="1411"/>
      <c r="AC559" s="1411"/>
      <c r="AD559" s="1412"/>
      <c r="AE559" s="1410" t="s">
        <v>1665</v>
      </c>
      <c r="AF559" s="1411"/>
      <c r="AG559" s="1411"/>
      <c r="AH559" s="1412"/>
      <c r="AI559" s="1410" t="s">
        <v>1666</v>
      </c>
      <c r="AJ559" s="1411"/>
      <c r="AK559" s="1411"/>
      <c r="AL559" s="1412"/>
      <c r="AM559" s="1410" t="s">
        <v>454</v>
      </c>
      <c r="AN559" s="1411"/>
      <c r="AO559" s="1411"/>
      <c r="AP559" s="1411"/>
      <c r="AQ559" s="1411"/>
      <c r="AR559" s="1411"/>
      <c r="AS559" s="1412"/>
      <c r="BB559" s="3"/>
      <c r="BC559" s="3"/>
      <c r="BD559" s="3"/>
      <c r="BE559" s="3"/>
      <c r="BF559" s="3"/>
      <c r="BG559" s="3"/>
      <c r="BH559" s="3" t="s">
        <v>581</v>
      </c>
      <c r="BI559" s="3" t="str">
        <f>AG665</f>
        <v>No</v>
      </c>
    </row>
    <row r="560" spans="1:66" ht="12.95" customHeight="1">
      <c r="B560" s="1413"/>
      <c r="C560" s="1414"/>
      <c r="D560" s="1414"/>
      <c r="E560" s="1414"/>
      <c r="F560" s="1414"/>
      <c r="G560" s="1414"/>
      <c r="H560" s="1414"/>
      <c r="I560" s="1414"/>
      <c r="J560" s="1414"/>
      <c r="K560" s="1414"/>
      <c r="L560" s="1415"/>
      <c r="M560" s="1413"/>
      <c r="N560" s="1414"/>
      <c r="O560" s="1414"/>
      <c r="P560" s="1415"/>
      <c r="Q560" s="1413"/>
      <c r="R560" s="1414"/>
      <c r="S560" s="1415"/>
      <c r="T560" s="1413"/>
      <c r="U560" s="1414"/>
      <c r="V560" s="1415"/>
      <c r="W560" s="1413"/>
      <c r="X560" s="1414"/>
      <c r="Y560" s="1415"/>
      <c r="Z560" s="1413"/>
      <c r="AA560" s="1414"/>
      <c r="AB560" s="1414"/>
      <c r="AC560" s="1414"/>
      <c r="AD560" s="1415"/>
      <c r="AE560" s="1413"/>
      <c r="AF560" s="1414"/>
      <c r="AG560" s="1414"/>
      <c r="AH560" s="1415"/>
      <c r="AI560" s="1413"/>
      <c r="AJ560" s="1414"/>
      <c r="AK560" s="1414"/>
      <c r="AL560" s="1415"/>
      <c r="AM560" s="1413"/>
      <c r="AN560" s="1414"/>
      <c r="AO560" s="1414"/>
      <c r="AP560" s="1414"/>
      <c r="AQ560" s="1414"/>
      <c r="AR560" s="1414"/>
      <c r="AS560" s="1415"/>
      <c r="AU560" s="1141"/>
      <c r="BB560" s="3"/>
      <c r="BC560" s="3"/>
      <c r="BD560" s="3"/>
      <c r="BE560" s="3"/>
      <c r="BF560" s="3"/>
      <c r="BG560" s="3"/>
      <c r="BH560" s="3"/>
      <c r="BI560" s="3"/>
    </row>
    <row r="561" spans="1:61" ht="12.95" customHeight="1">
      <c r="B561" s="1416"/>
      <c r="C561" s="1417"/>
      <c r="D561" s="1417"/>
      <c r="E561" s="1417"/>
      <c r="F561" s="1417"/>
      <c r="G561" s="1417"/>
      <c r="H561" s="1417"/>
      <c r="I561" s="1417"/>
      <c r="J561" s="1417"/>
      <c r="K561" s="1417"/>
      <c r="L561" s="1418"/>
      <c r="M561" s="1416"/>
      <c r="N561" s="1417"/>
      <c r="O561" s="1417"/>
      <c r="P561" s="1418"/>
      <c r="Q561" s="1416"/>
      <c r="R561" s="1417"/>
      <c r="S561" s="1418"/>
      <c r="T561" s="1416"/>
      <c r="U561" s="1417"/>
      <c r="V561" s="1418"/>
      <c r="W561" s="1416"/>
      <c r="X561" s="1417"/>
      <c r="Y561" s="1418"/>
      <c r="Z561" s="1416"/>
      <c r="AA561" s="1417"/>
      <c r="AB561" s="1417"/>
      <c r="AC561" s="1417"/>
      <c r="AD561" s="1418"/>
      <c r="AE561" s="1416"/>
      <c r="AF561" s="1417"/>
      <c r="AG561" s="1417"/>
      <c r="AH561" s="1418"/>
      <c r="AI561" s="1416"/>
      <c r="AJ561" s="1417"/>
      <c r="AK561" s="1417"/>
      <c r="AL561" s="1418"/>
      <c r="AM561" s="1416"/>
      <c r="AN561" s="1417"/>
      <c r="AO561" s="1417"/>
      <c r="AP561" s="1417"/>
      <c r="AQ561" s="1417"/>
      <c r="AR561" s="1417"/>
      <c r="AS561" s="1418"/>
      <c r="AU561" s="1141"/>
      <c r="BB561" s="3"/>
      <c r="BC561" s="3"/>
      <c r="BD561" s="3"/>
      <c r="BE561" s="3"/>
      <c r="BF561" s="3"/>
      <c r="BG561" s="3"/>
      <c r="BH561" s="3"/>
      <c r="BI561" s="3"/>
    </row>
    <row r="562" spans="1:61" ht="12.95" customHeight="1">
      <c r="B562" s="51" t="s">
        <v>112</v>
      </c>
      <c r="C562" s="1443" t="s">
        <v>2727</v>
      </c>
      <c r="D562" s="1443"/>
      <c r="E562" s="1443"/>
      <c r="F562" s="1443"/>
      <c r="G562" s="1443"/>
      <c r="H562" s="1443"/>
      <c r="I562" s="1443"/>
      <c r="J562" s="1443"/>
      <c r="K562" s="1443"/>
      <c r="L562" s="1443"/>
      <c r="M562" s="1443" t="s">
        <v>2076</v>
      </c>
      <c r="N562" s="1443"/>
      <c r="O562" s="1443"/>
      <c r="P562" s="1443"/>
      <c r="Q562" s="1441">
        <v>23</v>
      </c>
      <c r="R562" s="1441"/>
      <c r="S562" s="1442"/>
      <c r="T562" s="1440"/>
      <c r="U562" s="1441"/>
      <c r="V562" s="1442"/>
      <c r="W562" s="1445">
        <v>5.5E-2</v>
      </c>
      <c r="X562" s="1446"/>
      <c r="Y562" s="1447"/>
      <c r="Z562" s="1392" t="s">
        <v>2726</v>
      </c>
      <c r="AA562" s="1392"/>
      <c r="AB562" s="1392"/>
      <c r="AC562" s="1392"/>
      <c r="AD562" s="1392"/>
      <c r="AE562" s="1431">
        <v>1</v>
      </c>
      <c r="AF562" s="1432"/>
      <c r="AG562" s="1432"/>
      <c r="AH562" s="1433"/>
      <c r="AI562" s="1479"/>
      <c r="AJ562" s="1480"/>
      <c r="AK562" s="1480"/>
      <c r="AL562" s="1481"/>
      <c r="AM562" s="1422">
        <v>18192172</v>
      </c>
      <c r="AN562" s="1423"/>
      <c r="AO562" s="1423"/>
      <c r="AP562" s="1423"/>
      <c r="AQ562" s="1423"/>
      <c r="AR562" s="1423"/>
      <c r="AS562" s="1424"/>
      <c r="AT562" s="1142"/>
      <c r="AU562" s="1141"/>
      <c r="BB562" s="3"/>
      <c r="BC562" s="3"/>
      <c r="BD562" s="3"/>
      <c r="BE562" s="3"/>
      <c r="BF562" s="3"/>
      <c r="BG562" s="3"/>
      <c r="BH562" s="3"/>
      <c r="BI562" s="3"/>
    </row>
    <row r="563" spans="1:61" ht="12.95" customHeight="1">
      <c r="B563" s="52" t="s">
        <v>113</v>
      </c>
      <c r="C563" s="1444" t="s">
        <v>2727</v>
      </c>
      <c r="D563" s="1444"/>
      <c r="E563" s="1444"/>
      <c r="F563" s="1444"/>
      <c r="G563" s="1444"/>
      <c r="H563" s="1444"/>
      <c r="I563" s="1444"/>
      <c r="J563" s="1444"/>
      <c r="K563" s="1444"/>
      <c r="L563" s="1444"/>
      <c r="M563" s="1443" t="s">
        <v>2077</v>
      </c>
      <c r="N563" s="1443"/>
      <c r="O563" s="1443"/>
      <c r="P563" s="1443"/>
      <c r="Q563" s="1440">
        <v>23</v>
      </c>
      <c r="R563" s="1441"/>
      <c r="S563" s="1442"/>
      <c r="T563" s="1440"/>
      <c r="U563" s="1441"/>
      <c r="V563" s="1442"/>
      <c r="W563" s="1445">
        <v>5.5E-2</v>
      </c>
      <c r="X563" s="1446"/>
      <c r="Y563" s="1447"/>
      <c r="Z563" s="1392" t="s">
        <v>2726</v>
      </c>
      <c r="AA563" s="1392"/>
      <c r="AB563" s="1392"/>
      <c r="AC563" s="1392"/>
      <c r="AD563" s="1392"/>
      <c r="AE563" s="1431">
        <v>1</v>
      </c>
      <c r="AF563" s="1432"/>
      <c r="AG563" s="1432"/>
      <c r="AH563" s="1433"/>
      <c r="AI563" s="1479"/>
      <c r="AJ563" s="1480"/>
      <c r="AK563" s="1480"/>
      <c r="AL563" s="1481"/>
      <c r="AM563" s="1422">
        <v>5000000</v>
      </c>
      <c r="AN563" s="1423"/>
      <c r="AO563" s="1423"/>
      <c r="AP563" s="1423"/>
      <c r="AQ563" s="1423"/>
      <c r="AR563" s="1423"/>
      <c r="AS563" s="1424"/>
      <c r="AT563" s="1142" t="str">
        <f>IF(AND(NOT(C562=""),C563="",NOT(C564="")),"!","")</f>
        <v/>
      </c>
      <c r="AU563" s="1141"/>
      <c r="BB563" s="3"/>
      <c r="BC563" s="3"/>
      <c r="BD563" s="3"/>
      <c r="BE563" s="3"/>
      <c r="BF563" s="3"/>
      <c r="BG563" s="3"/>
      <c r="BH563" s="3"/>
      <c r="BI563" s="3"/>
    </row>
    <row r="564" spans="1:61" ht="12.95" customHeight="1">
      <c r="B564" s="52" t="s">
        <v>119</v>
      </c>
      <c r="C564" s="1444" t="s">
        <v>2727</v>
      </c>
      <c r="D564" s="1444"/>
      <c r="E564" s="1444"/>
      <c r="F564" s="1444"/>
      <c r="G564" s="1444"/>
      <c r="H564" s="1444"/>
      <c r="I564" s="1444"/>
      <c r="J564" s="1444"/>
      <c r="K564" s="1444"/>
      <c r="L564" s="1444"/>
      <c r="M564" s="1443" t="s">
        <v>2075</v>
      </c>
      <c r="N564" s="1443"/>
      <c r="O564" s="1443"/>
      <c r="P564" s="1443"/>
      <c r="Q564" s="1440">
        <v>23</v>
      </c>
      <c r="R564" s="1441"/>
      <c r="S564" s="1442"/>
      <c r="T564" s="1440"/>
      <c r="U564" s="1441"/>
      <c r="V564" s="1442"/>
      <c r="W564" s="1445">
        <v>6.2E-2</v>
      </c>
      <c r="X564" s="1446"/>
      <c r="Y564" s="1447"/>
      <c r="Z564" s="1392" t="s">
        <v>2726</v>
      </c>
      <c r="AA564" s="1392"/>
      <c r="AB564" s="1392"/>
      <c r="AC564" s="1392"/>
      <c r="AD564" s="1392"/>
      <c r="AE564" s="1431">
        <v>1</v>
      </c>
      <c r="AF564" s="1432"/>
      <c r="AG564" s="1432"/>
      <c r="AH564" s="1433"/>
      <c r="AI564" s="1479"/>
      <c r="AJ564" s="1480"/>
      <c r="AK564" s="1480"/>
      <c r="AL564" s="1481"/>
      <c r="AM564" s="1422">
        <v>32971208</v>
      </c>
      <c r="AN564" s="1423"/>
      <c r="AO564" s="1423"/>
      <c r="AP564" s="1423"/>
      <c r="AQ564" s="1423"/>
      <c r="AR564" s="1423"/>
      <c r="AS564" s="1424"/>
      <c r="AT564" s="1142" t="str">
        <f>IF(AND(NOT(C563=""),C564="",NOT(C565="")),"!","")</f>
        <v/>
      </c>
      <c r="AU564" s="1141"/>
      <c r="BB564" s="3"/>
      <c r="BC564" s="3"/>
      <c r="BD564" s="3"/>
      <c r="BE564" s="3"/>
      <c r="BF564" s="3"/>
      <c r="BG564" s="3"/>
      <c r="BH564" s="3"/>
      <c r="BI564" s="3"/>
    </row>
    <row r="565" spans="1:61" ht="12.95" customHeight="1">
      <c r="B565" s="52" t="s">
        <v>581</v>
      </c>
      <c r="C565" s="1444" t="s">
        <v>2748</v>
      </c>
      <c r="D565" s="1444"/>
      <c r="E565" s="1444"/>
      <c r="F565" s="1444"/>
      <c r="G565" s="1444"/>
      <c r="H565" s="1444"/>
      <c r="I565" s="1444"/>
      <c r="J565" s="1444"/>
      <c r="K565" s="1444"/>
      <c r="L565" s="1444"/>
      <c r="M565" s="1443" t="s">
        <v>2067</v>
      </c>
      <c r="N565" s="1443"/>
      <c r="O565" s="1443"/>
      <c r="P565" s="1443"/>
      <c r="Q565" s="1440"/>
      <c r="R565" s="1441"/>
      <c r="S565" s="1442"/>
      <c r="T565" s="1440"/>
      <c r="U565" s="1441"/>
      <c r="V565" s="1442"/>
      <c r="W565" s="1445"/>
      <c r="X565" s="1446"/>
      <c r="Y565" s="1447"/>
      <c r="Z565" s="1392" t="s">
        <v>591</v>
      </c>
      <c r="AA565" s="1392"/>
      <c r="AB565" s="1392"/>
      <c r="AC565" s="1392"/>
      <c r="AD565" s="1392"/>
      <c r="AE565" s="1431"/>
      <c r="AF565" s="1432"/>
      <c r="AG565" s="1432"/>
      <c r="AH565" s="1433"/>
      <c r="AI565" s="1479"/>
      <c r="AJ565" s="1480"/>
      <c r="AK565" s="1480"/>
      <c r="AL565" s="1481"/>
      <c r="AM565" s="1422">
        <v>3742332</v>
      </c>
      <c r="AN565" s="1423"/>
      <c r="AO565" s="1423"/>
      <c r="AP565" s="1423"/>
      <c r="AQ565" s="1423"/>
      <c r="AR565" s="1423"/>
      <c r="AS565" s="1424"/>
      <c r="AT565" s="1142" t="str">
        <f>IF(AND(NOT(C564=""),C565="",NOT(C566="")),"!","")</f>
        <v/>
      </c>
      <c r="AU565" s="1141"/>
      <c r="BB565" s="3"/>
      <c r="BC565" s="3"/>
      <c r="BD565" s="3"/>
      <c r="BE565" s="3"/>
      <c r="BF565" s="3"/>
      <c r="BG565" s="3"/>
      <c r="BH565" s="3"/>
      <c r="BI565" s="3"/>
    </row>
    <row r="566" spans="1:61" ht="12.95" customHeight="1">
      <c r="B566" s="52" t="s">
        <v>763</v>
      </c>
      <c r="C566" s="1444" t="s">
        <v>2644</v>
      </c>
      <c r="D566" s="1444"/>
      <c r="E566" s="1444"/>
      <c r="F566" s="1444"/>
      <c r="G566" s="1444"/>
      <c r="H566" s="1444"/>
      <c r="I566" s="1444"/>
      <c r="J566" s="1444"/>
      <c r="K566" s="1444"/>
      <c r="L566" s="1444"/>
      <c r="M566" s="1443" t="s">
        <v>2062</v>
      </c>
      <c r="N566" s="1443"/>
      <c r="O566" s="1443"/>
      <c r="P566" s="1443"/>
      <c r="Q566" s="1440"/>
      <c r="R566" s="1441"/>
      <c r="S566" s="1442"/>
      <c r="T566" s="1440"/>
      <c r="U566" s="1441"/>
      <c r="V566" s="1442"/>
      <c r="W566" s="1445"/>
      <c r="X566" s="1446"/>
      <c r="Y566" s="1447"/>
      <c r="Z566" s="1392" t="s">
        <v>591</v>
      </c>
      <c r="AA566" s="1392"/>
      <c r="AB566" s="1392"/>
      <c r="AC566" s="1392"/>
      <c r="AD566" s="1392"/>
      <c r="AE566" s="1431"/>
      <c r="AF566" s="1432"/>
      <c r="AG566" s="1432"/>
      <c r="AH566" s="1433"/>
      <c r="AI566" s="1479"/>
      <c r="AJ566" s="1480"/>
      <c r="AK566" s="1480"/>
      <c r="AL566" s="1481"/>
      <c r="AM566" s="1422">
        <f>'Sources and Uses Budget'!B105-SUM(AM562:AS565)</f>
        <v>11397995</v>
      </c>
      <c r="AN566" s="1423"/>
      <c r="AO566" s="1423"/>
      <c r="AP566" s="1423"/>
      <c r="AQ566" s="1423"/>
      <c r="AR566" s="1423"/>
      <c r="AS566" s="1424"/>
      <c r="AT566" s="1142" t="str">
        <f t="shared" ref="AT566:AT573" si="2">IF(AND(NOT(C565=""),C566="",NOT(C567="")),"!","")</f>
        <v/>
      </c>
      <c r="AU566" s="1141"/>
      <c r="BB566" s="3"/>
      <c r="BC566" s="3"/>
      <c r="BD566" s="3"/>
      <c r="BE566" s="3"/>
      <c r="BF566" s="3"/>
      <c r="BG566" s="3"/>
      <c r="BH566" s="3" t="s">
        <v>763</v>
      </c>
      <c r="BI566" s="3" t="str">
        <f>N673</f>
        <v>No</v>
      </c>
    </row>
    <row r="567" spans="1:61" ht="12.95" customHeight="1">
      <c r="B567" s="52" t="s">
        <v>584</v>
      </c>
      <c r="C567" s="1444"/>
      <c r="D567" s="1444"/>
      <c r="E567" s="1444"/>
      <c r="F567" s="1444"/>
      <c r="G567" s="1444"/>
      <c r="H567" s="1444"/>
      <c r="I567" s="1444"/>
      <c r="J567" s="1444"/>
      <c r="K567" s="1444"/>
      <c r="L567" s="1444"/>
      <c r="M567" s="1443" t="s">
        <v>1184</v>
      </c>
      <c r="N567" s="1443"/>
      <c r="O567" s="1443"/>
      <c r="P567" s="1443"/>
      <c r="Q567" s="1440"/>
      <c r="R567" s="1441"/>
      <c r="S567" s="1442"/>
      <c r="T567" s="1440"/>
      <c r="U567" s="1441"/>
      <c r="V567" s="1442"/>
      <c r="W567" s="1445"/>
      <c r="X567" s="1446"/>
      <c r="Y567" s="1447"/>
      <c r="Z567" s="1392" t="s">
        <v>1184</v>
      </c>
      <c r="AA567" s="1392"/>
      <c r="AB567" s="1392"/>
      <c r="AC567" s="1392"/>
      <c r="AD567" s="1392"/>
      <c r="AE567" s="1431"/>
      <c r="AF567" s="1432"/>
      <c r="AG567" s="1432"/>
      <c r="AH567" s="1433"/>
      <c r="AI567" s="1479"/>
      <c r="AJ567" s="1480"/>
      <c r="AK567" s="1480"/>
      <c r="AL567" s="1481"/>
      <c r="AM567" s="1422"/>
      <c r="AN567" s="1423"/>
      <c r="AO567" s="1423"/>
      <c r="AP567" s="1423"/>
      <c r="AQ567" s="1423"/>
      <c r="AR567" s="1423"/>
      <c r="AS567" s="1424"/>
      <c r="AT567" s="1142" t="str">
        <f t="shared" si="2"/>
        <v/>
      </c>
      <c r="AU567" s="1141"/>
      <c r="BB567" s="3"/>
      <c r="BC567" s="3"/>
      <c r="BD567" s="3"/>
      <c r="BE567" s="3"/>
      <c r="BF567" s="3"/>
      <c r="BG567" s="3"/>
      <c r="BH567" s="3" t="s">
        <v>584</v>
      </c>
      <c r="BI567" s="3" t="str">
        <f>AG673</f>
        <v>No</v>
      </c>
    </row>
    <row r="568" spans="1:61" ht="12.95" customHeight="1">
      <c r="B568" s="52" t="s">
        <v>455</v>
      </c>
      <c r="C568" s="1444"/>
      <c r="D568" s="1444"/>
      <c r="E568" s="1444"/>
      <c r="F568" s="1444"/>
      <c r="G568" s="1444"/>
      <c r="H568" s="1444"/>
      <c r="I568" s="1444"/>
      <c r="J568" s="1444"/>
      <c r="K568" s="1444"/>
      <c r="L568" s="1444"/>
      <c r="M568" s="1443" t="s">
        <v>1184</v>
      </c>
      <c r="N568" s="1443"/>
      <c r="O568" s="1443"/>
      <c r="P568" s="1443"/>
      <c r="Q568" s="1440"/>
      <c r="R568" s="1441"/>
      <c r="S568" s="1442"/>
      <c r="T568" s="1440"/>
      <c r="U568" s="1441"/>
      <c r="V568" s="1442"/>
      <c r="W568" s="1445"/>
      <c r="X568" s="1446"/>
      <c r="Y568" s="1447"/>
      <c r="Z568" s="1392" t="s">
        <v>1184</v>
      </c>
      <c r="AA568" s="1392"/>
      <c r="AB568" s="1392"/>
      <c r="AC568" s="1392"/>
      <c r="AD568" s="1392"/>
      <c r="AE568" s="1431"/>
      <c r="AF568" s="1432"/>
      <c r="AG568" s="1432"/>
      <c r="AH568" s="1433"/>
      <c r="AI568" s="1479"/>
      <c r="AJ568" s="1480"/>
      <c r="AK568" s="1480"/>
      <c r="AL568" s="1481"/>
      <c r="AM568" s="1422"/>
      <c r="AN568" s="1423"/>
      <c r="AO568" s="1423"/>
      <c r="AP568" s="1423"/>
      <c r="AQ568" s="1423"/>
      <c r="AR568" s="1423"/>
      <c r="AS568" s="1424"/>
      <c r="AT568" s="1142" t="str">
        <f t="shared" si="2"/>
        <v/>
      </c>
      <c r="AU568" s="1141"/>
      <c r="BB568" s="3"/>
      <c r="BC568" s="3"/>
      <c r="BD568" s="3"/>
      <c r="BE568" s="3"/>
      <c r="BF568" s="3"/>
      <c r="BG568" s="3"/>
      <c r="BH568" s="3"/>
      <c r="BI568" s="3"/>
    </row>
    <row r="569" spans="1:61" ht="12.95" customHeight="1">
      <c r="B569" s="52" t="s">
        <v>456</v>
      </c>
      <c r="C569" s="1444"/>
      <c r="D569" s="1444"/>
      <c r="E569" s="1444"/>
      <c r="F569" s="1444"/>
      <c r="G569" s="1444"/>
      <c r="H569" s="1444"/>
      <c r="I569" s="1444"/>
      <c r="J569" s="1444"/>
      <c r="K569" s="1444"/>
      <c r="L569" s="1444"/>
      <c r="M569" s="1443" t="s">
        <v>1184</v>
      </c>
      <c r="N569" s="1443"/>
      <c r="O569" s="1443"/>
      <c r="P569" s="1443"/>
      <c r="Q569" s="1440"/>
      <c r="R569" s="1441"/>
      <c r="S569" s="1442"/>
      <c r="T569" s="1440"/>
      <c r="U569" s="1441"/>
      <c r="V569" s="1442"/>
      <c r="W569" s="1445"/>
      <c r="X569" s="1446"/>
      <c r="Y569" s="1447"/>
      <c r="Z569" s="1392" t="s">
        <v>1184</v>
      </c>
      <c r="AA569" s="1392"/>
      <c r="AB569" s="1392"/>
      <c r="AC569" s="1392"/>
      <c r="AD569" s="1392"/>
      <c r="AE569" s="1431"/>
      <c r="AF569" s="1432"/>
      <c r="AG569" s="1432"/>
      <c r="AH569" s="1433"/>
      <c r="AI569" s="1479"/>
      <c r="AJ569" s="1480"/>
      <c r="AK569" s="1480"/>
      <c r="AL569" s="1481"/>
      <c r="AM569" s="1422"/>
      <c r="AN569" s="1423"/>
      <c r="AO569" s="1423"/>
      <c r="AP569" s="1423"/>
      <c r="AQ569" s="1423"/>
      <c r="AR569" s="1423"/>
      <c r="AS569" s="1424"/>
      <c r="AT569" s="1142" t="str">
        <f t="shared" si="2"/>
        <v/>
      </c>
      <c r="AU569" s="1141"/>
      <c r="BB569" s="3"/>
      <c r="BC569" s="3"/>
      <c r="BD569" s="3"/>
      <c r="BE569" s="3"/>
      <c r="BF569" s="3"/>
      <c r="BG569" s="3"/>
      <c r="BH569" s="3"/>
      <c r="BI569" s="3"/>
    </row>
    <row r="570" spans="1:61" ht="12.95" customHeight="1">
      <c r="B570" s="52" t="s">
        <v>461</v>
      </c>
      <c r="C570" s="1444"/>
      <c r="D570" s="1444"/>
      <c r="E570" s="1444"/>
      <c r="F570" s="1444"/>
      <c r="G570" s="1444"/>
      <c r="H570" s="1444"/>
      <c r="I570" s="1444"/>
      <c r="J570" s="1444"/>
      <c r="K570" s="1444"/>
      <c r="L570" s="1444"/>
      <c r="M570" s="1443" t="s">
        <v>1184</v>
      </c>
      <c r="N570" s="1443"/>
      <c r="O570" s="1443"/>
      <c r="P570" s="1443"/>
      <c r="Q570" s="1440"/>
      <c r="R570" s="1441"/>
      <c r="S570" s="1442"/>
      <c r="T570" s="1440"/>
      <c r="U570" s="1441"/>
      <c r="V570" s="1442"/>
      <c r="W570" s="1445"/>
      <c r="X570" s="1446"/>
      <c r="Y570" s="1447"/>
      <c r="Z570" s="1392" t="s">
        <v>1184</v>
      </c>
      <c r="AA570" s="1392"/>
      <c r="AB570" s="1392"/>
      <c r="AC570" s="1392"/>
      <c r="AD570" s="1392"/>
      <c r="AE570" s="1431"/>
      <c r="AF570" s="1432"/>
      <c r="AG570" s="1432"/>
      <c r="AH570" s="1433"/>
      <c r="AI570" s="1479"/>
      <c r="AJ570" s="1480"/>
      <c r="AK570" s="1480"/>
      <c r="AL570" s="1481"/>
      <c r="AM570" s="1422"/>
      <c r="AN570" s="1423"/>
      <c r="AO570" s="1423"/>
      <c r="AP570" s="1423"/>
      <c r="AQ570" s="1423"/>
      <c r="AR570" s="1423"/>
      <c r="AS570" s="1424"/>
      <c r="AT570" s="1142" t="str">
        <f t="shared" si="2"/>
        <v/>
      </c>
      <c r="AU570" s="1141"/>
      <c r="BB570" s="3"/>
      <c r="BC570" s="3"/>
      <c r="BD570" s="3"/>
      <c r="BE570" s="3"/>
      <c r="BF570" s="3"/>
      <c r="BG570" s="3"/>
      <c r="BH570" s="3"/>
      <c r="BI570" s="3"/>
    </row>
    <row r="571" spans="1:61" ht="12.95" customHeight="1">
      <c r="B571" s="52" t="s">
        <v>646</v>
      </c>
      <c r="C571" s="1444"/>
      <c r="D571" s="1444"/>
      <c r="E571" s="1444"/>
      <c r="F571" s="1444"/>
      <c r="G571" s="1444"/>
      <c r="H571" s="1444"/>
      <c r="I571" s="1444"/>
      <c r="J571" s="1444"/>
      <c r="K571" s="1444"/>
      <c r="L571" s="1444"/>
      <c r="M571" s="1443" t="s">
        <v>1184</v>
      </c>
      <c r="N571" s="1443"/>
      <c r="O571" s="1443"/>
      <c r="P571" s="1443"/>
      <c r="Q571" s="1440"/>
      <c r="R571" s="1441"/>
      <c r="S571" s="1442"/>
      <c r="T571" s="1440"/>
      <c r="U571" s="1441"/>
      <c r="V571" s="1442"/>
      <c r="W571" s="1445"/>
      <c r="X571" s="1446"/>
      <c r="Y571" s="1447"/>
      <c r="Z571" s="1392" t="s">
        <v>1184</v>
      </c>
      <c r="AA571" s="1392"/>
      <c r="AB571" s="1392"/>
      <c r="AC571" s="1392"/>
      <c r="AD571" s="1392"/>
      <c r="AE571" s="1431"/>
      <c r="AF571" s="1432"/>
      <c r="AG571" s="1432"/>
      <c r="AH571" s="1433"/>
      <c r="AI571" s="1479"/>
      <c r="AJ571" s="1480"/>
      <c r="AK571" s="1480"/>
      <c r="AL571" s="1481"/>
      <c r="AM571" s="1422"/>
      <c r="AN571" s="1423"/>
      <c r="AO571" s="1423"/>
      <c r="AP571" s="1423"/>
      <c r="AQ571" s="1423"/>
      <c r="AR571" s="1423"/>
      <c r="AS571" s="1424"/>
      <c r="AT571" s="1142" t="str">
        <f t="shared" si="2"/>
        <v/>
      </c>
      <c r="BB571" s="3"/>
      <c r="BC571" s="3"/>
      <c r="BD571" s="3"/>
      <c r="BE571" s="3"/>
      <c r="BF571" s="3"/>
      <c r="BG571" s="3"/>
      <c r="BH571" s="3"/>
      <c r="BI571" s="3"/>
    </row>
    <row r="572" spans="1:61" ht="12.95" customHeight="1">
      <c r="B572" s="52" t="s">
        <v>362</v>
      </c>
      <c r="C572" s="1444"/>
      <c r="D572" s="1444"/>
      <c r="E572" s="1444"/>
      <c r="F572" s="1444"/>
      <c r="G572" s="1444"/>
      <c r="H572" s="1444"/>
      <c r="I572" s="1444"/>
      <c r="J572" s="1444"/>
      <c r="K572" s="1444"/>
      <c r="L572" s="1444"/>
      <c r="M572" s="1443" t="s">
        <v>1184</v>
      </c>
      <c r="N572" s="1443"/>
      <c r="O572" s="1443"/>
      <c r="P572" s="1443"/>
      <c r="Q572" s="1440"/>
      <c r="R572" s="1441"/>
      <c r="S572" s="1442"/>
      <c r="T572" s="1440"/>
      <c r="U572" s="1441"/>
      <c r="V572" s="1442"/>
      <c r="W572" s="1445"/>
      <c r="X572" s="1446"/>
      <c r="Y572" s="1447"/>
      <c r="Z572" s="1392" t="s">
        <v>1184</v>
      </c>
      <c r="AA572" s="1392"/>
      <c r="AB572" s="1392"/>
      <c r="AC572" s="1392"/>
      <c r="AD572" s="1392"/>
      <c r="AE572" s="1431"/>
      <c r="AF572" s="1432"/>
      <c r="AG572" s="1432"/>
      <c r="AH572" s="1433"/>
      <c r="AI572" s="1479"/>
      <c r="AJ572" s="1480"/>
      <c r="AK572" s="1480"/>
      <c r="AL572" s="1481"/>
      <c r="AM572" s="1422"/>
      <c r="AN572" s="1423"/>
      <c r="AO572" s="1423"/>
      <c r="AP572" s="1423"/>
      <c r="AQ572" s="1423"/>
      <c r="AR572" s="1423"/>
      <c r="AS572" s="1424"/>
      <c r="AT572" s="1142" t="str">
        <f t="shared" si="2"/>
        <v/>
      </c>
      <c r="BB572" s="3"/>
      <c r="BC572" s="3"/>
      <c r="BD572" s="3"/>
      <c r="BE572" s="3"/>
      <c r="BF572" s="3"/>
      <c r="BG572" s="3"/>
      <c r="BH572" s="3"/>
      <c r="BI572" s="3"/>
    </row>
    <row r="573" spans="1:61" ht="12.95" customHeight="1">
      <c r="B573" s="52" t="s">
        <v>363</v>
      </c>
      <c r="C573" s="1444"/>
      <c r="D573" s="1444"/>
      <c r="E573" s="1444"/>
      <c r="F573" s="1444"/>
      <c r="G573" s="1444"/>
      <c r="H573" s="1444"/>
      <c r="I573" s="1444"/>
      <c r="J573" s="1444"/>
      <c r="K573" s="1444"/>
      <c r="L573" s="1444"/>
      <c r="M573" s="1443" t="s">
        <v>1184</v>
      </c>
      <c r="N573" s="1443"/>
      <c r="O573" s="1443"/>
      <c r="P573" s="1443"/>
      <c r="Q573" s="1440"/>
      <c r="R573" s="1441"/>
      <c r="S573" s="1442"/>
      <c r="T573" s="1440"/>
      <c r="U573" s="1441"/>
      <c r="V573" s="1442"/>
      <c r="W573" s="1445"/>
      <c r="X573" s="1446"/>
      <c r="Y573" s="1447"/>
      <c r="Z573" s="1392" t="s">
        <v>1184</v>
      </c>
      <c r="AA573" s="1392"/>
      <c r="AB573" s="1392"/>
      <c r="AC573" s="1392"/>
      <c r="AD573" s="1392"/>
      <c r="AE573" s="1431"/>
      <c r="AF573" s="1432"/>
      <c r="AG573" s="1432"/>
      <c r="AH573" s="1433"/>
      <c r="AI573" s="1479"/>
      <c r="AJ573" s="1480"/>
      <c r="AK573" s="1480"/>
      <c r="AL573" s="1481"/>
      <c r="AM573" s="1422"/>
      <c r="AN573" s="1423"/>
      <c r="AO573" s="1423"/>
      <c r="AP573" s="1423"/>
      <c r="AQ573" s="1423"/>
      <c r="AR573" s="1423"/>
      <c r="AS573" s="1424"/>
      <c r="AT573" s="1142" t="str">
        <f t="shared" si="2"/>
        <v/>
      </c>
      <c r="BB573" s="3"/>
      <c r="BC573" s="3"/>
      <c r="BD573" s="3"/>
      <c r="BE573" s="3"/>
      <c r="BF573" s="3"/>
      <c r="BG573" s="3"/>
      <c r="BH573" s="3"/>
      <c r="BI573" s="3"/>
    </row>
    <row r="574" spans="1:61" ht="12.95" customHeight="1">
      <c r="B574" s="1427" t="s">
        <v>127</v>
      </c>
      <c r="C574" s="1428"/>
      <c r="D574" s="1428"/>
      <c r="E574" s="1428"/>
      <c r="F574" s="1428"/>
      <c r="G574" s="1428"/>
      <c r="H574" s="1428"/>
      <c r="I574" s="1428"/>
      <c r="J574" s="1428"/>
      <c r="K574" s="1428"/>
      <c r="L574" s="1428"/>
      <c r="M574" s="1428"/>
      <c r="N574" s="1428"/>
      <c r="O574" s="1428"/>
      <c r="P574" s="1428"/>
      <c r="Q574" s="1428"/>
      <c r="R574" s="1428"/>
      <c r="S574" s="1428"/>
      <c r="T574" s="1428"/>
      <c r="U574" s="1429"/>
      <c r="V574" s="1428"/>
      <c r="W574" s="1428"/>
      <c r="X574" s="1428"/>
      <c r="Y574" s="1428"/>
      <c r="Z574" s="1428"/>
      <c r="AA574" s="1428"/>
      <c r="AB574" s="1428"/>
      <c r="AC574" s="1428"/>
      <c r="AD574" s="1428"/>
      <c r="AE574" s="1428"/>
      <c r="AF574" s="1428"/>
      <c r="AG574" s="1428"/>
      <c r="AH574" s="1428"/>
      <c r="AI574" s="1428"/>
      <c r="AJ574" s="1428"/>
      <c r="AK574" s="1428"/>
      <c r="AL574" s="1430"/>
      <c r="AM574" s="1485">
        <f>SUM(AM562:AS573)</f>
        <v>71303707</v>
      </c>
      <c r="AN574" s="1486"/>
      <c r="AO574" s="1486"/>
      <c r="AP574" s="1486"/>
      <c r="AQ574" s="1486"/>
      <c r="AR574" s="1486"/>
      <c r="AS574" s="1487"/>
      <c r="BB574" s="3"/>
      <c r="BC574" s="3"/>
      <c r="BD574" s="3"/>
      <c r="BE574" s="3"/>
      <c r="BF574" s="3"/>
      <c r="BG574" s="3"/>
      <c r="BH574" s="3" t="s">
        <v>455</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2.95" customHeight="1">
      <c r="A576" s="55" t="s">
        <v>112</v>
      </c>
      <c r="B576" t="s">
        <v>463</v>
      </c>
      <c r="G576" s="1370" t="str">
        <f>C562</f>
        <v>Citibank</v>
      </c>
      <c r="H576" s="1370"/>
      <c r="I576" s="1370"/>
      <c r="J576" s="1370"/>
      <c r="K576" s="1370"/>
      <c r="L576" s="1370"/>
      <c r="M576" s="1370"/>
      <c r="N576" s="1370"/>
      <c r="O576" s="1370"/>
      <c r="P576" s="1370"/>
      <c r="Q576" s="1370"/>
      <c r="R576" s="1370"/>
      <c r="S576" s="8"/>
      <c r="T576" s="55" t="s">
        <v>113</v>
      </c>
      <c r="U576" t="s">
        <v>463</v>
      </c>
      <c r="Z576" s="1370" t="str">
        <f>C563</f>
        <v>Citibank</v>
      </c>
      <c r="AA576" s="1370"/>
      <c r="AB576" s="1370"/>
      <c r="AC576" s="1370"/>
      <c r="AD576" s="1370"/>
      <c r="AE576" s="1370"/>
      <c r="AF576" s="1370"/>
      <c r="AG576" s="1370"/>
      <c r="AH576" s="1370"/>
      <c r="AI576" s="1370"/>
      <c r="AJ576" s="1370"/>
      <c r="AK576" s="1370"/>
      <c r="BB576" s="3"/>
      <c r="BC576" s="3"/>
      <c r="BD576" s="3"/>
      <c r="BE576" s="3"/>
      <c r="BF576" s="3"/>
      <c r="BG576" s="3"/>
      <c r="BH576" s="3"/>
      <c r="BI576" s="3"/>
    </row>
    <row r="577" spans="1:61" ht="12.95" customHeight="1">
      <c r="A577" s="22"/>
      <c r="B577" t="s">
        <v>85</v>
      </c>
      <c r="G577" s="1426" t="s">
        <v>2732</v>
      </c>
      <c r="H577" s="1426"/>
      <c r="I577" s="1426"/>
      <c r="J577" s="1426"/>
      <c r="K577" s="1426"/>
      <c r="L577" s="1426"/>
      <c r="M577" s="1426"/>
      <c r="N577" s="1426"/>
      <c r="O577" s="1426"/>
      <c r="P577" s="1426"/>
      <c r="Q577" s="1426"/>
      <c r="R577" s="1426"/>
      <c r="S577" s="8"/>
      <c r="T577" s="22"/>
      <c r="U577" t="s">
        <v>85</v>
      </c>
      <c r="Z577" s="1426" t="s">
        <v>2732</v>
      </c>
      <c r="AA577" s="1426"/>
      <c r="AB577" s="1426"/>
      <c r="AC577" s="1426"/>
      <c r="AD577" s="1426"/>
      <c r="AE577" s="1426"/>
      <c r="AF577" s="1426"/>
      <c r="AG577" s="1426"/>
      <c r="AH577" s="1426"/>
      <c r="AI577" s="1426"/>
      <c r="AJ577" s="1426"/>
      <c r="AK577" s="1426"/>
      <c r="BB577" s="3"/>
      <c r="BC577" s="3"/>
      <c r="BD577" s="3"/>
      <c r="BE577" s="3"/>
      <c r="BF577" s="3"/>
      <c r="BG577" s="3"/>
      <c r="BH577" s="3"/>
      <c r="BI577" s="3"/>
    </row>
    <row r="578" spans="1:61" ht="12.95" customHeight="1">
      <c r="A578" s="22"/>
      <c r="B578" t="s">
        <v>580</v>
      </c>
      <c r="G578" s="1426" t="s">
        <v>2733</v>
      </c>
      <c r="H578" s="1426"/>
      <c r="I578" s="1426"/>
      <c r="J578" s="1426"/>
      <c r="K578" s="1426"/>
      <c r="L578" s="1426"/>
      <c r="M578" s="1426"/>
      <c r="N578" s="1426"/>
      <c r="O578" s="1426"/>
      <c r="P578" s="1426"/>
      <c r="Q578" s="1426"/>
      <c r="R578" s="1426"/>
      <c r="T578" s="22"/>
      <c r="U578" t="s">
        <v>580</v>
      </c>
      <c r="Z578" s="1368" t="s">
        <v>2733</v>
      </c>
      <c r="AA578" s="1368"/>
      <c r="AB578" s="1368"/>
      <c r="AC578" s="1368"/>
      <c r="AD578" s="1368"/>
      <c r="AE578" s="1368"/>
      <c r="AF578" s="1368"/>
      <c r="AG578" s="1368"/>
      <c r="AH578" s="1368"/>
      <c r="AI578" s="1368"/>
      <c r="AJ578" s="1368"/>
      <c r="AK578" s="1368"/>
      <c r="BB578" s="3"/>
      <c r="BC578" s="3"/>
      <c r="BD578" s="3"/>
      <c r="BE578" s="3"/>
      <c r="BF578" s="3"/>
      <c r="BG578" s="3"/>
      <c r="BH578" s="3"/>
      <c r="BI578" s="3"/>
    </row>
    <row r="579" spans="1:61" ht="12.95" customHeight="1">
      <c r="A579" s="22"/>
      <c r="B579" t="s">
        <v>17</v>
      </c>
      <c r="G579" s="1425" t="s">
        <v>2757</v>
      </c>
      <c r="H579" s="1426"/>
      <c r="I579" s="1426"/>
      <c r="J579" s="1426"/>
      <c r="K579" s="1426"/>
      <c r="L579" s="1426"/>
      <c r="M579" s="1426"/>
      <c r="N579" s="1426"/>
      <c r="O579" s="1426"/>
      <c r="P579" s="1426"/>
      <c r="Q579" s="1426"/>
      <c r="R579" s="1426"/>
      <c r="S579" s="8"/>
      <c r="T579" s="22"/>
      <c r="U579" t="s">
        <v>17</v>
      </c>
      <c r="Z579" s="1524" t="s">
        <v>2757</v>
      </c>
      <c r="AA579" s="1368"/>
      <c r="AB579" s="1368"/>
      <c r="AC579" s="1368"/>
      <c r="AD579" s="1368"/>
      <c r="AE579" s="1368"/>
      <c r="AF579" s="1368"/>
      <c r="AG579" s="1368"/>
      <c r="AH579" s="1368"/>
      <c r="AI579" s="1368"/>
      <c r="AJ579" s="1368"/>
      <c r="AK579" s="1368"/>
      <c r="BB579" s="3"/>
      <c r="BC579" s="3"/>
      <c r="BD579" s="3"/>
      <c r="BE579" s="3"/>
      <c r="BF579" s="3"/>
      <c r="BG579" s="3"/>
      <c r="BH579" s="3"/>
      <c r="BI579" s="3"/>
    </row>
    <row r="580" spans="1:61" ht="12.95" customHeight="1">
      <c r="A580" s="22"/>
      <c r="B580" t="s">
        <v>316</v>
      </c>
      <c r="G580" s="1384" t="s">
        <v>2735</v>
      </c>
      <c r="H580" s="1385"/>
      <c r="I580" s="1385"/>
      <c r="J580" s="1385"/>
      <c r="K580" s="1385"/>
      <c r="L580" s="1385"/>
      <c r="O580" s="33" t="s">
        <v>206</v>
      </c>
      <c r="P580" s="1369"/>
      <c r="Q580" s="1369"/>
      <c r="R580" s="1369"/>
      <c r="S580" s="10"/>
      <c r="T580" s="22"/>
      <c r="U580" t="s">
        <v>316</v>
      </c>
      <c r="Z580" s="1384" t="s">
        <v>2735</v>
      </c>
      <c r="AA580" s="1385"/>
      <c r="AB580" s="1385"/>
      <c r="AC580" s="1385"/>
      <c r="AD580" s="1385"/>
      <c r="AE580" s="1385"/>
      <c r="AH580" s="33" t="s">
        <v>206</v>
      </c>
      <c r="AI580" s="1369"/>
      <c r="AJ580" s="1369"/>
      <c r="AK580" s="1369"/>
      <c r="BB580" s="3"/>
      <c r="BC580" s="3"/>
      <c r="BD580" s="3"/>
      <c r="BE580" s="3"/>
      <c r="BF580" s="3"/>
      <c r="BG580" s="3"/>
      <c r="BH580" s="3"/>
      <c r="BI580" s="3"/>
    </row>
    <row r="581" spans="1:61" ht="12.95" customHeight="1">
      <c r="A581" s="22"/>
      <c r="B581" t="s">
        <v>18</v>
      </c>
      <c r="H581" s="1425" t="s">
        <v>2676</v>
      </c>
      <c r="I581" s="1426"/>
      <c r="J581" s="1426"/>
      <c r="K581" s="1426"/>
      <c r="L581" s="1426"/>
      <c r="M581" s="1426"/>
      <c r="N581" s="1426"/>
      <c r="O581" s="1426"/>
      <c r="P581" s="1426"/>
      <c r="Q581" s="1426"/>
      <c r="R581" s="1426"/>
      <c r="S581" s="8"/>
      <c r="T581" s="22"/>
      <c r="U581" t="s">
        <v>18</v>
      </c>
      <c r="AA581" s="1425" t="s">
        <v>2677</v>
      </c>
      <c r="AB581" s="1426"/>
      <c r="AC581" s="1426"/>
      <c r="AD581" s="1426"/>
      <c r="AE581" s="1426"/>
      <c r="AF581" s="1426"/>
      <c r="AG581" s="1426"/>
      <c r="AH581" s="1426"/>
      <c r="AI581" s="1426"/>
      <c r="AJ581" s="1426"/>
      <c r="AK581" s="1426"/>
      <c r="BB581" s="3"/>
      <c r="BC581" s="3"/>
      <c r="BD581" s="3"/>
      <c r="BE581" s="3"/>
      <c r="BF581" s="3"/>
      <c r="BG581" s="3"/>
      <c r="BH581" s="3"/>
      <c r="BI581" s="3"/>
    </row>
    <row r="582" spans="1:61" ht="12.95" customHeight="1">
      <c r="A582" s="22"/>
      <c r="B582" s="320" t="s">
        <v>1185</v>
      </c>
      <c r="H582" s="8"/>
      <c r="I582" s="8"/>
      <c r="J582" s="8"/>
      <c r="K582" s="8"/>
      <c r="L582" s="8"/>
      <c r="M582" s="1582" t="s">
        <v>2699</v>
      </c>
      <c r="N582" s="1582"/>
      <c r="O582" s="1582"/>
      <c r="P582" s="1582"/>
      <c r="Q582" s="1582"/>
      <c r="R582" s="1582"/>
      <c r="S582" s="8"/>
      <c r="T582" s="22"/>
      <c r="U582" s="320" t="s">
        <v>1185</v>
      </c>
      <c r="AA582" s="8"/>
      <c r="AB582" s="8"/>
      <c r="AC582" s="8"/>
      <c r="AD582" s="8"/>
      <c r="AE582" s="8"/>
      <c r="AF582" s="1582" t="s">
        <v>2699</v>
      </c>
      <c r="AG582" s="1582"/>
      <c r="AH582" s="1582"/>
      <c r="AI582" s="1582"/>
      <c r="AJ582" s="1582"/>
      <c r="AK582" s="1582"/>
      <c r="BB582" s="3"/>
      <c r="BC582" s="3"/>
      <c r="BD582" s="3"/>
      <c r="BE582" s="3"/>
      <c r="BF582" s="3"/>
      <c r="BG582" s="3"/>
      <c r="BH582" s="3"/>
      <c r="BI582" s="3"/>
    </row>
    <row r="583" spans="1:61" ht="12.95" customHeight="1">
      <c r="A583" s="22"/>
      <c r="B583" t="s">
        <v>20</v>
      </c>
      <c r="N583" s="1380" t="s">
        <v>545</v>
      </c>
      <c r="O583" s="1380"/>
      <c r="T583" s="22"/>
      <c r="U583" t="s">
        <v>20</v>
      </c>
      <c r="AG583" s="1380" t="s">
        <v>545</v>
      </c>
      <c r="AH583" s="1380"/>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463</v>
      </c>
      <c r="G585" s="1370" t="str">
        <f>C564</f>
        <v>Citibank</v>
      </c>
      <c r="H585" s="1370"/>
      <c r="I585" s="1370"/>
      <c r="J585" s="1370"/>
      <c r="K585" s="1370"/>
      <c r="L585" s="1370"/>
      <c r="M585" s="1370"/>
      <c r="N585" s="1370"/>
      <c r="O585" s="1370"/>
      <c r="P585" s="1370"/>
      <c r="Q585" s="1370"/>
      <c r="R585" s="1370"/>
      <c r="T585" s="55" t="s">
        <v>581</v>
      </c>
      <c r="U585" t="s">
        <v>463</v>
      </c>
      <c r="Z585" s="1370" t="str">
        <f>C565</f>
        <v xml:space="preserve">R4 Capital </v>
      </c>
      <c r="AA585" s="1370"/>
      <c r="AB585" s="1370"/>
      <c r="AC585" s="1370"/>
      <c r="AD585" s="1370"/>
      <c r="AE585" s="1370"/>
      <c r="AF585" s="1370"/>
      <c r="AG585" s="1370"/>
      <c r="AH585" s="1370"/>
      <c r="AI585" s="1370"/>
      <c r="AJ585" s="1370"/>
      <c r="AK585" s="1370"/>
      <c r="BB585" s="3"/>
      <c r="BC585" s="3"/>
    </row>
    <row r="586" spans="1:61" ht="12.95" customHeight="1">
      <c r="A586" s="22"/>
      <c r="B586" t="s">
        <v>85</v>
      </c>
      <c r="G586" s="1426" t="s">
        <v>2732</v>
      </c>
      <c r="H586" s="1426"/>
      <c r="I586" s="1426"/>
      <c r="J586" s="1426"/>
      <c r="K586" s="1426"/>
      <c r="L586" s="1426"/>
      <c r="M586" s="1426"/>
      <c r="N586" s="1426"/>
      <c r="O586" s="1426"/>
      <c r="P586" s="1426"/>
      <c r="Q586" s="1426"/>
      <c r="R586" s="1426"/>
      <c r="T586" s="22"/>
      <c r="U586" t="s">
        <v>85</v>
      </c>
      <c r="Z586" s="1425" t="s">
        <v>2756</v>
      </c>
      <c r="AA586" s="1426"/>
      <c r="AB586" s="1426"/>
      <c r="AC586" s="1426"/>
      <c r="AD586" s="1426"/>
      <c r="AE586" s="1426"/>
      <c r="AF586" s="1426"/>
      <c r="AG586" s="1426"/>
      <c r="AH586" s="1426"/>
      <c r="AI586" s="1426"/>
      <c r="AJ586" s="1426"/>
      <c r="AK586" s="1426"/>
      <c r="BB586" s="3"/>
      <c r="BC586" s="3"/>
    </row>
    <row r="587" spans="1:61" ht="12.95" customHeight="1">
      <c r="A587" s="22"/>
      <c r="B587" t="s">
        <v>580</v>
      </c>
      <c r="G587" s="1368" t="s">
        <v>2733</v>
      </c>
      <c r="H587" s="1368"/>
      <c r="I587" s="1368"/>
      <c r="J587" s="1368"/>
      <c r="K587" s="1368"/>
      <c r="L587" s="1368"/>
      <c r="M587" s="1368"/>
      <c r="N587" s="1368"/>
      <c r="O587" s="1368"/>
      <c r="P587" s="1368"/>
      <c r="Q587" s="1368"/>
      <c r="R587" s="1368"/>
      <c r="T587" s="22"/>
      <c r="U587" t="s">
        <v>580</v>
      </c>
      <c r="Z587" s="1524" t="s">
        <v>2750</v>
      </c>
      <c r="AA587" s="1368"/>
      <c r="AB587" s="1368"/>
      <c r="AC587" s="1368"/>
      <c r="AD587" s="1368"/>
      <c r="AE587" s="1368"/>
      <c r="AF587" s="1368"/>
      <c r="AG587" s="1368"/>
      <c r="AH587" s="1368"/>
      <c r="AI587" s="1368"/>
      <c r="AJ587" s="1368"/>
      <c r="AK587" s="1368"/>
      <c r="BB587" s="3"/>
      <c r="BC587" s="3"/>
    </row>
    <row r="588" spans="1:61" ht="12.95" customHeight="1">
      <c r="A588" s="22"/>
      <c r="B588" t="s">
        <v>17</v>
      </c>
      <c r="G588" s="1524" t="s">
        <v>2757</v>
      </c>
      <c r="H588" s="1368"/>
      <c r="I588" s="1368"/>
      <c r="J588" s="1368"/>
      <c r="K588" s="1368"/>
      <c r="L588" s="1368"/>
      <c r="M588" s="1368"/>
      <c r="N588" s="1368"/>
      <c r="O588" s="1368"/>
      <c r="P588" s="1368"/>
      <c r="Q588" s="1368"/>
      <c r="R588" s="1368"/>
      <c r="T588" s="22"/>
      <c r="U588" t="s">
        <v>17</v>
      </c>
      <c r="Z588" s="1524" t="s">
        <v>2751</v>
      </c>
      <c r="AA588" s="1368"/>
      <c r="AB588" s="1368"/>
      <c r="AC588" s="1368"/>
      <c r="AD588" s="1368"/>
      <c r="AE588" s="1368"/>
      <c r="AF588" s="1368"/>
      <c r="AG588" s="1368"/>
      <c r="AH588" s="1368"/>
      <c r="AI588" s="1368"/>
      <c r="AJ588" s="1368"/>
      <c r="AK588" s="1368"/>
      <c r="BB588" s="3"/>
      <c r="BC588" s="3"/>
    </row>
    <row r="589" spans="1:61" ht="12.95" customHeight="1">
      <c r="A589" s="22"/>
      <c r="B589" t="s">
        <v>316</v>
      </c>
      <c r="G589" s="1385" t="s">
        <v>2735</v>
      </c>
      <c r="H589" s="1385"/>
      <c r="I589" s="1385"/>
      <c r="J589" s="1385"/>
      <c r="K589" s="1385"/>
      <c r="L589" s="1385"/>
      <c r="O589" s="33" t="s">
        <v>206</v>
      </c>
      <c r="P589" s="1524" t="s">
        <v>2699</v>
      </c>
      <c r="Q589" s="1369"/>
      <c r="R589" s="1369"/>
      <c r="T589" s="22"/>
      <c r="U589" t="s">
        <v>316</v>
      </c>
      <c r="Z589" s="1384" t="s">
        <v>2752</v>
      </c>
      <c r="AA589" s="1385"/>
      <c r="AB589" s="1385"/>
      <c r="AC589" s="1385"/>
      <c r="AD589" s="1385"/>
      <c r="AE589" s="1385"/>
      <c r="AH589" s="33" t="s">
        <v>206</v>
      </c>
      <c r="AI589" s="1524" t="s">
        <v>2699</v>
      </c>
      <c r="AJ589" s="1369"/>
      <c r="AK589" s="1369"/>
      <c r="BB589" s="3"/>
      <c r="BC589" s="3"/>
    </row>
    <row r="590" spans="1:61" ht="12.95" customHeight="1">
      <c r="A590" s="22"/>
      <c r="B590" t="s">
        <v>18</v>
      </c>
      <c r="H590" s="1425" t="s">
        <v>2678</v>
      </c>
      <c r="I590" s="1426"/>
      <c r="J590" s="1426"/>
      <c r="K590" s="1426"/>
      <c r="L590" s="1426"/>
      <c r="M590" s="1426"/>
      <c r="N590" s="1426"/>
      <c r="O590" s="1426"/>
      <c r="P590" s="1426"/>
      <c r="Q590" s="1426"/>
      <c r="R590" s="1426"/>
      <c r="T590" s="22"/>
      <c r="U590" t="s">
        <v>18</v>
      </c>
      <c r="AA590" s="1425" t="s">
        <v>2679</v>
      </c>
      <c r="AB590" s="1426"/>
      <c r="AC590" s="1426"/>
      <c r="AD590" s="1426"/>
      <c r="AE590" s="1426"/>
      <c r="AF590" s="1426"/>
      <c r="AG590" s="1426"/>
      <c r="AH590" s="1426"/>
      <c r="AI590" s="1426"/>
      <c r="AJ590" s="1426"/>
      <c r="AK590" s="1426"/>
      <c r="BB590" s="3"/>
      <c r="BC590" s="3"/>
    </row>
    <row r="591" spans="1:61" ht="12.95" customHeight="1">
      <c r="A591" s="22"/>
      <c r="B591" t="s">
        <v>20</v>
      </c>
      <c r="N591" s="1380" t="s">
        <v>545</v>
      </c>
      <c r="O591" s="1380"/>
      <c r="T591" s="22"/>
      <c r="U591" t="s">
        <v>20</v>
      </c>
      <c r="AG591" s="1380" t="s">
        <v>545</v>
      </c>
      <c r="AH591" s="1380"/>
      <c r="BB591" s="3"/>
      <c r="BC591" s="3"/>
    </row>
    <row r="592" spans="1:61" ht="12.95" customHeight="1">
      <c r="A592" s="22"/>
      <c r="T592" s="22"/>
      <c r="BB592" s="3"/>
      <c r="BC592" s="3"/>
    </row>
    <row r="593" spans="1:55" ht="12.95" customHeight="1">
      <c r="A593" s="55" t="s">
        <v>763</v>
      </c>
      <c r="B593" t="s">
        <v>463</v>
      </c>
      <c r="G593" s="1370" t="str">
        <f>C566</f>
        <v>1200 Main GP, LLC</v>
      </c>
      <c r="H593" s="1370"/>
      <c r="I593" s="1370"/>
      <c r="J593" s="1370"/>
      <c r="K593" s="1370"/>
      <c r="L593" s="1370"/>
      <c r="M593" s="1370"/>
      <c r="N593" s="1370"/>
      <c r="O593" s="1370"/>
      <c r="P593" s="1370"/>
      <c r="Q593" s="1370"/>
      <c r="R593" s="1370"/>
      <c r="T593" s="55" t="s">
        <v>584</v>
      </c>
      <c r="U593" t="s">
        <v>463</v>
      </c>
      <c r="Z593" s="1370">
        <f>C567</f>
        <v>0</v>
      </c>
      <c r="AA593" s="1370"/>
      <c r="AB593" s="1370"/>
      <c r="AC593" s="1370"/>
      <c r="AD593" s="1370"/>
      <c r="AE593" s="1370"/>
      <c r="AF593" s="1370"/>
      <c r="AG593" s="1370"/>
      <c r="AH593" s="1370"/>
      <c r="AI593" s="1370"/>
      <c r="AJ593" s="1370"/>
      <c r="AK593" s="1370"/>
      <c r="BB593" s="3"/>
      <c r="BC593" s="3"/>
    </row>
    <row r="594" spans="1:55" ht="12.95" customHeight="1">
      <c r="A594" s="22"/>
      <c r="B594" t="s">
        <v>85</v>
      </c>
      <c r="G594" s="1426" t="s">
        <v>2736</v>
      </c>
      <c r="H594" s="1426"/>
      <c r="I594" s="1426"/>
      <c r="J594" s="1426"/>
      <c r="K594" s="1426"/>
      <c r="L594" s="1426"/>
      <c r="M594" s="1426"/>
      <c r="N594" s="1426"/>
      <c r="O594" s="1426"/>
      <c r="P594" s="1426"/>
      <c r="Q594" s="1426"/>
      <c r="R594" s="1426"/>
      <c r="T594" s="22"/>
      <c r="U594" t="s">
        <v>85</v>
      </c>
      <c r="Z594" s="1426"/>
      <c r="AA594" s="1426"/>
      <c r="AB594" s="1426"/>
      <c r="AC594" s="1426"/>
      <c r="AD594" s="1426"/>
      <c r="AE594" s="1426"/>
      <c r="AF594" s="1426"/>
      <c r="AG594" s="1426"/>
      <c r="AH594" s="1426"/>
      <c r="AI594" s="1426"/>
      <c r="AJ594" s="1426"/>
      <c r="AK594" s="1426"/>
      <c r="BB594" s="3"/>
      <c r="BC594" s="3"/>
    </row>
    <row r="595" spans="1:55" ht="12.95" customHeight="1">
      <c r="A595" s="22"/>
      <c r="B595" t="s">
        <v>580</v>
      </c>
      <c r="G595" s="1426" t="s">
        <v>2737</v>
      </c>
      <c r="H595" s="1426"/>
      <c r="I595" s="1426"/>
      <c r="J595" s="1426"/>
      <c r="K595" s="1426"/>
      <c r="L595" s="1426"/>
      <c r="M595" s="1426"/>
      <c r="N595" s="1426"/>
      <c r="O595" s="1426"/>
      <c r="P595" s="1426"/>
      <c r="Q595" s="1426"/>
      <c r="R595" s="1426"/>
      <c r="T595" s="22"/>
      <c r="U595" t="s">
        <v>580</v>
      </c>
      <c r="Z595" s="1368"/>
      <c r="AA595" s="1368"/>
      <c r="AB595" s="1368"/>
      <c r="AC595" s="1368"/>
      <c r="AD595" s="1368"/>
      <c r="AE595" s="1368"/>
      <c r="AF595" s="1368"/>
      <c r="AG595" s="1368"/>
      <c r="AH595" s="1368"/>
      <c r="AI595" s="1368"/>
      <c r="AJ595" s="1368"/>
      <c r="AK595" s="1368"/>
      <c r="BB595" s="3"/>
      <c r="BC595" s="3"/>
    </row>
    <row r="596" spans="1:55" ht="12.95" customHeight="1">
      <c r="A596" s="22"/>
      <c r="B596" t="s">
        <v>17</v>
      </c>
      <c r="G596" s="1426" t="s">
        <v>2647</v>
      </c>
      <c r="H596" s="1426"/>
      <c r="I596" s="1426"/>
      <c r="J596" s="1426"/>
      <c r="K596" s="1426"/>
      <c r="L596" s="1426"/>
      <c r="M596" s="1426"/>
      <c r="N596" s="1426"/>
      <c r="O596" s="1426"/>
      <c r="P596" s="1426"/>
      <c r="Q596" s="1426"/>
      <c r="R596" s="1426"/>
      <c r="T596" s="22"/>
      <c r="U596" t="s">
        <v>17</v>
      </c>
      <c r="Z596" s="1368"/>
      <c r="AA596" s="1368"/>
      <c r="AB596" s="1368"/>
      <c r="AC596" s="1368"/>
      <c r="AD596" s="1368"/>
      <c r="AE596" s="1368"/>
      <c r="AF596" s="1368"/>
      <c r="AG596" s="1368"/>
      <c r="AH596" s="1368"/>
      <c r="AI596" s="1368"/>
      <c r="AJ596" s="1368"/>
      <c r="AK596" s="1368"/>
    </row>
    <row r="597" spans="1:55" ht="12.95" customHeight="1">
      <c r="A597" s="22"/>
      <c r="B597" t="s">
        <v>316</v>
      </c>
      <c r="G597" s="1384" t="s">
        <v>2698</v>
      </c>
      <c r="H597" s="1385"/>
      <c r="I597" s="1385"/>
      <c r="J597" s="1385"/>
      <c r="K597" s="1385"/>
      <c r="L597" s="1385"/>
      <c r="O597" s="33" t="s">
        <v>206</v>
      </c>
      <c r="P597" s="1369"/>
      <c r="Q597" s="1369"/>
      <c r="R597" s="1369"/>
      <c r="T597" s="22"/>
      <c r="U597" t="s">
        <v>316</v>
      </c>
      <c r="Z597" s="1385"/>
      <c r="AA597" s="1385"/>
      <c r="AB597" s="1385"/>
      <c r="AC597" s="1385"/>
      <c r="AD597" s="1385"/>
      <c r="AE597" s="1385"/>
      <c r="AH597" s="33" t="s">
        <v>206</v>
      </c>
      <c r="AI597" s="1369"/>
      <c r="AJ597" s="1369"/>
      <c r="AK597" s="1369"/>
      <c r="AZ597" s="3"/>
      <c r="BA597" s="3"/>
      <c r="BB597" s="3"/>
      <c r="BC597" s="3"/>
    </row>
    <row r="598" spans="1:55" ht="12.95" customHeight="1">
      <c r="A598" s="22"/>
      <c r="B598" t="s">
        <v>18</v>
      </c>
      <c r="H598" s="1425" t="s">
        <v>2670</v>
      </c>
      <c r="I598" s="1426"/>
      <c r="J598" s="1426"/>
      <c r="K598" s="1426"/>
      <c r="L598" s="1426"/>
      <c r="M598" s="1426"/>
      <c r="N598" s="1426"/>
      <c r="O598" s="1426"/>
      <c r="P598" s="1426"/>
      <c r="Q598" s="1426"/>
      <c r="R598" s="1426"/>
      <c r="T598" s="22"/>
      <c r="U598" t="s">
        <v>18</v>
      </c>
      <c r="AA598" s="1426"/>
      <c r="AB598" s="1426"/>
      <c r="AC598" s="1426"/>
      <c r="AD598" s="1426"/>
      <c r="AE598" s="1426"/>
      <c r="AF598" s="1426"/>
      <c r="AG598" s="1426"/>
      <c r="AH598" s="1426"/>
      <c r="AI598" s="1426"/>
      <c r="AJ598" s="1426"/>
      <c r="AK598" s="1426"/>
      <c r="AZ598" s="3"/>
      <c r="BA598" s="3"/>
      <c r="BB598" s="3"/>
      <c r="BC598" s="3"/>
    </row>
    <row r="599" spans="1:55" ht="12.95" customHeight="1">
      <c r="A599" s="22"/>
      <c r="B599" t="s">
        <v>20</v>
      </c>
      <c r="N599" s="1380" t="s">
        <v>545</v>
      </c>
      <c r="O599" s="1380"/>
      <c r="T599" s="22"/>
      <c r="U599" t="s">
        <v>20</v>
      </c>
      <c r="AG599" s="1380" t="s">
        <v>669</v>
      </c>
      <c r="AH599" s="1380"/>
      <c r="AZ599" s="3"/>
      <c r="BA599" s="3"/>
      <c r="BB599" s="3"/>
      <c r="BC599" s="3"/>
    </row>
    <row r="600" spans="1:55" ht="12.95" customHeight="1">
      <c r="A600" s="22"/>
      <c r="T600" s="22"/>
      <c r="AZ600" s="3"/>
      <c r="BA600" s="3"/>
      <c r="BB600" s="3"/>
      <c r="BC600" s="3"/>
    </row>
    <row r="601" spans="1:55" ht="12.95" customHeight="1">
      <c r="A601" s="55" t="s">
        <v>455</v>
      </c>
      <c r="B601" t="s">
        <v>463</v>
      </c>
      <c r="G601" s="1370">
        <f>C568</f>
        <v>0</v>
      </c>
      <c r="H601" s="1370"/>
      <c r="I601" s="1370"/>
      <c r="J601" s="1370"/>
      <c r="K601" s="1370"/>
      <c r="L601" s="1370"/>
      <c r="M601" s="1370"/>
      <c r="N601" s="1370"/>
      <c r="O601" s="1370"/>
      <c r="P601" s="1370"/>
      <c r="Q601" s="1370"/>
      <c r="R601" s="1370"/>
      <c r="T601" s="55" t="s">
        <v>456</v>
      </c>
      <c r="U601" t="s">
        <v>463</v>
      </c>
      <c r="Z601" s="1370">
        <f>C569</f>
        <v>0</v>
      </c>
      <c r="AA601" s="1370"/>
      <c r="AB601" s="1370"/>
      <c r="AC601" s="1370"/>
      <c r="AD601" s="1370"/>
      <c r="AE601" s="1370"/>
      <c r="AF601" s="1370"/>
      <c r="AG601" s="1370"/>
      <c r="AH601" s="1370"/>
      <c r="AI601" s="1370"/>
      <c r="AJ601" s="1370"/>
      <c r="AK601" s="1370"/>
      <c r="AZ601" s="3"/>
      <c r="BA601" s="3"/>
      <c r="BB601" s="3"/>
      <c r="BC601" s="3"/>
    </row>
    <row r="602" spans="1:55" s="4" customFormat="1" ht="12.95" customHeight="1">
      <c r="A602" s="22"/>
      <c r="B602" t="s">
        <v>85</v>
      </c>
      <c r="C602"/>
      <c r="D602"/>
      <c r="E602"/>
      <c r="F602"/>
      <c r="G602" s="1426"/>
      <c r="H602" s="1426"/>
      <c r="I602" s="1426"/>
      <c r="J602" s="1426"/>
      <c r="K602" s="1426"/>
      <c r="L602" s="1426"/>
      <c r="M602" s="1426"/>
      <c r="N602" s="1426"/>
      <c r="O602" s="1426"/>
      <c r="P602" s="1426"/>
      <c r="Q602" s="1426"/>
      <c r="R602" s="1426"/>
      <c r="S602"/>
      <c r="T602" s="22"/>
      <c r="U602" t="s">
        <v>85</v>
      </c>
      <c r="V602"/>
      <c r="W602"/>
      <c r="X602"/>
      <c r="Y602"/>
      <c r="Z602" s="1426"/>
      <c r="AA602" s="1426"/>
      <c r="AB602" s="1426"/>
      <c r="AC602" s="1426"/>
      <c r="AD602" s="1426"/>
      <c r="AE602" s="1426"/>
      <c r="AF602" s="1426"/>
      <c r="AG602" s="1426"/>
      <c r="AH602" s="1426"/>
      <c r="AI602" s="1426"/>
      <c r="AJ602" s="1426"/>
      <c r="AK602" s="1426"/>
      <c r="AL602"/>
      <c r="AM602"/>
      <c r="AN602"/>
      <c r="AO602"/>
      <c r="AP602"/>
      <c r="AQ602"/>
      <c r="AR602"/>
      <c r="AS602"/>
      <c r="AT602"/>
      <c r="AU602"/>
      <c r="AV602"/>
      <c r="AW602"/>
      <c r="AX602"/>
      <c r="AY602"/>
      <c r="AZ602" s="3"/>
      <c r="BA602" s="3"/>
      <c r="BB602" s="3"/>
      <c r="BC602" s="3"/>
    </row>
    <row r="603" spans="1:55" s="4" customFormat="1" ht="12.95" customHeight="1">
      <c r="A603" s="22"/>
      <c r="B603" t="s">
        <v>580</v>
      </c>
      <c r="C603"/>
      <c r="D603"/>
      <c r="E603"/>
      <c r="F603"/>
      <c r="G603" s="1426"/>
      <c r="H603" s="1426"/>
      <c r="I603" s="1426"/>
      <c r="J603" s="1426"/>
      <c r="K603" s="1426"/>
      <c r="L603" s="1426"/>
      <c r="M603" s="1426"/>
      <c r="N603" s="1426"/>
      <c r="O603" s="1426"/>
      <c r="P603" s="1426"/>
      <c r="Q603" s="1426"/>
      <c r="R603" s="1426"/>
      <c r="S603"/>
      <c r="T603" s="22"/>
      <c r="U603" t="s">
        <v>580</v>
      </c>
      <c r="V603"/>
      <c r="W603"/>
      <c r="X603"/>
      <c r="Y603"/>
      <c r="Z603" s="1368"/>
      <c r="AA603" s="1368"/>
      <c r="AB603" s="1368"/>
      <c r="AC603" s="1368"/>
      <c r="AD603" s="1368"/>
      <c r="AE603" s="1368"/>
      <c r="AF603" s="1368"/>
      <c r="AG603" s="1368"/>
      <c r="AH603" s="1368"/>
      <c r="AI603" s="1368"/>
      <c r="AJ603" s="1368"/>
      <c r="AK603" s="1368"/>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26"/>
      <c r="H604" s="1426"/>
      <c r="I604" s="1426"/>
      <c r="J604" s="1426"/>
      <c r="K604" s="1426"/>
      <c r="L604" s="1426"/>
      <c r="M604" s="1426"/>
      <c r="N604" s="1426"/>
      <c r="O604" s="1426"/>
      <c r="P604" s="1426"/>
      <c r="Q604" s="1426"/>
      <c r="R604" s="1426"/>
      <c r="S604"/>
      <c r="T604" s="22"/>
      <c r="U604" t="s">
        <v>17</v>
      </c>
      <c r="V604"/>
      <c r="W604"/>
      <c r="X604"/>
      <c r="Y604"/>
      <c r="Z604" s="1368"/>
      <c r="AA604" s="1368"/>
      <c r="AB604" s="1368"/>
      <c r="AC604" s="1368"/>
      <c r="AD604" s="1368"/>
      <c r="AE604" s="1368"/>
      <c r="AF604" s="1368"/>
      <c r="AG604" s="1368"/>
      <c r="AH604" s="1368"/>
      <c r="AI604" s="1368"/>
      <c r="AJ604" s="1368"/>
      <c r="AK604" s="1368"/>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385"/>
      <c r="H605" s="1385"/>
      <c r="I605" s="1385"/>
      <c r="J605" s="1385"/>
      <c r="K605" s="1385"/>
      <c r="L605" s="1385"/>
      <c r="M605"/>
      <c r="N605"/>
      <c r="O605" s="33" t="s">
        <v>206</v>
      </c>
      <c r="P605" s="1369"/>
      <c r="Q605" s="1369"/>
      <c r="R605" s="1369"/>
      <c r="S605"/>
      <c r="T605" s="22"/>
      <c r="U605" t="s">
        <v>316</v>
      </c>
      <c r="V605"/>
      <c r="W605"/>
      <c r="X605"/>
      <c r="Y605"/>
      <c r="Z605" s="1385"/>
      <c r="AA605" s="1385"/>
      <c r="AB605" s="1385"/>
      <c r="AC605" s="1385"/>
      <c r="AD605" s="1385"/>
      <c r="AE605" s="1385"/>
      <c r="AF605"/>
      <c r="AG605"/>
      <c r="AH605" s="33" t="s">
        <v>206</v>
      </c>
      <c r="AI605" s="1369"/>
      <c r="AJ605" s="1369"/>
      <c r="AK605" s="1369"/>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426"/>
      <c r="I606" s="1426"/>
      <c r="J606" s="1426"/>
      <c r="K606" s="1426"/>
      <c r="L606" s="1426"/>
      <c r="M606" s="1426"/>
      <c r="N606" s="1426"/>
      <c r="O606" s="1426"/>
      <c r="P606" s="1426"/>
      <c r="Q606" s="1426"/>
      <c r="R606" s="1426"/>
      <c r="S606"/>
      <c r="T606" s="22"/>
      <c r="U606" t="s">
        <v>18</v>
      </c>
      <c r="V606"/>
      <c r="W606"/>
      <c r="X606"/>
      <c r="Y606"/>
      <c r="Z606"/>
      <c r="AA606" s="1426"/>
      <c r="AB606" s="1426"/>
      <c r="AC606" s="1426"/>
      <c r="AD606" s="1426"/>
      <c r="AE606" s="1426"/>
      <c r="AF606" s="1426"/>
      <c r="AG606" s="1426"/>
      <c r="AH606" s="1426"/>
      <c r="AI606" s="1426"/>
      <c r="AJ606" s="1426"/>
      <c r="AK606" s="1426"/>
      <c r="AL606"/>
      <c r="AM606"/>
      <c r="AN606"/>
      <c r="AO606"/>
      <c r="AP606"/>
      <c r="AQ606"/>
      <c r="AR606"/>
      <c r="AS606"/>
      <c r="AT606"/>
      <c r="AU606"/>
      <c r="AV606"/>
      <c r="AW606"/>
      <c r="AX606"/>
      <c r="AY606"/>
      <c r="BB606" s="3"/>
      <c r="BC606" s="3"/>
    </row>
    <row r="607" spans="1:55" ht="12.95" customHeight="1">
      <c r="A607" s="22"/>
      <c r="B607" t="s">
        <v>20</v>
      </c>
      <c r="N607" s="1380" t="s">
        <v>669</v>
      </c>
      <c r="O607" s="1380"/>
      <c r="T607" s="22"/>
      <c r="U607" t="s">
        <v>20</v>
      </c>
      <c r="AG607" s="1380" t="s">
        <v>669</v>
      </c>
      <c r="AH607" s="1380"/>
      <c r="BB607" s="3"/>
      <c r="BC607" s="3"/>
    </row>
    <row r="608" spans="1:55" ht="12.95" customHeight="1">
      <c r="A608" s="22"/>
      <c r="T608" s="22"/>
      <c r="BB608" s="3"/>
      <c r="BC608" s="3"/>
    </row>
    <row r="609" spans="1:55" ht="12.95" customHeight="1">
      <c r="A609" s="55" t="s">
        <v>461</v>
      </c>
      <c r="B609" t="s">
        <v>463</v>
      </c>
      <c r="G609" s="1370">
        <f>C570</f>
        <v>0</v>
      </c>
      <c r="H609" s="1370"/>
      <c r="I609" s="1370"/>
      <c r="J609" s="1370"/>
      <c r="K609" s="1370"/>
      <c r="L609" s="1370"/>
      <c r="M609" s="1370"/>
      <c r="N609" s="1370"/>
      <c r="O609" s="1370"/>
      <c r="P609" s="1370"/>
      <c r="Q609" s="1370"/>
      <c r="R609" s="1370"/>
      <c r="T609" s="55" t="s">
        <v>646</v>
      </c>
      <c r="U609" t="s">
        <v>463</v>
      </c>
      <c r="Z609" s="1370">
        <f>C571</f>
        <v>0</v>
      </c>
      <c r="AA609" s="1370"/>
      <c r="AB609" s="1370"/>
      <c r="AC609" s="1370"/>
      <c r="AD609" s="1370"/>
      <c r="AE609" s="1370"/>
      <c r="AF609" s="1370"/>
      <c r="AG609" s="1370"/>
      <c r="AH609" s="1370"/>
      <c r="AI609" s="1370"/>
      <c r="AJ609" s="1370"/>
      <c r="AK609" s="1370"/>
      <c r="BB609" s="3"/>
      <c r="BC609" s="3"/>
    </row>
    <row r="610" spans="1:55" ht="12.95" customHeight="1">
      <c r="A610" s="22"/>
      <c r="B610" t="s">
        <v>85</v>
      </c>
      <c r="G610" s="1426"/>
      <c r="H610" s="1426"/>
      <c r="I610" s="1426"/>
      <c r="J610" s="1426"/>
      <c r="K610" s="1426"/>
      <c r="L610" s="1426"/>
      <c r="M610" s="1426"/>
      <c r="N610" s="1426"/>
      <c r="O610" s="1426"/>
      <c r="P610" s="1426"/>
      <c r="Q610" s="1426"/>
      <c r="R610" s="1426"/>
      <c r="T610" s="22"/>
      <c r="U610" t="s">
        <v>85</v>
      </c>
      <c r="Z610" s="1426"/>
      <c r="AA610" s="1426"/>
      <c r="AB610" s="1426"/>
      <c r="AC610" s="1426"/>
      <c r="AD610" s="1426"/>
      <c r="AE610" s="1426"/>
      <c r="AF610" s="1426"/>
      <c r="AG610" s="1426"/>
      <c r="AH610" s="1426"/>
      <c r="AI610" s="1426"/>
      <c r="AJ610" s="1426"/>
      <c r="AK610" s="1426"/>
      <c r="AZ610" s="3"/>
      <c r="BA610" s="3"/>
      <c r="BB610" s="3"/>
      <c r="BC610" s="3"/>
    </row>
    <row r="611" spans="1:55" ht="12.95" customHeight="1">
      <c r="A611" s="22"/>
      <c r="B611" t="s">
        <v>580</v>
      </c>
      <c r="G611" s="1426"/>
      <c r="H611" s="1426"/>
      <c r="I611" s="1426"/>
      <c r="J611" s="1426"/>
      <c r="K611" s="1426"/>
      <c r="L611" s="1426"/>
      <c r="M611" s="1426"/>
      <c r="N611" s="1426"/>
      <c r="O611" s="1426"/>
      <c r="P611" s="1426"/>
      <c r="Q611" s="1426"/>
      <c r="R611" s="1426"/>
      <c r="T611" s="22"/>
      <c r="U611" t="s">
        <v>580</v>
      </c>
      <c r="Z611" s="1368"/>
      <c r="AA611" s="1368"/>
      <c r="AB611" s="1368"/>
      <c r="AC611" s="1368"/>
      <c r="AD611" s="1368"/>
      <c r="AE611" s="1368"/>
      <c r="AF611" s="1368"/>
      <c r="AG611" s="1368"/>
      <c r="AH611" s="1368"/>
      <c r="AI611" s="1368"/>
      <c r="AJ611" s="1368"/>
      <c r="AK611" s="1368"/>
      <c r="AZ611" s="3"/>
      <c r="BA611" s="3"/>
      <c r="BB611" s="3"/>
      <c r="BC611" s="3"/>
    </row>
    <row r="612" spans="1:55" ht="12.95" customHeight="1">
      <c r="A612" s="22"/>
      <c r="B612" t="s">
        <v>17</v>
      </c>
      <c r="G612" s="1426"/>
      <c r="H612" s="1426"/>
      <c r="I612" s="1426"/>
      <c r="J612" s="1426"/>
      <c r="K612" s="1426"/>
      <c r="L612" s="1426"/>
      <c r="M612" s="1426"/>
      <c r="N612" s="1426"/>
      <c r="O612" s="1426"/>
      <c r="P612" s="1426"/>
      <c r="Q612" s="1426"/>
      <c r="R612" s="1426"/>
      <c r="T612" s="22"/>
      <c r="U612" t="s">
        <v>17</v>
      </c>
      <c r="Z612" s="1368"/>
      <c r="AA612" s="1368"/>
      <c r="AB612" s="1368"/>
      <c r="AC612" s="1368"/>
      <c r="AD612" s="1368"/>
      <c r="AE612" s="1368"/>
      <c r="AF612" s="1368"/>
      <c r="AG612" s="1368"/>
      <c r="AH612" s="1368"/>
      <c r="AI612" s="1368"/>
      <c r="AJ612" s="1368"/>
      <c r="AK612" s="1368"/>
      <c r="AZ612" s="3"/>
      <c r="BA612" s="3"/>
      <c r="BB612" s="3"/>
      <c r="BC612" s="3"/>
    </row>
    <row r="613" spans="1:55" s="4" customFormat="1" ht="12.95" customHeight="1">
      <c r="A613" s="22"/>
      <c r="B613" t="s">
        <v>316</v>
      </c>
      <c r="C613"/>
      <c r="D613"/>
      <c r="E613"/>
      <c r="F613"/>
      <c r="G613" s="1385"/>
      <c r="H613" s="1385"/>
      <c r="I613" s="1385"/>
      <c r="J613" s="1385"/>
      <c r="K613" s="1385"/>
      <c r="L613" s="1385"/>
      <c r="M613"/>
      <c r="N613"/>
      <c r="O613" s="33" t="s">
        <v>206</v>
      </c>
      <c r="P613" s="1369"/>
      <c r="Q613" s="1369"/>
      <c r="R613" s="1369"/>
      <c r="S613"/>
      <c r="T613" s="22"/>
      <c r="U613" t="s">
        <v>316</v>
      </c>
      <c r="V613"/>
      <c r="W613"/>
      <c r="X613"/>
      <c r="Y613"/>
      <c r="Z613" s="1385"/>
      <c r="AA613" s="1385"/>
      <c r="AB613" s="1385"/>
      <c r="AC613" s="1385"/>
      <c r="AD613" s="1385"/>
      <c r="AE613" s="1385"/>
      <c r="AF613"/>
      <c r="AG613"/>
      <c r="AH613" s="33" t="s">
        <v>206</v>
      </c>
      <c r="AI613" s="1369"/>
      <c r="AJ613" s="1369"/>
      <c r="AK613" s="1369"/>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426"/>
      <c r="I614" s="1426"/>
      <c r="J614" s="1426"/>
      <c r="K614" s="1426"/>
      <c r="L614" s="1426"/>
      <c r="M614" s="1426"/>
      <c r="N614" s="1426"/>
      <c r="O614" s="1426"/>
      <c r="P614" s="1426"/>
      <c r="Q614" s="1426"/>
      <c r="R614" s="1426"/>
      <c r="S614"/>
      <c r="T614" s="22"/>
      <c r="U614" t="s">
        <v>18</v>
      </c>
      <c r="V614"/>
      <c r="W614"/>
      <c r="X614"/>
      <c r="Y614"/>
      <c r="Z614"/>
      <c r="AA614" s="1426"/>
      <c r="AB614" s="1426"/>
      <c r="AC614" s="1426"/>
      <c r="AD614" s="1426"/>
      <c r="AE614" s="1426"/>
      <c r="AF614" s="1426"/>
      <c r="AG614" s="1426"/>
      <c r="AH614" s="1426"/>
      <c r="AI614" s="1426"/>
      <c r="AJ614" s="1426"/>
      <c r="AK614" s="1426"/>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80" t="s">
        <v>669</v>
      </c>
      <c r="O615" s="1380"/>
      <c r="P615"/>
      <c r="Q615"/>
      <c r="R615"/>
      <c r="S615"/>
      <c r="T615" s="22"/>
      <c r="U615" t="s">
        <v>20</v>
      </c>
      <c r="V615"/>
      <c r="W615"/>
      <c r="X615"/>
      <c r="Y615"/>
      <c r="Z615"/>
      <c r="AA615"/>
      <c r="AB615"/>
      <c r="AC615"/>
      <c r="AD615"/>
      <c r="AE615"/>
      <c r="AF615"/>
      <c r="AG615" s="1380" t="s">
        <v>669</v>
      </c>
      <c r="AH615" s="1380"/>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463</v>
      </c>
      <c r="G617" s="1370">
        <f>C572</f>
        <v>0</v>
      </c>
      <c r="H617" s="1370"/>
      <c r="I617" s="1370"/>
      <c r="J617" s="1370"/>
      <c r="K617" s="1370"/>
      <c r="L617" s="1370"/>
      <c r="M617" s="1370"/>
      <c r="N617" s="1370"/>
      <c r="O617" s="1370"/>
      <c r="P617" s="1370"/>
      <c r="Q617" s="1370"/>
      <c r="R617" s="1370"/>
      <c r="T617" s="55" t="s">
        <v>363</v>
      </c>
      <c r="U617" t="s">
        <v>463</v>
      </c>
      <c r="Z617" s="1370">
        <f>C573</f>
        <v>0</v>
      </c>
      <c r="AA617" s="1370"/>
      <c r="AB617" s="1370"/>
      <c r="AC617" s="1370"/>
      <c r="AD617" s="1370"/>
      <c r="AE617" s="1370"/>
      <c r="AF617" s="1370"/>
      <c r="AG617" s="1370"/>
      <c r="AH617" s="1370"/>
      <c r="AI617" s="1370"/>
      <c r="AJ617" s="1370"/>
      <c r="AK617" s="1370"/>
      <c r="AZ617" s="3"/>
      <c r="BA617" s="3"/>
      <c r="BB617" s="3"/>
      <c r="BC617" s="3"/>
    </row>
    <row r="618" spans="1:55" ht="12.95" customHeight="1">
      <c r="B618" t="s">
        <v>85</v>
      </c>
      <c r="G618" s="1426"/>
      <c r="H618" s="1426"/>
      <c r="I618" s="1426"/>
      <c r="J618" s="1426"/>
      <c r="K618" s="1426"/>
      <c r="L618" s="1426"/>
      <c r="M618" s="1426"/>
      <c r="N618" s="1426"/>
      <c r="O618" s="1426"/>
      <c r="P618" s="1426"/>
      <c r="Q618" s="1426"/>
      <c r="R618" s="1426"/>
      <c r="U618" t="s">
        <v>85</v>
      </c>
      <c r="Z618" s="1426"/>
      <c r="AA618" s="1426"/>
      <c r="AB618" s="1426"/>
      <c r="AC618" s="1426"/>
      <c r="AD618" s="1426"/>
      <c r="AE618" s="1426"/>
      <c r="AF618" s="1426"/>
      <c r="AG618" s="1426"/>
      <c r="AH618" s="1426"/>
      <c r="AI618" s="1426"/>
      <c r="AJ618" s="1426"/>
      <c r="AK618" s="1426"/>
      <c r="AZ618" s="3"/>
      <c r="BA618" s="3"/>
      <c r="BB618" s="3"/>
      <c r="BC618" s="3"/>
    </row>
    <row r="619" spans="1:55" ht="12.95" customHeight="1">
      <c r="B619" t="s">
        <v>580</v>
      </c>
      <c r="G619" s="1426"/>
      <c r="H619" s="1426"/>
      <c r="I619" s="1426"/>
      <c r="J619" s="1426"/>
      <c r="K619" s="1426"/>
      <c r="L619" s="1426"/>
      <c r="M619" s="1426"/>
      <c r="N619" s="1426"/>
      <c r="O619" s="1426"/>
      <c r="P619" s="1426"/>
      <c r="Q619" s="1426"/>
      <c r="R619" s="1426"/>
      <c r="U619" t="s">
        <v>580</v>
      </c>
      <c r="Z619" s="1368"/>
      <c r="AA619" s="1368"/>
      <c r="AB619" s="1368"/>
      <c r="AC619" s="1368"/>
      <c r="AD619" s="1368"/>
      <c r="AE619" s="1368"/>
      <c r="AF619" s="1368"/>
      <c r="AG619" s="1368"/>
      <c r="AH619" s="1368"/>
      <c r="AI619" s="1368"/>
      <c r="AJ619" s="1368"/>
      <c r="AK619" s="1368"/>
      <c r="AZ619" s="3"/>
      <c r="BA619" s="3"/>
      <c r="BB619" s="3"/>
      <c r="BC619" s="3"/>
    </row>
    <row r="620" spans="1:55" ht="12.95" customHeight="1">
      <c r="B620" t="s">
        <v>17</v>
      </c>
      <c r="G620" s="1426"/>
      <c r="H620" s="1426"/>
      <c r="I620" s="1426"/>
      <c r="J620" s="1426"/>
      <c r="K620" s="1426"/>
      <c r="L620" s="1426"/>
      <c r="M620" s="1426"/>
      <c r="N620" s="1426"/>
      <c r="O620" s="1426"/>
      <c r="P620" s="1426"/>
      <c r="Q620" s="1426"/>
      <c r="R620" s="1426"/>
      <c r="U620" t="s">
        <v>17</v>
      </c>
      <c r="Z620" s="1368"/>
      <c r="AA620" s="1368"/>
      <c r="AB620" s="1368"/>
      <c r="AC620" s="1368"/>
      <c r="AD620" s="1368"/>
      <c r="AE620" s="1368"/>
      <c r="AF620" s="1368"/>
      <c r="AG620" s="1368"/>
      <c r="AH620" s="1368"/>
      <c r="AI620" s="1368"/>
      <c r="AJ620" s="1368"/>
      <c r="AK620" s="1368"/>
      <c r="AZ620" s="3"/>
      <c r="BA620" s="3"/>
      <c r="BB620" s="3"/>
      <c r="BC620" s="3"/>
    </row>
    <row r="621" spans="1:55" ht="12.95" customHeight="1">
      <c r="B621" t="s">
        <v>316</v>
      </c>
      <c r="G621" s="1385"/>
      <c r="H621" s="1385"/>
      <c r="I621" s="1385"/>
      <c r="J621" s="1385"/>
      <c r="K621" s="1385"/>
      <c r="L621" s="1385"/>
      <c r="O621" s="33" t="s">
        <v>206</v>
      </c>
      <c r="P621" s="1369"/>
      <c r="Q621" s="1369"/>
      <c r="R621" s="1369"/>
      <c r="U621" t="s">
        <v>316</v>
      </c>
      <c r="Z621" s="1385"/>
      <c r="AA621" s="1385"/>
      <c r="AB621" s="1385"/>
      <c r="AC621" s="1385"/>
      <c r="AD621" s="1385"/>
      <c r="AE621" s="1385"/>
      <c r="AH621" s="33" t="s">
        <v>206</v>
      </c>
      <c r="AI621" s="1369"/>
      <c r="AJ621" s="1369"/>
      <c r="AK621" s="1369"/>
      <c r="AZ621" s="3"/>
      <c r="BA621" s="3"/>
      <c r="BB621" s="3"/>
      <c r="BC621" s="3"/>
    </row>
    <row r="622" spans="1:55" ht="12.95" customHeight="1">
      <c r="B622" t="s">
        <v>18</v>
      </c>
      <c r="H622" s="1426"/>
      <c r="I622" s="1426"/>
      <c r="J622" s="1426"/>
      <c r="K622" s="1426"/>
      <c r="L622" s="1426"/>
      <c r="M622" s="1426"/>
      <c r="N622" s="1426"/>
      <c r="O622" s="1426"/>
      <c r="P622" s="1426"/>
      <c r="Q622" s="1426"/>
      <c r="R622" s="1426"/>
      <c r="U622" t="s">
        <v>18</v>
      </c>
      <c r="AA622" s="1426"/>
      <c r="AB622" s="1426"/>
      <c r="AC622" s="1426"/>
      <c r="AD622" s="1426"/>
      <c r="AE622" s="1426"/>
      <c r="AF622" s="1426"/>
      <c r="AG622" s="1426"/>
      <c r="AH622" s="1426"/>
      <c r="AI622" s="1426"/>
      <c r="AJ622" s="1426"/>
      <c r="AK622" s="1426"/>
      <c r="AU622" s="895"/>
      <c r="AV622" s="895"/>
      <c r="AW622" s="895"/>
      <c r="AX622" s="895"/>
      <c r="AY622" s="895"/>
      <c r="AZ622" s="3"/>
      <c r="BA622" s="3"/>
      <c r="BB622" s="3"/>
      <c r="BC622" s="3"/>
    </row>
    <row r="623" spans="1:55" ht="12.95" customHeight="1">
      <c r="B623" t="s">
        <v>20</v>
      </c>
      <c r="N623" s="1380" t="s">
        <v>669</v>
      </c>
      <c r="O623" s="1380"/>
      <c r="U623" t="s">
        <v>20</v>
      </c>
      <c r="AG623" s="1380" t="s">
        <v>669</v>
      </c>
      <c r="AH623" s="1380"/>
      <c r="AU623" s="895"/>
      <c r="AV623" s="895"/>
      <c r="AW623" s="895"/>
      <c r="AX623" s="895"/>
      <c r="AY623" s="895"/>
      <c r="AZ623" s="3"/>
      <c r="BA623" s="3"/>
      <c r="BB623" s="3"/>
      <c r="BC623" s="3"/>
    </row>
    <row r="624" spans="1:55" ht="12.95" customHeight="1">
      <c r="AZ624" s="3"/>
      <c r="BA624" s="3"/>
      <c r="BB624" s="3"/>
      <c r="BC624" s="3"/>
    </row>
    <row r="625" spans="1:56" ht="12.95" customHeight="1">
      <c r="A625" s="1276" t="s">
        <v>544</v>
      </c>
      <c r="B625" s="1276"/>
      <c r="C625" s="1276"/>
      <c r="D625" s="1276"/>
      <c r="E625" s="1276"/>
      <c r="F625" s="1276"/>
      <c r="G625" s="1276"/>
      <c r="H625" s="1276"/>
      <c r="I625" s="1276"/>
      <c r="J625" s="1276"/>
      <c r="K625" s="1276"/>
      <c r="L625" s="1276"/>
      <c r="M625" s="1276"/>
      <c r="N625" s="1276"/>
      <c r="O625" s="1276"/>
      <c r="P625" s="1276"/>
      <c r="Q625" s="1276"/>
      <c r="R625" s="1276"/>
      <c r="S625" s="1276"/>
      <c r="T625" s="1276"/>
      <c r="U625" s="1276"/>
      <c r="V625" s="1276"/>
      <c r="W625" s="1276"/>
      <c r="X625" s="1276"/>
      <c r="Y625" s="1276"/>
      <c r="Z625" s="1276"/>
      <c r="AA625" s="1276"/>
      <c r="AB625" s="1276"/>
      <c r="AC625" s="1276"/>
      <c r="AD625" s="1276"/>
      <c r="AE625" s="1276"/>
      <c r="AF625" s="1276"/>
      <c r="AG625" s="1276"/>
      <c r="AH625" s="1276"/>
      <c r="AI625" s="1276"/>
      <c r="AJ625" s="1276"/>
      <c r="AK625" s="1276"/>
      <c r="AL625" s="1276"/>
      <c r="AM625" s="1276"/>
      <c r="AN625" s="1276"/>
      <c r="AO625" s="1276"/>
      <c r="AP625" s="1276"/>
      <c r="AQ625" s="1276"/>
      <c r="AR625" s="1276"/>
      <c r="AS625" s="1276"/>
      <c r="AT625" s="1276"/>
      <c r="AZ625" s="3"/>
      <c r="BA625" s="3"/>
      <c r="BB625" s="3"/>
      <c r="BC625" s="3"/>
    </row>
    <row r="626" spans="1:56" ht="12.95" customHeight="1">
      <c r="A626" s="1276"/>
      <c r="B626" s="1276"/>
      <c r="C626" s="1276"/>
      <c r="D626" s="1276"/>
      <c r="E626" s="1276"/>
      <c r="F626" s="1276"/>
      <c r="G626" s="1276"/>
      <c r="H626" s="1276"/>
      <c r="I626" s="1276"/>
      <c r="J626" s="1276"/>
      <c r="K626" s="1276"/>
      <c r="L626" s="1276"/>
      <c r="M626" s="1276"/>
      <c r="N626" s="1276"/>
      <c r="O626" s="1276"/>
      <c r="P626" s="1276"/>
      <c r="Q626" s="1276"/>
      <c r="R626" s="1276"/>
      <c r="S626" s="1276"/>
      <c r="T626" s="1276"/>
      <c r="U626" s="1276"/>
      <c r="V626" s="1276"/>
      <c r="W626" s="1276"/>
      <c r="X626" s="1276"/>
      <c r="Y626" s="1276"/>
      <c r="Z626" s="1276"/>
      <c r="AA626" s="1276"/>
      <c r="AB626" s="1276"/>
      <c r="AC626" s="1276"/>
      <c r="AD626" s="1276"/>
      <c r="AE626" s="1276"/>
      <c r="AF626" s="1276"/>
      <c r="AG626" s="1276"/>
      <c r="AH626" s="1276"/>
      <c r="AI626" s="1276"/>
      <c r="AJ626" s="1276"/>
      <c r="AK626" s="1276"/>
      <c r="AL626" s="1276"/>
      <c r="AM626" s="1276"/>
      <c r="AN626" s="1276"/>
      <c r="AO626" s="1276"/>
      <c r="AP626" s="1276"/>
      <c r="AQ626" s="1276"/>
      <c r="AR626" s="1276"/>
      <c r="AS626" s="1276"/>
      <c r="AT626" s="1276"/>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2057</v>
      </c>
      <c r="AZ630" s="3"/>
      <c r="BA630" s="3"/>
      <c r="BB630" s="3"/>
      <c r="BC630" s="3"/>
    </row>
    <row r="631" spans="1:56" ht="12.95" customHeight="1">
      <c r="B631" s="512"/>
      <c r="C631" s="2"/>
      <c r="AU631" s="3"/>
      <c r="AZ631" s="3"/>
      <c r="BA631" s="3"/>
      <c r="BB631" s="3"/>
      <c r="BC631" s="3"/>
    </row>
    <row r="632" spans="1:56" ht="12.95" customHeight="1">
      <c r="B632" s="1835" t="s">
        <v>2059</v>
      </c>
      <c r="C632" s="1835"/>
      <c r="D632" s="1835"/>
      <c r="E632" s="1835"/>
      <c r="F632" s="1835"/>
      <c r="G632" s="1835"/>
      <c r="H632" s="1835"/>
      <c r="I632" s="1835"/>
      <c r="J632" s="1835"/>
      <c r="K632" s="1835"/>
      <c r="L632" s="1835"/>
      <c r="M632" s="1671" t="s">
        <v>2060</v>
      </c>
      <c r="N632" s="1671"/>
      <c r="O632" s="1671"/>
      <c r="P632" s="1671"/>
      <c r="Q632" s="1671" t="s">
        <v>1829</v>
      </c>
      <c r="R632" s="1671"/>
      <c r="S632" s="1671"/>
      <c r="T632" s="1671" t="s">
        <v>1827</v>
      </c>
      <c r="U632" s="1671"/>
      <c r="V632" s="1671"/>
      <c r="W632" s="1672" t="s">
        <v>453</v>
      </c>
      <c r="X632" s="1672"/>
      <c r="Y632" s="1672"/>
      <c r="Z632" s="1411" t="s">
        <v>2089</v>
      </c>
      <c r="AA632" s="1411"/>
      <c r="AB632" s="1412"/>
      <c r="AC632" s="1836" t="s">
        <v>1665</v>
      </c>
      <c r="AD632" s="1837"/>
      <c r="AE632" s="1838"/>
      <c r="AF632" s="1410" t="s">
        <v>1904</v>
      </c>
      <c r="AG632" s="1411"/>
      <c r="AH632" s="1411"/>
      <c r="AI632" s="1411"/>
      <c r="AJ632" s="1412"/>
      <c r="AK632" s="1661" t="s">
        <v>1905</v>
      </c>
      <c r="AL632" s="1662"/>
      <c r="AM632" s="1662"/>
      <c r="AN632" s="1663"/>
      <c r="AO632" s="1671" t="s">
        <v>454</v>
      </c>
      <c r="AP632" s="1671"/>
      <c r="AQ632" s="1671"/>
      <c r="AR632" s="1671"/>
      <c r="AS632" s="1671"/>
      <c r="AU632" s="3"/>
      <c r="AZ632" s="3"/>
      <c r="BA632" s="3"/>
      <c r="BB632" s="3"/>
      <c r="BC632" s="3"/>
    </row>
    <row r="633" spans="1:56" ht="12.95" customHeight="1">
      <c r="B633" s="1835"/>
      <c r="C633" s="1835"/>
      <c r="D633" s="1835"/>
      <c r="E633" s="1835"/>
      <c r="F633" s="1835"/>
      <c r="G633" s="1835"/>
      <c r="H633" s="1835"/>
      <c r="I633" s="1835"/>
      <c r="J633" s="1835"/>
      <c r="K633" s="1835"/>
      <c r="L633" s="1835"/>
      <c r="M633" s="1671"/>
      <c r="N633" s="1671"/>
      <c r="O633" s="1671"/>
      <c r="P633" s="1671"/>
      <c r="Q633" s="1671"/>
      <c r="R633" s="1671"/>
      <c r="S633" s="1671"/>
      <c r="T633" s="1671"/>
      <c r="U633" s="1671"/>
      <c r="V633" s="1671"/>
      <c r="W633" s="1672"/>
      <c r="X633" s="1672"/>
      <c r="Y633" s="1672"/>
      <c r="Z633" s="1414"/>
      <c r="AA633" s="1414"/>
      <c r="AB633" s="1415"/>
      <c r="AC633" s="1839"/>
      <c r="AD633" s="1840"/>
      <c r="AE633" s="1841"/>
      <c r="AF633" s="1413"/>
      <c r="AG633" s="1414"/>
      <c r="AH633" s="1414"/>
      <c r="AI633" s="1414"/>
      <c r="AJ633" s="1415"/>
      <c r="AK633" s="1664"/>
      <c r="AL633" s="1665"/>
      <c r="AM633" s="1665"/>
      <c r="AN633" s="1666"/>
      <c r="AO633" s="1671"/>
      <c r="AP633" s="1671"/>
      <c r="AQ633" s="1671"/>
      <c r="AR633" s="1671"/>
      <c r="AS633" s="1671"/>
      <c r="AU633" s="3"/>
      <c r="AZ633" s="3"/>
      <c r="BA633" s="3"/>
      <c r="BB633" s="3"/>
      <c r="BC633" s="3"/>
      <c r="BD633" s="3"/>
    </row>
    <row r="634" spans="1:56" ht="12.95" customHeight="1">
      <c r="B634" s="1835"/>
      <c r="C634" s="1835"/>
      <c r="D634" s="1835"/>
      <c r="E634" s="1835"/>
      <c r="F634" s="1835"/>
      <c r="G634" s="1835"/>
      <c r="H634" s="1835"/>
      <c r="I634" s="1835"/>
      <c r="J634" s="1835"/>
      <c r="K634" s="1835"/>
      <c r="L634" s="1835"/>
      <c r="M634" s="1671"/>
      <c r="N634" s="1671"/>
      <c r="O634" s="1671"/>
      <c r="P634" s="1671"/>
      <c r="Q634" s="1671"/>
      <c r="R634" s="1671"/>
      <c r="S634" s="1671"/>
      <c r="T634" s="1671"/>
      <c r="U634" s="1671"/>
      <c r="V634" s="1671"/>
      <c r="W634" s="1672"/>
      <c r="X634" s="1672"/>
      <c r="Y634" s="1672"/>
      <c r="Z634" s="1417"/>
      <c r="AA634" s="1417"/>
      <c r="AB634" s="1418"/>
      <c r="AC634" s="1842"/>
      <c r="AD634" s="1843"/>
      <c r="AE634" s="1844"/>
      <c r="AF634" s="1416"/>
      <c r="AG634" s="1417"/>
      <c r="AH634" s="1417"/>
      <c r="AI634" s="1417"/>
      <c r="AJ634" s="1418"/>
      <c r="AK634" s="1667"/>
      <c r="AL634" s="1668"/>
      <c r="AM634" s="1668"/>
      <c r="AN634" s="1669"/>
      <c r="AO634" s="1671"/>
      <c r="AP634" s="1671"/>
      <c r="AQ634" s="1671"/>
      <c r="AR634" s="1671"/>
      <c r="AS634" s="1671"/>
      <c r="AT634" s="3"/>
      <c r="AU634" s="3"/>
      <c r="AZ634" s="3"/>
      <c r="BA634" s="3"/>
      <c r="BB634" s="3"/>
      <c r="BC634" s="3"/>
      <c r="BD634" s="3"/>
    </row>
    <row r="635" spans="1:56" ht="12.95" customHeight="1">
      <c r="B635" s="51" t="s">
        <v>112</v>
      </c>
      <c r="C635" s="1670" t="s">
        <v>2727</v>
      </c>
      <c r="D635" s="1670"/>
      <c r="E635" s="1670"/>
      <c r="F635" s="1670"/>
      <c r="G635" s="1670"/>
      <c r="H635" s="1670"/>
      <c r="I635" s="1670"/>
      <c r="J635" s="1670"/>
      <c r="K635" s="1670"/>
      <c r="L635" s="1670"/>
      <c r="M635" s="1586" t="s">
        <v>2070</v>
      </c>
      <c r="N635" s="1586"/>
      <c r="O635" s="1586"/>
      <c r="P635" s="1586"/>
      <c r="Q635" s="1548">
        <v>204</v>
      </c>
      <c r="R635" s="1548"/>
      <c r="S635" s="1609"/>
      <c r="T635" s="1608">
        <v>480</v>
      </c>
      <c r="U635" s="1548"/>
      <c r="V635" s="1609"/>
      <c r="W635" s="1381">
        <v>5.8999999999999997E-2</v>
      </c>
      <c r="X635" s="1382"/>
      <c r="Y635" s="1383"/>
      <c r="Z635" s="1489" t="s">
        <v>2088</v>
      </c>
      <c r="AA635" s="1490"/>
      <c r="AB635" s="1491"/>
      <c r="AC635" s="1476">
        <v>1</v>
      </c>
      <c r="AD635" s="1477"/>
      <c r="AE635" s="1478"/>
      <c r="AF635" s="1583">
        <f>-PMT(W635/12,T635,AO635)*12</f>
        <v>2612152.3000180451</v>
      </c>
      <c r="AG635" s="1584"/>
      <c r="AH635" s="1584"/>
      <c r="AI635" s="1584"/>
      <c r="AJ635" s="1585"/>
      <c r="AK635" s="1419"/>
      <c r="AL635" s="1420"/>
      <c r="AM635" s="1420"/>
      <c r="AN635" s="1421"/>
      <c r="AO635" s="1627">
        <v>40069185</v>
      </c>
      <c r="AP635" s="1627"/>
      <c r="AQ635" s="1627"/>
      <c r="AR635" s="1627"/>
      <c r="AS635" s="1627"/>
      <c r="AT635" s="3"/>
      <c r="AU635" s="3"/>
      <c r="AZ635" s="3"/>
      <c r="BA635" s="3"/>
      <c r="BB635" s="3"/>
      <c r="BC635" s="3"/>
      <c r="BD635" s="3"/>
    </row>
    <row r="636" spans="1:56" ht="12.95" customHeight="1">
      <c r="B636" s="52" t="s">
        <v>113</v>
      </c>
      <c r="C636" s="1670" t="s">
        <v>2644</v>
      </c>
      <c r="D636" s="1670"/>
      <c r="E636" s="1670"/>
      <c r="F636" s="1670"/>
      <c r="G636" s="1670"/>
      <c r="H636" s="1670"/>
      <c r="I636" s="1670"/>
      <c r="J636" s="1670"/>
      <c r="K636" s="1670"/>
      <c r="L636" s="1670"/>
      <c r="M636" s="1586" t="s">
        <v>2063</v>
      </c>
      <c r="N636" s="1586"/>
      <c r="O636" s="1586"/>
      <c r="P636" s="1586"/>
      <c r="Q636" s="1608">
        <v>660</v>
      </c>
      <c r="R636" s="1548"/>
      <c r="S636" s="1609"/>
      <c r="T636" s="1608">
        <v>660</v>
      </c>
      <c r="U636" s="1548"/>
      <c r="V636" s="1609"/>
      <c r="W636" s="1381">
        <v>0.06</v>
      </c>
      <c r="X636" s="1382"/>
      <c r="Y636" s="1383"/>
      <c r="Z636" s="1489" t="s">
        <v>457</v>
      </c>
      <c r="AA636" s="1490"/>
      <c r="AB636" s="1491"/>
      <c r="AC636" s="1476"/>
      <c r="AD636" s="1477"/>
      <c r="AE636" s="1478"/>
      <c r="AF636" s="1583"/>
      <c r="AG636" s="1584"/>
      <c r="AH636" s="1584"/>
      <c r="AI636" s="1584"/>
      <c r="AJ636" s="1585"/>
      <c r="AK636" s="1419"/>
      <c r="AL636" s="1420"/>
      <c r="AM636" s="1420"/>
      <c r="AN636" s="1421"/>
      <c r="AO636" s="1488">
        <f>'Sources and Uses Budget'!B105-SUM(Application!AO635,Application!AO648)</f>
        <v>6285643</v>
      </c>
      <c r="AP636" s="1345"/>
      <c r="AQ636" s="1345"/>
      <c r="AR636" s="1345"/>
      <c r="AS636" s="1346"/>
      <c r="AT636" s="1142" t="str">
        <f>IF(AND(NOT(C635=""),C636="",NOT(C637="")),"!","")</f>
        <v/>
      </c>
      <c r="AU636" s="3"/>
      <c r="AZ636" s="3"/>
      <c r="BA636" s="3"/>
      <c r="BB636" s="3"/>
      <c r="BC636" s="3"/>
      <c r="BD636" s="3"/>
    </row>
    <row r="637" spans="1:56" ht="12.95" customHeight="1">
      <c r="B637" s="52" t="s">
        <v>119</v>
      </c>
      <c r="C637" s="1670"/>
      <c r="D637" s="1670"/>
      <c r="E637" s="1670"/>
      <c r="F637" s="1670"/>
      <c r="G637" s="1670"/>
      <c r="H637" s="1670"/>
      <c r="I637" s="1670"/>
      <c r="J637" s="1670"/>
      <c r="K637" s="1670"/>
      <c r="L637" s="1670"/>
      <c r="M637" s="1586" t="s">
        <v>1184</v>
      </c>
      <c r="N637" s="1586"/>
      <c r="O637" s="1586"/>
      <c r="P637" s="1586"/>
      <c r="Q637" s="1608"/>
      <c r="R637" s="1548"/>
      <c r="S637" s="1609"/>
      <c r="T637" s="1608"/>
      <c r="U637" s="1548"/>
      <c r="V637" s="1609"/>
      <c r="W637" s="1381"/>
      <c r="X637" s="1382"/>
      <c r="Y637" s="1383"/>
      <c r="Z637" s="1489" t="s">
        <v>1184</v>
      </c>
      <c r="AA637" s="1490"/>
      <c r="AB637" s="1491"/>
      <c r="AC637" s="1476"/>
      <c r="AD637" s="1477"/>
      <c r="AE637" s="1478"/>
      <c r="AF637" s="1583"/>
      <c r="AG637" s="1584"/>
      <c r="AH637" s="1584"/>
      <c r="AI637" s="1584"/>
      <c r="AJ637" s="1585"/>
      <c r="AK637" s="1419"/>
      <c r="AL637" s="1420"/>
      <c r="AM637" s="1420"/>
      <c r="AN637" s="1421"/>
      <c r="AO637" s="1488"/>
      <c r="AP637" s="1345"/>
      <c r="AQ637" s="1345"/>
      <c r="AR637" s="1345"/>
      <c r="AS637" s="1346"/>
      <c r="AT637" s="1142" t="str">
        <f t="shared" ref="AT637:AT646" si="3">IF(AND(NOT(C636=""),C637="",NOT(C638="")),"!","")</f>
        <v/>
      </c>
      <c r="AU637" s="3"/>
      <c r="AZ637" s="3"/>
      <c r="BA637" s="3"/>
      <c r="BB637" s="3"/>
      <c r="BC637" s="3"/>
      <c r="BD637" s="3"/>
    </row>
    <row r="638" spans="1:56" ht="12.95" customHeight="1">
      <c r="B638" s="52" t="s">
        <v>581</v>
      </c>
      <c r="C638" s="1590"/>
      <c r="D638" s="1590"/>
      <c r="E638" s="1590"/>
      <c r="F638" s="1590"/>
      <c r="G638" s="1590"/>
      <c r="H638" s="1590"/>
      <c r="I638" s="1590"/>
      <c r="J638" s="1590"/>
      <c r="K638" s="1590"/>
      <c r="L638" s="1590"/>
      <c r="M638" s="1586" t="s">
        <v>1184</v>
      </c>
      <c r="N638" s="1586"/>
      <c r="O638" s="1586"/>
      <c r="P638" s="1586"/>
      <c r="Q638" s="1608"/>
      <c r="R638" s="1548"/>
      <c r="S638" s="1609"/>
      <c r="T638" s="1608"/>
      <c r="U638" s="1548"/>
      <c r="V638" s="1609"/>
      <c r="W638" s="1381"/>
      <c r="X638" s="1382"/>
      <c r="Y638" s="1383"/>
      <c r="Z638" s="1489" t="s">
        <v>1184</v>
      </c>
      <c r="AA638" s="1490"/>
      <c r="AB638" s="1491"/>
      <c r="AC638" s="1476"/>
      <c r="AD638" s="1477"/>
      <c r="AE638" s="1478"/>
      <c r="AF638" s="1583"/>
      <c r="AG638" s="1584"/>
      <c r="AH638" s="1584"/>
      <c r="AI638" s="1584"/>
      <c r="AJ638" s="1585"/>
      <c r="AK638" s="1419"/>
      <c r="AL638" s="1420"/>
      <c r="AM638" s="1420"/>
      <c r="AN638" s="1421"/>
      <c r="AO638" s="1488"/>
      <c r="AP638" s="1345"/>
      <c r="AQ638" s="1345"/>
      <c r="AR638" s="1345"/>
      <c r="AS638" s="1346"/>
      <c r="AT638" s="1142" t="str">
        <f t="shared" si="3"/>
        <v/>
      </c>
      <c r="AU638" s="3"/>
      <c r="AZ638" s="3"/>
      <c r="BA638" s="3"/>
      <c r="BB638" s="3"/>
      <c r="BC638" s="3"/>
      <c r="BD638" s="3"/>
    </row>
    <row r="639" spans="1:56" ht="12.95" customHeight="1">
      <c r="B639" s="52" t="s">
        <v>763</v>
      </c>
      <c r="C639" s="1590"/>
      <c r="D639" s="1590"/>
      <c r="E639" s="1590"/>
      <c r="F639" s="1590"/>
      <c r="G639" s="1590"/>
      <c r="H639" s="1590"/>
      <c r="I639" s="1590"/>
      <c r="J639" s="1590"/>
      <c r="K639" s="1590"/>
      <c r="L639" s="1590"/>
      <c r="M639" s="1586" t="s">
        <v>1184</v>
      </c>
      <c r="N639" s="1586"/>
      <c r="O639" s="1586"/>
      <c r="P639" s="1586"/>
      <c r="Q639" s="1608"/>
      <c r="R639" s="1548"/>
      <c r="S639" s="1609"/>
      <c r="T639" s="1608"/>
      <c r="U639" s="1548"/>
      <c r="V639" s="1609"/>
      <c r="W639" s="1381"/>
      <c r="X639" s="1382"/>
      <c r="Y639" s="1383"/>
      <c r="Z639" s="1489" t="s">
        <v>1184</v>
      </c>
      <c r="AA639" s="1490"/>
      <c r="AB639" s="1491"/>
      <c r="AC639" s="1476"/>
      <c r="AD639" s="1477"/>
      <c r="AE639" s="1478"/>
      <c r="AF639" s="1583"/>
      <c r="AG639" s="1584"/>
      <c r="AH639" s="1584"/>
      <c r="AI639" s="1584"/>
      <c r="AJ639" s="1585"/>
      <c r="AK639" s="1419"/>
      <c r="AL639" s="1420"/>
      <c r="AM639" s="1420"/>
      <c r="AN639" s="1421"/>
      <c r="AO639" s="1488"/>
      <c r="AP639" s="1345"/>
      <c r="AQ639" s="1345"/>
      <c r="AR639" s="1345"/>
      <c r="AS639" s="1346"/>
      <c r="AT639" s="1142" t="str">
        <f t="shared" si="3"/>
        <v/>
      </c>
      <c r="AU639" s="3"/>
      <c r="AZ639" s="3"/>
      <c r="BA639" s="3"/>
      <c r="BB639" s="3"/>
      <c r="BC639" s="3"/>
      <c r="BD639" s="3"/>
    </row>
    <row r="640" spans="1:56" ht="12.95" customHeight="1">
      <c r="B640" s="52" t="s">
        <v>584</v>
      </c>
      <c r="C640" s="1590"/>
      <c r="D640" s="1590"/>
      <c r="E640" s="1590"/>
      <c r="F640" s="1590"/>
      <c r="G640" s="1590"/>
      <c r="H640" s="1590"/>
      <c r="I640" s="1590"/>
      <c r="J640" s="1590"/>
      <c r="K640" s="1590"/>
      <c r="L640" s="1590"/>
      <c r="M640" s="1586" t="s">
        <v>1184</v>
      </c>
      <c r="N640" s="1586"/>
      <c r="O640" s="1586"/>
      <c r="P640" s="1586"/>
      <c r="Q640" s="1608"/>
      <c r="R640" s="1548"/>
      <c r="S640" s="1609"/>
      <c r="T640" s="1608"/>
      <c r="U640" s="1548"/>
      <c r="V640" s="1609"/>
      <c r="W640" s="1381"/>
      <c r="X640" s="1382"/>
      <c r="Y640" s="1383"/>
      <c r="Z640" s="1489" t="s">
        <v>1184</v>
      </c>
      <c r="AA640" s="1490"/>
      <c r="AB640" s="1491"/>
      <c r="AC640" s="1476"/>
      <c r="AD640" s="1477"/>
      <c r="AE640" s="1478"/>
      <c r="AF640" s="1583"/>
      <c r="AG640" s="1584"/>
      <c r="AH640" s="1584"/>
      <c r="AI640" s="1584"/>
      <c r="AJ640" s="1585"/>
      <c r="AK640" s="1419"/>
      <c r="AL640" s="1420"/>
      <c r="AM640" s="1420"/>
      <c r="AN640" s="1421"/>
      <c r="AO640" s="1488"/>
      <c r="AP640" s="1345"/>
      <c r="AQ640" s="1345"/>
      <c r="AR640" s="1345"/>
      <c r="AS640" s="1346"/>
      <c r="AT640" s="1142" t="str">
        <f t="shared" si="3"/>
        <v/>
      </c>
      <c r="AU640" s="3"/>
      <c r="AZ640" s="3"/>
      <c r="BA640" s="3"/>
      <c r="BB640" s="3"/>
      <c r="BC640" s="3"/>
      <c r="BD640" s="3"/>
    </row>
    <row r="641" spans="1:157" ht="12.95" customHeight="1">
      <c r="B641" s="52" t="s">
        <v>455</v>
      </c>
      <c r="C641" s="1590"/>
      <c r="D641" s="1590"/>
      <c r="E641" s="1590"/>
      <c r="F641" s="1590"/>
      <c r="G641" s="1590"/>
      <c r="H641" s="1590"/>
      <c r="I641" s="1590"/>
      <c r="J641" s="1590"/>
      <c r="K641" s="1590"/>
      <c r="L641" s="1590"/>
      <c r="M641" s="1586" t="s">
        <v>1184</v>
      </c>
      <c r="N641" s="1586"/>
      <c r="O641" s="1586"/>
      <c r="P641" s="1586"/>
      <c r="Q641" s="1608"/>
      <c r="R641" s="1548"/>
      <c r="S641" s="1609"/>
      <c r="T641" s="1608"/>
      <c r="U641" s="1548"/>
      <c r="V641" s="1609"/>
      <c r="W641" s="1381"/>
      <c r="X641" s="1382"/>
      <c r="Y641" s="1383"/>
      <c r="Z641" s="1489" t="s">
        <v>1184</v>
      </c>
      <c r="AA641" s="1490"/>
      <c r="AB641" s="1491"/>
      <c r="AC641" s="1476"/>
      <c r="AD641" s="1477"/>
      <c r="AE641" s="1478"/>
      <c r="AF641" s="1583"/>
      <c r="AG641" s="1584"/>
      <c r="AH641" s="1584"/>
      <c r="AI641" s="1584"/>
      <c r="AJ641" s="1585"/>
      <c r="AK641" s="1419"/>
      <c r="AL641" s="1420"/>
      <c r="AM641" s="1420"/>
      <c r="AN641" s="1421"/>
      <c r="AO641" s="1488"/>
      <c r="AP641" s="1345"/>
      <c r="AQ641" s="1345"/>
      <c r="AR641" s="1345"/>
      <c r="AS641" s="1346"/>
      <c r="AT641" s="1142" t="str">
        <f t="shared" si="3"/>
        <v/>
      </c>
      <c r="AU641" s="3"/>
      <c r="AV641" s="3"/>
      <c r="AW641" s="3"/>
      <c r="AX641" s="3"/>
      <c r="AY641" s="3"/>
      <c r="AZ641" s="3"/>
      <c r="BA641" s="3"/>
      <c r="BB641" s="3"/>
      <c r="BC641" s="3"/>
      <c r="BD641" s="3"/>
    </row>
    <row r="642" spans="1:157" ht="12.95" customHeight="1">
      <c r="B642" s="52" t="s">
        <v>456</v>
      </c>
      <c r="C642" s="1590"/>
      <c r="D642" s="1590"/>
      <c r="E642" s="1590"/>
      <c r="F642" s="1590"/>
      <c r="G642" s="1590"/>
      <c r="H642" s="1590"/>
      <c r="I642" s="1590"/>
      <c r="J642" s="1590"/>
      <c r="K642" s="1590"/>
      <c r="L642" s="1590"/>
      <c r="M642" s="1586" t="s">
        <v>1184</v>
      </c>
      <c r="N642" s="1586"/>
      <c r="O642" s="1586"/>
      <c r="P642" s="1586"/>
      <c r="Q642" s="1608"/>
      <c r="R642" s="1548"/>
      <c r="S642" s="1609"/>
      <c r="T642" s="1608"/>
      <c r="U642" s="1548"/>
      <c r="V642" s="1609"/>
      <c r="W642" s="1381"/>
      <c r="X642" s="1382"/>
      <c r="Y642" s="1383"/>
      <c r="Z642" s="1489" t="s">
        <v>1184</v>
      </c>
      <c r="AA642" s="1490"/>
      <c r="AB642" s="1491"/>
      <c r="AC642" s="1476"/>
      <c r="AD642" s="1477"/>
      <c r="AE642" s="1478"/>
      <c r="AF642" s="1583"/>
      <c r="AG642" s="1584"/>
      <c r="AH642" s="1584"/>
      <c r="AI642" s="1584"/>
      <c r="AJ642" s="1585"/>
      <c r="AK642" s="1419"/>
      <c r="AL642" s="1420"/>
      <c r="AM642" s="1420"/>
      <c r="AN642" s="1421"/>
      <c r="AO642" s="1488"/>
      <c r="AP642" s="1345"/>
      <c r="AQ642" s="1345"/>
      <c r="AR642" s="1345"/>
      <c r="AS642" s="1346"/>
      <c r="AT642" s="1142" t="str">
        <f t="shared" si="3"/>
        <v/>
      </c>
      <c r="AU642" s="3"/>
      <c r="AV642" s="3"/>
      <c r="AW642" s="3"/>
      <c r="AX642" s="3"/>
      <c r="AY642" s="3"/>
      <c r="AZ642" s="3"/>
      <c r="BA642" s="3" t="s">
        <v>1184</v>
      </c>
      <c r="BB642" s="3"/>
      <c r="BC642" s="3"/>
      <c r="BD642" s="3"/>
    </row>
    <row r="643" spans="1:157" ht="12.95" customHeight="1">
      <c r="B643" s="52" t="s">
        <v>461</v>
      </c>
      <c r="C643" s="1590"/>
      <c r="D643" s="1590"/>
      <c r="E643" s="1590"/>
      <c r="F643" s="1590"/>
      <c r="G643" s="1590"/>
      <c r="H643" s="1590"/>
      <c r="I643" s="1590"/>
      <c r="J643" s="1590"/>
      <c r="K643" s="1590"/>
      <c r="L643" s="1590"/>
      <c r="M643" s="1586" t="s">
        <v>1184</v>
      </c>
      <c r="N643" s="1586"/>
      <c r="O643" s="1586"/>
      <c r="P643" s="1586"/>
      <c r="Q643" s="1608"/>
      <c r="R643" s="1548"/>
      <c r="S643" s="1609"/>
      <c r="T643" s="1608"/>
      <c r="U643" s="1548"/>
      <c r="V643" s="1609"/>
      <c r="W643" s="1381"/>
      <c r="X643" s="1382"/>
      <c r="Y643" s="1383"/>
      <c r="Z643" s="1489" t="s">
        <v>1184</v>
      </c>
      <c r="AA643" s="1490"/>
      <c r="AB643" s="1491"/>
      <c r="AC643" s="1476"/>
      <c r="AD643" s="1477"/>
      <c r="AE643" s="1478"/>
      <c r="AF643" s="1583"/>
      <c r="AG643" s="1584"/>
      <c r="AH643" s="1584"/>
      <c r="AI643" s="1584"/>
      <c r="AJ643" s="1585"/>
      <c r="AK643" s="1419"/>
      <c r="AL643" s="1420"/>
      <c r="AM643" s="1420"/>
      <c r="AN643" s="1421"/>
      <c r="AO643" s="1488"/>
      <c r="AP643" s="1345"/>
      <c r="AQ643" s="1345"/>
      <c r="AR643" s="1345"/>
      <c r="AS643" s="1346"/>
      <c r="AT643" s="1142"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67">
        <f t="shared" ref="DX643:DX677" si="4">EZ726*(CP726/$CP$761)</f>
        <v>102.55</v>
      </c>
      <c r="DY643" s="1367"/>
      <c r="DZ643" s="1367"/>
      <c r="EA643" s="1367"/>
      <c r="EB643" s="1367"/>
      <c r="EC643" s="1367" t="e">
        <f t="shared" ref="EC643:EC677" si="5">FE726*(CU726/$CU$761)</f>
        <v>#VALUE!</v>
      </c>
      <c r="ED643" s="1367"/>
      <c r="EE643" s="1367"/>
      <c r="EF643" s="1367"/>
      <c r="EG643" s="1367"/>
      <c r="EH643" s="1367" t="e">
        <f t="shared" ref="EH643:EH677" si="6">FJ726*(CZ726/$CZ$761)</f>
        <v>#VALUE!</v>
      </c>
      <c r="EI643" s="1367"/>
      <c r="EJ643" s="1367"/>
      <c r="EK643" s="1367"/>
      <c r="EL643" s="1367"/>
      <c r="EM643" s="1367" t="e">
        <f t="shared" ref="EM643:EM677" si="7">FO726*(DE726/$DE$761)</f>
        <v>#VALUE!</v>
      </c>
      <c r="EN643" s="1367"/>
      <c r="EO643" s="1367"/>
      <c r="EP643" s="1367"/>
      <c r="EQ643" s="1367"/>
      <c r="ER643" s="1367" t="e">
        <f t="shared" ref="ER643:ER677" si="8">FT726*(DJ726/$DJ$761)</f>
        <v>#VALUE!</v>
      </c>
      <c r="ES643" s="1367"/>
      <c r="ET643" s="1367"/>
      <c r="EU643" s="1367"/>
      <c r="EV643" s="1367"/>
      <c r="EW643" s="1367" t="e">
        <f t="shared" ref="EW643:EW677" si="9">FY726*(DO726/$DO$761)</f>
        <v>#VALUE!</v>
      </c>
      <c r="EX643" s="1367"/>
      <c r="EY643" s="1367"/>
      <c r="EZ643" s="1367"/>
      <c r="FA643" s="1367"/>
    </row>
    <row r="644" spans="1:157" ht="12.95" customHeight="1">
      <c r="B644" s="52" t="s">
        <v>646</v>
      </c>
      <c r="C644" s="1590"/>
      <c r="D644" s="1590"/>
      <c r="E644" s="1590"/>
      <c r="F644" s="1590"/>
      <c r="G644" s="1590"/>
      <c r="H644" s="1590"/>
      <c r="I644" s="1590"/>
      <c r="J644" s="1590"/>
      <c r="K644" s="1590"/>
      <c r="L644" s="1590"/>
      <c r="M644" s="1586" t="s">
        <v>1184</v>
      </c>
      <c r="N644" s="1586"/>
      <c r="O644" s="1586"/>
      <c r="P644" s="1586"/>
      <c r="Q644" s="1608"/>
      <c r="R644" s="1548"/>
      <c r="S644" s="1609"/>
      <c r="T644" s="1608"/>
      <c r="U644" s="1548"/>
      <c r="V644" s="1609"/>
      <c r="W644" s="1381"/>
      <c r="X644" s="1382"/>
      <c r="Y644" s="1383"/>
      <c r="Z644" s="1489" t="s">
        <v>1184</v>
      </c>
      <c r="AA644" s="1490"/>
      <c r="AB644" s="1491"/>
      <c r="AC644" s="1476"/>
      <c r="AD644" s="1477"/>
      <c r="AE644" s="1478"/>
      <c r="AF644" s="1583"/>
      <c r="AG644" s="1584"/>
      <c r="AH644" s="1584"/>
      <c r="AI644" s="1584"/>
      <c r="AJ644" s="1585"/>
      <c r="AK644" s="1419"/>
      <c r="AL644" s="1420"/>
      <c r="AM644" s="1420"/>
      <c r="AN644" s="1421"/>
      <c r="AO644" s="1488"/>
      <c r="AP644" s="1345"/>
      <c r="AQ644" s="1345"/>
      <c r="AR644" s="1345"/>
      <c r="AS644" s="1346"/>
      <c r="AT644" s="1142"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367">
        <f t="shared" si="4"/>
        <v>176.65</v>
      </c>
      <c r="DY644" s="1367"/>
      <c r="DZ644" s="1367"/>
      <c r="EA644" s="1367"/>
      <c r="EB644" s="1367"/>
      <c r="EC644" s="1367" t="e">
        <f t="shared" si="5"/>
        <v>#VALUE!</v>
      </c>
      <c r="ED644" s="1367"/>
      <c r="EE644" s="1367"/>
      <c r="EF644" s="1367"/>
      <c r="EG644" s="1367"/>
      <c r="EH644" s="1367" t="e">
        <f t="shared" si="6"/>
        <v>#VALUE!</v>
      </c>
      <c r="EI644" s="1367"/>
      <c r="EJ644" s="1367"/>
      <c r="EK644" s="1367"/>
      <c r="EL644" s="1367"/>
      <c r="EM644" s="1367" t="e">
        <f t="shared" si="7"/>
        <v>#VALUE!</v>
      </c>
      <c r="EN644" s="1367"/>
      <c r="EO644" s="1367"/>
      <c r="EP644" s="1367"/>
      <c r="EQ644" s="1367"/>
      <c r="ER644" s="1367" t="e">
        <f t="shared" si="8"/>
        <v>#VALUE!</v>
      </c>
      <c r="ES644" s="1367"/>
      <c r="ET644" s="1367"/>
      <c r="EU644" s="1367"/>
      <c r="EV644" s="1367"/>
      <c r="EW644" s="1367" t="e">
        <f t="shared" si="9"/>
        <v>#VALUE!</v>
      </c>
      <c r="EX644" s="1367"/>
      <c r="EY644" s="1367"/>
      <c r="EZ644" s="1367"/>
      <c r="FA644" s="1367"/>
    </row>
    <row r="645" spans="1:157" ht="12.95" customHeight="1">
      <c r="B645" s="52" t="s">
        <v>362</v>
      </c>
      <c r="C645" s="1590"/>
      <c r="D645" s="1590"/>
      <c r="E645" s="1590"/>
      <c r="F645" s="1590"/>
      <c r="G645" s="1590"/>
      <c r="H645" s="1590"/>
      <c r="I645" s="1590"/>
      <c r="J645" s="1590"/>
      <c r="K645" s="1590"/>
      <c r="L645" s="1590"/>
      <c r="M645" s="1586" t="s">
        <v>1184</v>
      </c>
      <c r="N645" s="1586"/>
      <c r="O645" s="1586"/>
      <c r="P645" s="1586"/>
      <c r="Q645" s="1608"/>
      <c r="R645" s="1548"/>
      <c r="S645" s="1609"/>
      <c r="T645" s="1608"/>
      <c r="U645" s="1548"/>
      <c r="V645" s="1609"/>
      <c r="W645" s="1381"/>
      <c r="X645" s="1382"/>
      <c r="Y645" s="1383"/>
      <c r="Z645" s="1489" t="s">
        <v>1184</v>
      </c>
      <c r="AA645" s="1490"/>
      <c r="AB645" s="1491"/>
      <c r="AC645" s="1476"/>
      <c r="AD645" s="1477"/>
      <c r="AE645" s="1478"/>
      <c r="AF645" s="1583"/>
      <c r="AG645" s="1584"/>
      <c r="AH645" s="1584"/>
      <c r="AI645" s="1584"/>
      <c r="AJ645" s="1585"/>
      <c r="AK645" s="1419"/>
      <c r="AL645" s="1420"/>
      <c r="AM645" s="1420"/>
      <c r="AN645" s="1421"/>
      <c r="AO645" s="1488"/>
      <c r="AP645" s="1345"/>
      <c r="AQ645" s="1345"/>
      <c r="AR645" s="1345"/>
      <c r="AS645" s="1346"/>
      <c r="AT645" s="1142" t="str">
        <f t="shared" si="3"/>
        <v/>
      </c>
      <c r="AV645" s="3"/>
      <c r="AW645" s="3"/>
      <c r="AX645" s="3"/>
      <c r="AY645" s="3"/>
      <c r="AZ645" s="34"/>
      <c r="BA645" s="3" t="s">
        <v>2088</v>
      </c>
      <c r="BB645" s="34"/>
      <c r="BC645" s="34"/>
      <c r="BD645" s="34"/>
      <c r="BE645" s="34"/>
      <c r="BF645" s="34"/>
      <c r="BG645" s="34"/>
      <c r="BH645" s="34"/>
      <c r="BI645" s="34"/>
      <c r="BJ645" s="34"/>
      <c r="BK645" s="34"/>
      <c r="BL645" s="34"/>
      <c r="BM645" s="34"/>
      <c r="DA645" s="3"/>
      <c r="DB645" s="3"/>
      <c r="DC645" s="3"/>
      <c r="DD645" s="3"/>
      <c r="DE645" s="3"/>
      <c r="DF645" s="3"/>
      <c r="DX645" s="1367">
        <f t="shared" si="4"/>
        <v>640.95000000000005</v>
      </c>
      <c r="DY645" s="1367"/>
      <c r="DZ645" s="1367"/>
      <c r="EA645" s="1367"/>
      <c r="EB645" s="1367"/>
      <c r="EC645" s="1367" t="e">
        <f t="shared" si="5"/>
        <v>#VALUE!</v>
      </c>
      <c r="ED645" s="1367"/>
      <c r="EE645" s="1367"/>
      <c r="EF645" s="1367"/>
      <c r="EG645" s="1367"/>
      <c r="EH645" s="1367" t="e">
        <f t="shared" si="6"/>
        <v>#VALUE!</v>
      </c>
      <c r="EI645" s="1367"/>
      <c r="EJ645" s="1367"/>
      <c r="EK645" s="1367"/>
      <c r="EL645" s="1367"/>
      <c r="EM645" s="1367" t="e">
        <f t="shared" si="7"/>
        <v>#VALUE!</v>
      </c>
      <c r="EN645" s="1367"/>
      <c r="EO645" s="1367"/>
      <c r="EP645" s="1367"/>
      <c r="EQ645" s="1367"/>
      <c r="ER645" s="1367" t="e">
        <f t="shared" si="8"/>
        <v>#VALUE!</v>
      </c>
      <c r="ES645" s="1367"/>
      <c r="ET645" s="1367"/>
      <c r="EU645" s="1367"/>
      <c r="EV645" s="1367"/>
      <c r="EW645" s="1367" t="e">
        <f t="shared" si="9"/>
        <v>#VALUE!</v>
      </c>
      <c r="EX645" s="1367"/>
      <c r="EY645" s="1367"/>
      <c r="EZ645" s="1367"/>
      <c r="FA645" s="1367"/>
    </row>
    <row r="646" spans="1:157" ht="12.95" customHeight="1">
      <c r="B646" s="52" t="s">
        <v>363</v>
      </c>
      <c r="C646" s="1590"/>
      <c r="D646" s="1590"/>
      <c r="E646" s="1590"/>
      <c r="F646" s="1590"/>
      <c r="G646" s="1590"/>
      <c r="H646" s="1590"/>
      <c r="I646" s="1590"/>
      <c r="J646" s="1590"/>
      <c r="K646" s="1590"/>
      <c r="L646" s="1590"/>
      <c r="M646" s="1586" t="s">
        <v>1184</v>
      </c>
      <c r="N646" s="1586"/>
      <c r="O646" s="1586"/>
      <c r="P646" s="1586"/>
      <c r="Q646" s="1608"/>
      <c r="R646" s="1548"/>
      <c r="S646" s="1609"/>
      <c r="T646" s="1608"/>
      <c r="U646" s="1548"/>
      <c r="V646" s="1609"/>
      <c r="W646" s="1381"/>
      <c r="X646" s="1382"/>
      <c r="Y646" s="1383"/>
      <c r="Z646" s="1489" t="s">
        <v>1184</v>
      </c>
      <c r="AA646" s="1490"/>
      <c r="AB646" s="1491"/>
      <c r="AC646" s="1476"/>
      <c r="AD646" s="1477"/>
      <c r="AE646" s="1478"/>
      <c r="AF646" s="1583"/>
      <c r="AG646" s="1584"/>
      <c r="AH646" s="1584"/>
      <c r="AI646" s="1584"/>
      <c r="AJ646" s="1585"/>
      <c r="AK646" s="1419"/>
      <c r="AL646" s="1420"/>
      <c r="AM646" s="1420"/>
      <c r="AN646" s="1421"/>
      <c r="AO646" s="1488"/>
      <c r="AP646" s="1345"/>
      <c r="AQ646" s="1345"/>
      <c r="AR646" s="1345"/>
      <c r="AS646" s="1346"/>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367">
        <f t="shared" si="4"/>
        <v>752.02500000000009</v>
      </c>
      <c r="DY646" s="1367"/>
      <c r="DZ646" s="1367"/>
      <c r="EA646" s="1367"/>
      <c r="EB646" s="1367"/>
      <c r="EC646" s="1367" t="e">
        <f t="shared" si="5"/>
        <v>#VALUE!</v>
      </c>
      <c r="ED646" s="1367"/>
      <c r="EE646" s="1367"/>
      <c r="EF646" s="1367"/>
      <c r="EG646" s="1367"/>
      <c r="EH646" s="1367" t="e">
        <f t="shared" si="6"/>
        <v>#VALUE!</v>
      </c>
      <c r="EI646" s="1367"/>
      <c r="EJ646" s="1367"/>
      <c r="EK646" s="1367"/>
      <c r="EL646" s="1367"/>
      <c r="EM646" s="1367" t="e">
        <f t="shared" si="7"/>
        <v>#VALUE!</v>
      </c>
      <c r="EN646" s="1367"/>
      <c r="EO646" s="1367"/>
      <c r="EP646" s="1367"/>
      <c r="EQ646" s="1367"/>
      <c r="ER646" s="1367" t="e">
        <f t="shared" si="8"/>
        <v>#VALUE!</v>
      </c>
      <c r="ES646" s="1367"/>
      <c r="ET646" s="1367"/>
      <c r="EU646" s="1367"/>
      <c r="EV646" s="1367"/>
      <c r="EW646" s="1367" t="e">
        <f t="shared" si="9"/>
        <v>#VALUE!</v>
      </c>
      <c r="EX646" s="1367"/>
      <c r="EY646" s="1367"/>
      <c r="EZ646" s="1367"/>
      <c r="FA646" s="1367"/>
    </row>
    <row r="647" spans="1:157" ht="12.95" customHeight="1">
      <c r="B647" s="1427" t="s">
        <v>128</v>
      </c>
      <c r="C647" s="1428"/>
      <c r="D647" s="1428"/>
      <c r="E647" s="1428"/>
      <c r="F647" s="1428"/>
      <c r="G647" s="1428"/>
      <c r="H647" s="1428"/>
      <c r="I647" s="1428"/>
      <c r="J647" s="1428"/>
      <c r="K647" s="1428"/>
      <c r="L647" s="1428"/>
      <c r="M647" s="1428"/>
      <c r="N647" s="1428"/>
      <c r="O647" s="1428"/>
      <c r="P647" s="1428"/>
      <c r="Q647" s="1428"/>
      <c r="R647" s="1428"/>
      <c r="S647" s="1428"/>
      <c r="T647" s="1428"/>
      <c r="U647" s="1428"/>
      <c r="V647" s="1428"/>
      <c r="W647" s="1428"/>
      <c r="X647" s="1428"/>
      <c r="Y647" s="1428"/>
      <c r="Z647" s="1428"/>
      <c r="AA647" s="1428"/>
      <c r="AB647" s="1428"/>
      <c r="AC647" s="1428"/>
      <c r="AD647" s="1428"/>
      <c r="AE647" s="1428"/>
      <c r="AF647" s="1428"/>
      <c r="AG647" s="1428"/>
      <c r="AH647" s="1428"/>
      <c r="AI647" s="1428"/>
      <c r="AJ647" s="1428"/>
      <c r="AK647" s="1428"/>
      <c r="AL647" s="1428"/>
      <c r="AM647" s="1428"/>
      <c r="AN647" s="1430"/>
      <c r="AO647" s="1485">
        <f>SUM(AO635:AR646)</f>
        <v>46354828</v>
      </c>
      <c r="AP647" s="1486"/>
      <c r="AQ647" s="1486"/>
      <c r="AR647" s="1486"/>
      <c r="AS647" s="1487"/>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67" t="e">
        <f t="shared" si="4"/>
        <v>#VALUE!</v>
      </c>
      <c r="DY647" s="1367"/>
      <c r="DZ647" s="1367"/>
      <c r="EA647" s="1367"/>
      <c r="EB647" s="1367"/>
      <c r="EC647" s="1367">
        <f t="shared" si="5"/>
        <v>88.953012048192775</v>
      </c>
      <c r="ED647" s="1367"/>
      <c r="EE647" s="1367"/>
      <c r="EF647" s="1367"/>
      <c r="EG647" s="1367"/>
      <c r="EH647" s="1367" t="e">
        <f t="shared" si="6"/>
        <v>#VALUE!</v>
      </c>
      <c r="EI647" s="1367"/>
      <c r="EJ647" s="1367"/>
      <c r="EK647" s="1367"/>
      <c r="EL647" s="1367"/>
      <c r="EM647" s="1367" t="e">
        <f t="shared" si="7"/>
        <v>#VALUE!</v>
      </c>
      <c r="EN647" s="1367"/>
      <c r="EO647" s="1367"/>
      <c r="EP647" s="1367"/>
      <c r="EQ647" s="1367"/>
      <c r="ER647" s="1367" t="e">
        <f t="shared" si="8"/>
        <v>#VALUE!</v>
      </c>
      <c r="ES647" s="1367"/>
      <c r="ET647" s="1367"/>
      <c r="EU647" s="1367"/>
      <c r="EV647" s="1367"/>
      <c r="EW647" s="1367" t="e">
        <f t="shared" si="9"/>
        <v>#VALUE!</v>
      </c>
      <c r="EX647" s="1367"/>
      <c r="EY647" s="1367"/>
      <c r="EZ647" s="1367"/>
      <c r="FA647" s="1367"/>
    </row>
    <row r="648" spans="1:157" ht="12.95" customHeight="1">
      <c r="B648" s="1427" t="s">
        <v>267</v>
      </c>
      <c r="C648" s="1428"/>
      <c r="D648" s="1428"/>
      <c r="E648" s="1428"/>
      <c r="F648" s="1428"/>
      <c r="G648" s="1428"/>
      <c r="H648" s="1428"/>
      <c r="I648" s="1428"/>
      <c r="J648" s="1428"/>
      <c r="K648" s="1428"/>
      <c r="L648" s="1428"/>
      <c r="M648" s="1428"/>
      <c r="N648" s="1428"/>
      <c r="O648" s="1428"/>
      <c r="P648" s="1428"/>
      <c r="Q648" s="1428"/>
      <c r="R648" s="1428"/>
      <c r="S648" s="1428"/>
      <c r="T648" s="1428"/>
      <c r="U648" s="1428"/>
      <c r="V648" s="1428"/>
      <c r="W648" s="1428"/>
      <c r="X648" s="1428"/>
      <c r="Y648" s="1428"/>
      <c r="Z648" s="1428"/>
      <c r="AA648" s="1428"/>
      <c r="AB648" s="1428"/>
      <c r="AC648" s="1428"/>
      <c r="AD648" s="1428"/>
      <c r="AE648" s="1428"/>
      <c r="AF648" s="1428"/>
      <c r="AG648" s="1428"/>
      <c r="AH648" s="1428"/>
      <c r="AI648" s="1428"/>
      <c r="AJ648" s="1428"/>
      <c r="AK648" s="1428"/>
      <c r="AL648" s="1428"/>
      <c r="AM648" s="1428"/>
      <c r="AN648" s="1430"/>
      <c r="AO648" s="1488">
        <v>24948879</v>
      </c>
      <c r="AP648" s="1345"/>
      <c r="AQ648" s="1345"/>
      <c r="AR648" s="1345"/>
      <c r="AS648" s="1346"/>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67" t="e">
        <f t="shared" si="4"/>
        <v>#VALUE!</v>
      </c>
      <c r="DY648" s="1367"/>
      <c r="DZ648" s="1367"/>
      <c r="EA648" s="1367"/>
      <c r="EB648" s="1367"/>
      <c r="EC648" s="1367">
        <f t="shared" si="5"/>
        <v>153.92168674698794</v>
      </c>
      <c r="ED648" s="1367"/>
      <c r="EE648" s="1367"/>
      <c r="EF648" s="1367"/>
      <c r="EG648" s="1367"/>
      <c r="EH648" s="1367" t="e">
        <f t="shared" si="6"/>
        <v>#VALUE!</v>
      </c>
      <c r="EI648" s="1367"/>
      <c r="EJ648" s="1367"/>
      <c r="EK648" s="1367"/>
      <c r="EL648" s="1367"/>
      <c r="EM648" s="1367" t="e">
        <f t="shared" si="7"/>
        <v>#VALUE!</v>
      </c>
      <c r="EN648" s="1367"/>
      <c r="EO648" s="1367"/>
      <c r="EP648" s="1367"/>
      <c r="EQ648" s="1367"/>
      <c r="ER648" s="1367" t="e">
        <f t="shared" si="8"/>
        <v>#VALUE!</v>
      </c>
      <c r="ES648" s="1367"/>
      <c r="ET648" s="1367"/>
      <c r="EU648" s="1367"/>
      <c r="EV648" s="1367"/>
      <c r="EW648" s="1367" t="e">
        <f t="shared" si="9"/>
        <v>#VALUE!</v>
      </c>
      <c r="EX648" s="1367"/>
      <c r="EY648" s="1367"/>
      <c r="EZ648" s="1367"/>
      <c r="FA648" s="1367"/>
    </row>
    <row r="649" spans="1:157" ht="12.95" customHeight="1">
      <c r="B649" s="1673" t="s">
        <v>268</v>
      </c>
      <c r="C649" s="1429"/>
      <c r="D649" s="1429"/>
      <c r="E649" s="1429"/>
      <c r="F649" s="1429"/>
      <c r="G649" s="1429"/>
      <c r="H649" s="1429"/>
      <c r="I649" s="1429"/>
      <c r="J649" s="1429"/>
      <c r="K649" s="1429"/>
      <c r="L649" s="1429"/>
      <c r="M649" s="1429"/>
      <c r="N649" s="1429"/>
      <c r="O649" s="1429"/>
      <c r="P649" s="1429"/>
      <c r="Q649" s="1429"/>
      <c r="R649" s="1429"/>
      <c r="S649" s="1429"/>
      <c r="T649" s="1429"/>
      <c r="U649" s="1429"/>
      <c r="V649" s="1429"/>
      <c r="W649" s="1429"/>
      <c r="X649" s="1429"/>
      <c r="Y649" s="1429"/>
      <c r="Z649" s="1429"/>
      <c r="AA649" s="1429"/>
      <c r="AB649" s="1429"/>
      <c r="AC649" s="1429"/>
      <c r="AD649" s="1429"/>
      <c r="AE649" s="1429"/>
      <c r="AF649" s="1429"/>
      <c r="AG649" s="1429"/>
      <c r="AH649" s="1429"/>
      <c r="AI649" s="1429"/>
      <c r="AJ649" s="1429"/>
      <c r="AK649" s="1429"/>
      <c r="AL649" s="1429"/>
      <c r="AM649" s="1429"/>
      <c r="AN649" s="1674"/>
      <c r="AO649" s="1485">
        <f>AO647+AO648</f>
        <v>71303707</v>
      </c>
      <c r="AP649" s="1486"/>
      <c r="AQ649" s="1486"/>
      <c r="AR649" s="1486"/>
      <c r="AS649" s="1487"/>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67" t="e">
        <f t="shared" si="4"/>
        <v>#VALUE!</v>
      </c>
      <c r="DY649" s="1367"/>
      <c r="DZ649" s="1367"/>
      <c r="EA649" s="1367"/>
      <c r="EB649" s="1367"/>
      <c r="EC649" s="1367">
        <f t="shared" si="5"/>
        <v>690.79879518072289</v>
      </c>
      <c r="ED649" s="1367"/>
      <c r="EE649" s="1367"/>
      <c r="EF649" s="1367"/>
      <c r="EG649" s="1367"/>
      <c r="EH649" s="1367" t="e">
        <f t="shared" si="6"/>
        <v>#VALUE!</v>
      </c>
      <c r="EI649" s="1367"/>
      <c r="EJ649" s="1367"/>
      <c r="EK649" s="1367"/>
      <c r="EL649" s="1367"/>
      <c r="EM649" s="1367" t="e">
        <f t="shared" si="7"/>
        <v>#VALUE!</v>
      </c>
      <c r="EN649" s="1367"/>
      <c r="EO649" s="1367"/>
      <c r="EP649" s="1367"/>
      <c r="EQ649" s="1367"/>
      <c r="ER649" s="1367" t="e">
        <f t="shared" si="8"/>
        <v>#VALUE!</v>
      </c>
      <c r="ES649" s="1367"/>
      <c r="ET649" s="1367"/>
      <c r="EU649" s="1367"/>
      <c r="EV649" s="1367"/>
      <c r="EW649" s="1367" t="e">
        <f t="shared" si="9"/>
        <v>#VALUE!</v>
      </c>
      <c r="EX649" s="1367"/>
      <c r="EY649" s="1367"/>
      <c r="EZ649" s="1367"/>
      <c r="FA649" s="1367"/>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67" t="e">
        <f t="shared" si="4"/>
        <v>#VALUE!</v>
      </c>
      <c r="DY650" s="1367"/>
      <c r="DZ650" s="1367"/>
      <c r="EA650" s="1367"/>
      <c r="EB650" s="1367"/>
      <c r="EC650" s="1367">
        <f t="shared" si="5"/>
        <v>888.43734939759042</v>
      </c>
      <c r="ED650" s="1367"/>
      <c r="EE650" s="1367"/>
      <c r="EF650" s="1367"/>
      <c r="EG650" s="1367"/>
      <c r="EH650" s="1367" t="e">
        <f t="shared" si="6"/>
        <v>#VALUE!</v>
      </c>
      <c r="EI650" s="1367"/>
      <c r="EJ650" s="1367"/>
      <c r="EK650" s="1367"/>
      <c r="EL650" s="1367"/>
      <c r="EM650" s="1367" t="e">
        <f t="shared" si="7"/>
        <v>#VALUE!</v>
      </c>
      <c r="EN650" s="1367"/>
      <c r="EO650" s="1367"/>
      <c r="EP650" s="1367"/>
      <c r="EQ650" s="1367"/>
      <c r="ER650" s="1367" t="e">
        <f t="shared" si="8"/>
        <v>#VALUE!</v>
      </c>
      <c r="ES650" s="1367"/>
      <c r="ET650" s="1367"/>
      <c r="EU650" s="1367"/>
      <c r="EV650" s="1367"/>
      <c r="EW650" s="1367" t="e">
        <f t="shared" si="9"/>
        <v>#VALUE!</v>
      </c>
      <c r="EX650" s="1367"/>
      <c r="EY650" s="1367"/>
      <c r="EZ650" s="1367"/>
      <c r="FA650" s="1367"/>
    </row>
    <row r="651" spans="1:157" ht="12.95" customHeight="1">
      <c r="A651" s="55" t="s">
        <v>112</v>
      </c>
      <c r="B651" t="s">
        <v>463</v>
      </c>
      <c r="G651" s="1370" t="str">
        <f>C635</f>
        <v>Citibank</v>
      </c>
      <c r="H651" s="1370"/>
      <c r="I651" s="1370"/>
      <c r="J651" s="1370"/>
      <c r="K651" s="1370"/>
      <c r="L651" s="1370"/>
      <c r="M651" s="1370"/>
      <c r="N651" s="1370"/>
      <c r="O651" s="1370"/>
      <c r="P651" s="1370"/>
      <c r="Q651" s="1370"/>
      <c r="R651" s="1370"/>
      <c r="S651" s="8"/>
      <c r="T651" s="55" t="s">
        <v>113</v>
      </c>
      <c r="U651" t="s">
        <v>463</v>
      </c>
      <c r="Z651" s="1370" t="str">
        <f>C636</f>
        <v>1200 Main GP, LLC</v>
      </c>
      <c r="AA651" s="1370"/>
      <c r="AB651" s="1370"/>
      <c r="AC651" s="1370"/>
      <c r="AD651" s="1370"/>
      <c r="AE651" s="1370"/>
      <c r="AF651" s="1370"/>
      <c r="AG651" s="1370"/>
      <c r="AH651" s="1370"/>
      <c r="AI651" s="1370"/>
      <c r="AJ651" s="1370"/>
      <c r="AK651" s="1370"/>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67" t="e">
        <f t="shared" si="4"/>
        <v>#VALUE!</v>
      </c>
      <c r="DY651" s="1367"/>
      <c r="DZ651" s="1367"/>
      <c r="EA651" s="1367"/>
      <c r="EB651" s="1367"/>
      <c r="EC651" s="1367" t="e">
        <f t="shared" si="5"/>
        <v>#VALUE!</v>
      </c>
      <c r="ED651" s="1367"/>
      <c r="EE651" s="1367"/>
      <c r="EF651" s="1367"/>
      <c r="EG651" s="1367"/>
      <c r="EH651" s="1367">
        <f t="shared" si="6"/>
        <v>170.96666666666664</v>
      </c>
      <c r="EI651" s="1367"/>
      <c r="EJ651" s="1367"/>
      <c r="EK651" s="1367"/>
      <c r="EL651" s="1367"/>
      <c r="EM651" s="1367" t="e">
        <f t="shared" si="7"/>
        <v>#VALUE!</v>
      </c>
      <c r="EN651" s="1367"/>
      <c r="EO651" s="1367"/>
      <c r="EP651" s="1367"/>
      <c r="EQ651" s="1367"/>
      <c r="ER651" s="1367" t="e">
        <f t="shared" si="8"/>
        <v>#VALUE!</v>
      </c>
      <c r="ES651" s="1367"/>
      <c r="ET651" s="1367"/>
      <c r="EU651" s="1367"/>
      <c r="EV651" s="1367"/>
      <c r="EW651" s="1367" t="e">
        <f t="shared" si="9"/>
        <v>#VALUE!</v>
      </c>
      <c r="EX651" s="1367"/>
      <c r="EY651" s="1367"/>
      <c r="EZ651" s="1367"/>
      <c r="FA651" s="1367"/>
    </row>
    <row r="652" spans="1:157" ht="12.95" customHeight="1">
      <c r="A652" s="22"/>
      <c r="B652" t="s">
        <v>85</v>
      </c>
      <c r="G652" s="1426" t="s">
        <v>2732</v>
      </c>
      <c r="H652" s="1426"/>
      <c r="I652" s="1426"/>
      <c r="J652" s="1426"/>
      <c r="K652" s="1426"/>
      <c r="L652" s="1426"/>
      <c r="M652" s="1426"/>
      <c r="N652" s="1426"/>
      <c r="O652" s="1426"/>
      <c r="P652" s="1426"/>
      <c r="Q652" s="1426"/>
      <c r="R652" s="1426"/>
      <c r="S652" s="8"/>
      <c r="T652" s="22"/>
      <c r="U652" t="s">
        <v>85</v>
      </c>
      <c r="Z652" s="1426" t="s">
        <v>2664</v>
      </c>
      <c r="AA652" s="1426"/>
      <c r="AB652" s="1426"/>
      <c r="AC652" s="1426"/>
      <c r="AD652" s="1426"/>
      <c r="AE652" s="1426"/>
      <c r="AF652" s="1426"/>
      <c r="AG652" s="1426"/>
      <c r="AH652" s="1426"/>
      <c r="AI652" s="1426"/>
      <c r="AJ652" s="1426"/>
      <c r="AK652" s="1426"/>
      <c r="AV652" s="3"/>
      <c r="AW652" s="3"/>
      <c r="AX652" s="3"/>
      <c r="AY652" s="3"/>
      <c r="AZ652" s="3"/>
      <c r="BA652" s="3"/>
      <c r="BB652" s="3"/>
      <c r="BC652" s="3"/>
      <c r="BD652" s="3"/>
      <c r="BE652" s="3"/>
      <c r="BF652" s="3"/>
      <c r="BG652" s="3"/>
      <c r="BH652" s="3"/>
      <c r="BI652" s="3"/>
      <c r="BJ652" s="3"/>
      <c r="BK652" s="3"/>
      <c r="BL652" s="3"/>
      <c r="BM652" s="3"/>
      <c r="DX652" s="1367" t="e">
        <f t="shared" si="4"/>
        <v>#VALUE!</v>
      </c>
      <c r="DY652" s="1367"/>
      <c r="DZ652" s="1367"/>
      <c r="EA652" s="1367"/>
      <c r="EB652" s="1367"/>
      <c r="EC652" s="1367" t="e">
        <f t="shared" si="5"/>
        <v>#VALUE!</v>
      </c>
      <c r="ED652" s="1367"/>
      <c r="EE652" s="1367"/>
      <c r="EF652" s="1367"/>
      <c r="EG652" s="1367"/>
      <c r="EH652" s="1367">
        <f t="shared" si="6"/>
        <v>722.5333333333333</v>
      </c>
      <c r="EI652" s="1367"/>
      <c r="EJ652" s="1367"/>
      <c r="EK652" s="1367"/>
      <c r="EL652" s="1367"/>
      <c r="EM652" s="1367" t="e">
        <f t="shared" si="7"/>
        <v>#VALUE!</v>
      </c>
      <c r="EN652" s="1367"/>
      <c r="EO652" s="1367"/>
      <c r="EP652" s="1367"/>
      <c r="EQ652" s="1367"/>
      <c r="ER652" s="1367" t="e">
        <f t="shared" si="8"/>
        <v>#VALUE!</v>
      </c>
      <c r="ES652" s="1367"/>
      <c r="ET652" s="1367"/>
      <c r="EU652" s="1367"/>
      <c r="EV652" s="1367"/>
      <c r="EW652" s="1367" t="e">
        <f t="shared" si="9"/>
        <v>#VALUE!</v>
      </c>
      <c r="EX652" s="1367"/>
      <c r="EY652" s="1367"/>
      <c r="EZ652" s="1367"/>
      <c r="FA652" s="1367"/>
    </row>
    <row r="653" spans="1:157" ht="12.95" customHeight="1">
      <c r="A653" s="22"/>
      <c r="B653" t="s">
        <v>580</v>
      </c>
      <c r="G653" s="1426" t="s">
        <v>2733</v>
      </c>
      <c r="H653" s="1426"/>
      <c r="I653" s="1426"/>
      <c r="J653" s="1426"/>
      <c r="K653" s="1426"/>
      <c r="L653" s="1426"/>
      <c r="M653" s="1426"/>
      <c r="N653" s="1426"/>
      <c r="O653" s="1426"/>
      <c r="P653" s="1426"/>
      <c r="Q653" s="1426"/>
      <c r="R653" s="1426"/>
      <c r="T653" s="22"/>
      <c r="U653" t="s">
        <v>580</v>
      </c>
      <c r="Z653" s="1368" t="s">
        <v>2737</v>
      </c>
      <c r="AA653" s="1368"/>
      <c r="AB653" s="1368"/>
      <c r="AC653" s="1368"/>
      <c r="AD653" s="1368"/>
      <c r="AE653" s="1368"/>
      <c r="AF653" s="1368"/>
      <c r="AG653" s="1368"/>
      <c r="AH653" s="1368"/>
      <c r="AI653" s="1368"/>
      <c r="AJ653" s="1368"/>
      <c r="AK653" s="1368"/>
      <c r="AV653" s="3"/>
      <c r="AW653" s="3"/>
      <c r="AX653" s="3"/>
      <c r="AY653" s="3"/>
      <c r="AZ653" s="3"/>
      <c r="BA653" s="3"/>
      <c r="BB653" s="3"/>
      <c r="BC653" s="3"/>
      <c r="BD653" s="3"/>
      <c r="BE653" s="3"/>
      <c r="BF653" s="3"/>
      <c r="BG653" s="3"/>
      <c r="BH653" s="3"/>
      <c r="BI653" s="3"/>
      <c r="BJ653" s="3"/>
      <c r="BK653" s="3"/>
      <c r="BL653" s="3"/>
      <c r="BM653" s="3"/>
      <c r="DX653" s="1367" t="e">
        <f t="shared" si="4"/>
        <v>#VALUE!</v>
      </c>
      <c r="DY653" s="1367"/>
      <c r="DZ653" s="1367"/>
      <c r="EA653" s="1367"/>
      <c r="EB653" s="1367"/>
      <c r="EC653" s="1367" t="e">
        <f t="shared" si="5"/>
        <v>#VALUE!</v>
      </c>
      <c r="ED653" s="1367"/>
      <c r="EE653" s="1367"/>
      <c r="EF653" s="1367"/>
      <c r="EG653" s="1367"/>
      <c r="EH653" s="1367">
        <f t="shared" si="6"/>
        <v>1274.0999999999999</v>
      </c>
      <c r="EI653" s="1367"/>
      <c r="EJ653" s="1367"/>
      <c r="EK653" s="1367"/>
      <c r="EL653" s="1367"/>
      <c r="EM653" s="1367" t="e">
        <f t="shared" si="7"/>
        <v>#VALUE!</v>
      </c>
      <c r="EN653" s="1367"/>
      <c r="EO653" s="1367"/>
      <c r="EP653" s="1367"/>
      <c r="EQ653" s="1367"/>
      <c r="ER653" s="1367" t="e">
        <f t="shared" si="8"/>
        <v>#VALUE!</v>
      </c>
      <c r="ES653" s="1367"/>
      <c r="ET653" s="1367"/>
      <c r="EU653" s="1367"/>
      <c r="EV653" s="1367"/>
      <c r="EW653" s="1367" t="e">
        <f t="shared" si="9"/>
        <v>#VALUE!</v>
      </c>
      <c r="EX653" s="1367"/>
      <c r="EY653" s="1367"/>
      <c r="EZ653" s="1367"/>
      <c r="FA653" s="1367"/>
    </row>
    <row r="654" spans="1:157" ht="12.95" customHeight="1">
      <c r="A654" s="22"/>
      <c r="B654" t="s">
        <v>17</v>
      </c>
      <c r="G654" s="1426" t="s">
        <v>2734</v>
      </c>
      <c r="H654" s="1426"/>
      <c r="I654" s="1426"/>
      <c r="J654" s="1426"/>
      <c r="K654" s="1426"/>
      <c r="L654" s="1426"/>
      <c r="M654" s="1426"/>
      <c r="N654" s="1426"/>
      <c r="O654" s="1426"/>
      <c r="P654" s="1426"/>
      <c r="Q654" s="1426"/>
      <c r="R654" s="1426"/>
      <c r="S654" s="8"/>
      <c r="T654" s="22"/>
      <c r="U654" t="s">
        <v>17</v>
      </c>
      <c r="Z654" s="1368" t="s">
        <v>2647</v>
      </c>
      <c r="AA654" s="1368"/>
      <c r="AB654" s="1368"/>
      <c r="AC654" s="1368"/>
      <c r="AD654" s="1368"/>
      <c r="AE654" s="1368"/>
      <c r="AF654" s="1368"/>
      <c r="AG654" s="1368"/>
      <c r="AH654" s="1368"/>
      <c r="AI654" s="1368"/>
      <c r="AJ654" s="1368"/>
      <c r="AK654" s="1368"/>
      <c r="AZ654" s="3"/>
      <c r="BA654" s="3"/>
      <c r="BB654" s="3"/>
      <c r="BC654" s="3"/>
      <c r="BD654" s="3"/>
      <c r="BE654" s="3"/>
      <c r="BF654" s="3"/>
      <c r="BG654" s="3"/>
      <c r="BH654" s="3"/>
      <c r="BI654" s="3"/>
      <c r="BJ654" s="3"/>
      <c r="BK654" s="3"/>
      <c r="BL654" s="3"/>
      <c r="BM654" s="3"/>
      <c r="DX654" s="1367" t="e">
        <f t="shared" si="4"/>
        <v>#VALUE!</v>
      </c>
      <c r="DY654" s="1367"/>
      <c r="DZ654" s="1367"/>
      <c r="EA654" s="1367"/>
      <c r="EB654" s="1367"/>
      <c r="EC654" s="1367" t="e">
        <f t="shared" si="5"/>
        <v>#VALUE!</v>
      </c>
      <c r="ED654" s="1367"/>
      <c r="EE654" s="1367"/>
      <c r="EF654" s="1367"/>
      <c r="EG654" s="1367"/>
      <c r="EH654" s="1367" t="e">
        <f t="shared" si="6"/>
        <v>#VALUE!</v>
      </c>
      <c r="EI654" s="1367"/>
      <c r="EJ654" s="1367"/>
      <c r="EK654" s="1367"/>
      <c r="EL654" s="1367"/>
      <c r="EM654" s="1367" t="e">
        <f t="shared" si="7"/>
        <v>#VALUE!</v>
      </c>
      <c r="EN654" s="1367"/>
      <c r="EO654" s="1367"/>
      <c r="EP654" s="1367"/>
      <c r="EQ654" s="1367"/>
      <c r="ER654" s="1367" t="e">
        <f t="shared" si="8"/>
        <v>#VALUE!</v>
      </c>
      <c r="ES654" s="1367"/>
      <c r="ET654" s="1367"/>
      <c r="EU654" s="1367"/>
      <c r="EV654" s="1367"/>
      <c r="EW654" s="1367" t="e">
        <f t="shared" si="9"/>
        <v>#VALUE!</v>
      </c>
      <c r="EX654" s="1367"/>
      <c r="EY654" s="1367"/>
      <c r="EZ654" s="1367"/>
      <c r="FA654" s="1367"/>
    </row>
    <row r="655" spans="1:157" ht="12.95" customHeight="1">
      <c r="A655" s="22"/>
      <c r="B655" t="s">
        <v>316</v>
      </c>
      <c r="G655" s="1385">
        <v>2134868917</v>
      </c>
      <c r="H655" s="1385"/>
      <c r="I655" s="1385"/>
      <c r="J655" s="1385"/>
      <c r="K655" s="1385"/>
      <c r="L655" s="1385"/>
      <c r="O655" s="33" t="s">
        <v>206</v>
      </c>
      <c r="P655" s="1369"/>
      <c r="Q655" s="1369"/>
      <c r="R655" s="1369"/>
      <c r="S655" s="10"/>
      <c r="T655" s="22"/>
      <c r="U655" t="s">
        <v>316</v>
      </c>
      <c r="Z655" s="1384" t="s">
        <v>2698</v>
      </c>
      <c r="AA655" s="1385"/>
      <c r="AB655" s="1385"/>
      <c r="AC655" s="1385"/>
      <c r="AD655" s="1385"/>
      <c r="AE655" s="1385"/>
      <c r="AH655" s="33" t="s">
        <v>206</v>
      </c>
      <c r="AI655" s="1369"/>
      <c r="AJ655" s="1369"/>
      <c r="AK655" s="1369"/>
      <c r="AZ655" s="34"/>
      <c r="BA655" s="34"/>
      <c r="BB655" s="34"/>
      <c r="BC655" s="34"/>
      <c r="BD655" s="34"/>
      <c r="BE655" s="34"/>
      <c r="BF655" s="34"/>
      <c r="BG655" s="34"/>
      <c r="BH655" s="34"/>
      <c r="BI655" s="34"/>
      <c r="BJ655" s="34"/>
      <c r="BK655" s="34"/>
      <c r="BL655" s="34"/>
      <c r="BM655" s="34"/>
      <c r="DX655" s="1367" t="e">
        <f t="shared" si="4"/>
        <v>#VALUE!</v>
      </c>
      <c r="DY655" s="1367"/>
      <c r="DZ655" s="1367"/>
      <c r="EA655" s="1367"/>
      <c r="EB655" s="1367"/>
      <c r="EC655" s="1367" t="e">
        <f t="shared" si="5"/>
        <v>#VALUE!</v>
      </c>
      <c r="ED655" s="1367"/>
      <c r="EE655" s="1367"/>
      <c r="EF655" s="1367"/>
      <c r="EG655" s="1367"/>
      <c r="EH655" s="1367" t="e">
        <f t="shared" si="6"/>
        <v>#VALUE!</v>
      </c>
      <c r="EI655" s="1367"/>
      <c r="EJ655" s="1367"/>
      <c r="EK655" s="1367"/>
      <c r="EL655" s="1367"/>
      <c r="EM655" s="1367" t="e">
        <f t="shared" si="7"/>
        <v>#VALUE!</v>
      </c>
      <c r="EN655" s="1367"/>
      <c r="EO655" s="1367"/>
      <c r="EP655" s="1367"/>
      <c r="EQ655" s="1367"/>
      <c r="ER655" s="1367" t="e">
        <f t="shared" si="8"/>
        <v>#VALUE!</v>
      </c>
      <c r="ES655" s="1367"/>
      <c r="ET655" s="1367"/>
      <c r="EU655" s="1367"/>
      <c r="EV655" s="1367"/>
      <c r="EW655" s="1367" t="e">
        <f t="shared" si="9"/>
        <v>#VALUE!</v>
      </c>
      <c r="EX655" s="1367"/>
      <c r="EY655" s="1367"/>
      <c r="EZ655" s="1367"/>
      <c r="FA655" s="1367"/>
    </row>
    <row r="656" spans="1:157" ht="12.95" customHeight="1">
      <c r="A656" s="22"/>
      <c r="B656" t="s">
        <v>18</v>
      </c>
      <c r="H656" s="1425" t="s">
        <v>2680</v>
      </c>
      <c r="I656" s="1426"/>
      <c r="J656" s="1426"/>
      <c r="K656" s="1426"/>
      <c r="L656" s="1426"/>
      <c r="M656" s="1426"/>
      <c r="N656" s="1426"/>
      <c r="O656" s="1426"/>
      <c r="P656" s="1426"/>
      <c r="Q656" s="1426"/>
      <c r="R656" s="1426"/>
      <c r="S656" s="8"/>
      <c r="T656" s="22"/>
      <c r="U656" t="s">
        <v>18</v>
      </c>
      <c r="AA656" s="1425" t="s">
        <v>2264</v>
      </c>
      <c r="AB656" s="1426"/>
      <c r="AC656" s="1426"/>
      <c r="AD656" s="1426"/>
      <c r="AE656" s="1426"/>
      <c r="AF656" s="1426"/>
      <c r="AG656" s="1426"/>
      <c r="AH656" s="1426"/>
      <c r="AI656" s="1426"/>
      <c r="AJ656" s="1426"/>
      <c r="AK656" s="1426"/>
      <c r="AZ656" s="34"/>
      <c r="BA656" s="34"/>
      <c r="BB656" s="34"/>
      <c r="BC656" s="34"/>
      <c r="BD656" s="34"/>
      <c r="BE656" s="34"/>
      <c r="BF656" s="34"/>
      <c r="BG656" s="34"/>
      <c r="BH656" s="34"/>
      <c r="BI656" s="34"/>
      <c r="BJ656" s="34"/>
      <c r="BK656" s="34"/>
      <c r="BL656" s="34"/>
      <c r="BM656" s="34"/>
      <c r="DX656" s="1367" t="e">
        <f t="shared" si="4"/>
        <v>#VALUE!</v>
      </c>
      <c r="DY656" s="1367"/>
      <c r="DZ656" s="1367"/>
      <c r="EA656" s="1367"/>
      <c r="EB656" s="1367"/>
      <c r="EC656" s="1367" t="e">
        <f t="shared" si="5"/>
        <v>#VALUE!</v>
      </c>
      <c r="ED656" s="1367"/>
      <c r="EE656" s="1367"/>
      <c r="EF656" s="1367"/>
      <c r="EG656" s="1367"/>
      <c r="EH656" s="1367" t="e">
        <f t="shared" si="6"/>
        <v>#VALUE!</v>
      </c>
      <c r="EI656" s="1367"/>
      <c r="EJ656" s="1367"/>
      <c r="EK656" s="1367"/>
      <c r="EL656" s="1367"/>
      <c r="EM656" s="1367" t="e">
        <f t="shared" si="7"/>
        <v>#VALUE!</v>
      </c>
      <c r="EN656" s="1367"/>
      <c r="EO656" s="1367"/>
      <c r="EP656" s="1367"/>
      <c r="EQ656" s="1367"/>
      <c r="ER656" s="1367" t="e">
        <f t="shared" si="8"/>
        <v>#VALUE!</v>
      </c>
      <c r="ES656" s="1367"/>
      <c r="ET656" s="1367"/>
      <c r="EU656" s="1367"/>
      <c r="EV656" s="1367"/>
      <c r="EW656" s="1367" t="e">
        <f t="shared" si="9"/>
        <v>#VALUE!</v>
      </c>
      <c r="EX656" s="1367"/>
      <c r="EY656" s="1367"/>
      <c r="EZ656" s="1367"/>
      <c r="FA656" s="1367"/>
    </row>
    <row r="657" spans="1:157" ht="12.95" customHeight="1">
      <c r="A657" s="22"/>
      <c r="B657" t="s">
        <v>20</v>
      </c>
      <c r="N657" s="1380" t="s">
        <v>545</v>
      </c>
      <c r="O657" s="1380"/>
      <c r="T657" s="22"/>
      <c r="U657" t="s">
        <v>20</v>
      </c>
      <c r="AG657" s="1380" t="s">
        <v>545</v>
      </c>
      <c r="AH657" s="1380"/>
      <c r="AZ657" s="34"/>
      <c r="BA657" s="34"/>
      <c r="BB657" s="34"/>
      <c r="BC657" s="34"/>
      <c r="BD657" s="34"/>
      <c r="BE657" s="34"/>
      <c r="BF657" s="34"/>
      <c r="BG657" s="34"/>
      <c r="BH657" s="34"/>
      <c r="BI657" s="34"/>
      <c r="BJ657" s="34"/>
      <c r="BK657" s="34"/>
      <c r="BL657" s="34"/>
      <c r="BM657" s="34"/>
      <c r="DX657" s="1367" t="e">
        <f t="shared" si="4"/>
        <v>#VALUE!</v>
      </c>
      <c r="DY657" s="1367"/>
      <c r="DZ657" s="1367"/>
      <c r="EA657" s="1367"/>
      <c r="EB657" s="1367"/>
      <c r="EC657" s="1367" t="e">
        <f t="shared" si="5"/>
        <v>#VALUE!</v>
      </c>
      <c r="ED657" s="1367"/>
      <c r="EE657" s="1367"/>
      <c r="EF657" s="1367"/>
      <c r="EG657" s="1367"/>
      <c r="EH657" s="1367" t="e">
        <f t="shared" si="6"/>
        <v>#VALUE!</v>
      </c>
      <c r="EI657" s="1367"/>
      <c r="EJ657" s="1367"/>
      <c r="EK657" s="1367"/>
      <c r="EL657" s="1367"/>
      <c r="EM657" s="1367" t="e">
        <f t="shared" si="7"/>
        <v>#VALUE!</v>
      </c>
      <c r="EN657" s="1367"/>
      <c r="EO657" s="1367"/>
      <c r="EP657" s="1367"/>
      <c r="EQ657" s="1367"/>
      <c r="ER657" s="1367" t="e">
        <f t="shared" si="8"/>
        <v>#VALUE!</v>
      </c>
      <c r="ES657" s="1367"/>
      <c r="ET657" s="1367"/>
      <c r="EU657" s="1367"/>
      <c r="EV657" s="1367"/>
      <c r="EW657" s="1367" t="e">
        <f t="shared" si="9"/>
        <v>#VALUE!</v>
      </c>
      <c r="EX657" s="1367"/>
      <c r="EY657" s="1367"/>
      <c r="EZ657" s="1367"/>
      <c r="FA657" s="1367"/>
    </row>
    <row r="658" spans="1:157" ht="12.95" customHeight="1">
      <c r="A658" s="22"/>
      <c r="T658" s="22"/>
      <c r="AZ658" s="34"/>
      <c r="BA658" s="34"/>
      <c r="BB658" s="34"/>
      <c r="BC658" s="34"/>
      <c r="BD658" s="34"/>
      <c r="BE658" s="34"/>
      <c r="BF658" s="34"/>
      <c r="BG658" s="34"/>
      <c r="BH658" s="34"/>
      <c r="BI658" s="34"/>
      <c r="BJ658" s="34"/>
      <c r="BK658" s="34"/>
      <c r="BL658" s="34"/>
      <c r="BM658" s="34"/>
      <c r="DX658" s="1367" t="e">
        <f t="shared" si="4"/>
        <v>#VALUE!</v>
      </c>
      <c r="DY658" s="1367"/>
      <c r="DZ658" s="1367"/>
      <c r="EA658" s="1367"/>
      <c r="EB658" s="1367"/>
      <c r="EC658" s="1367" t="e">
        <f t="shared" si="5"/>
        <v>#VALUE!</v>
      </c>
      <c r="ED658" s="1367"/>
      <c r="EE658" s="1367"/>
      <c r="EF658" s="1367"/>
      <c r="EG658" s="1367"/>
      <c r="EH658" s="1367" t="e">
        <f t="shared" si="6"/>
        <v>#VALUE!</v>
      </c>
      <c r="EI658" s="1367"/>
      <c r="EJ658" s="1367"/>
      <c r="EK658" s="1367"/>
      <c r="EL658" s="1367"/>
      <c r="EM658" s="1367" t="e">
        <f t="shared" si="7"/>
        <v>#VALUE!</v>
      </c>
      <c r="EN658" s="1367"/>
      <c r="EO658" s="1367"/>
      <c r="EP658" s="1367"/>
      <c r="EQ658" s="1367"/>
      <c r="ER658" s="1367" t="e">
        <f t="shared" si="8"/>
        <v>#VALUE!</v>
      </c>
      <c r="ES658" s="1367"/>
      <c r="ET658" s="1367"/>
      <c r="EU658" s="1367"/>
      <c r="EV658" s="1367"/>
      <c r="EW658" s="1367" t="e">
        <f t="shared" si="9"/>
        <v>#VALUE!</v>
      </c>
      <c r="EX658" s="1367"/>
      <c r="EY658" s="1367"/>
      <c r="EZ658" s="1367"/>
      <c r="FA658" s="1367"/>
    </row>
    <row r="659" spans="1:157" ht="12.95" customHeight="1">
      <c r="A659" s="55" t="s">
        <v>119</v>
      </c>
      <c r="B659" t="s">
        <v>463</v>
      </c>
      <c r="G659" s="1370">
        <f>C637</f>
        <v>0</v>
      </c>
      <c r="H659" s="1370"/>
      <c r="I659" s="1370"/>
      <c r="J659" s="1370"/>
      <c r="K659" s="1370"/>
      <c r="L659" s="1370"/>
      <c r="M659" s="1370"/>
      <c r="N659" s="1370"/>
      <c r="O659" s="1370"/>
      <c r="P659" s="1370"/>
      <c r="Q659" s="1370"/>
      <c r="R659" s="1370"/>
      <c r="T659" s="55" t="s">
        <v>581</v>
      </c>
      <c r="U659" t="s">
        <v>463</v>
      </c>
      <c r="Z659" s="1370">
        <f>C638</f>
        <v>0</v>
      </c>
      <c r="AA659" s="1370"/>
      <c r="AB659" s="1370"/>
      <c r="AC659" s="1370"/>
      <c r="AD659" s="1370"/>
      <c r="AE659" s="1370"/>
      <c r="AF659" s="1370"/>
      <c r="AG659" s="1370"/>
      <c r="AH659" s="1370"/>
      <c r="AI659" s="1370"/>
      <c r="AJ659" s="1370"/>
      <c r="AK659" s="1370"/>
      <c r="AZ659" s="34"/>
      <c r="BA659" s="34"/>
      <c r="BB659" s="34"/>
      <c r="BC659" s="34"/>
      <c r="BD659" s="34"/>
      <c r="BE659" s="34"/>
      <c r="BF659" s="34"/>
      <c r="BG659" s="34"/>
      <c r="BH659" s="34"/>
      <c r="BI659" s="34"/>
      <c r="BJ659" s="34"/>
      <c r="BK659" s="34"/>
      <c r="BL659" s="34"/>
      <c r="BM659" s="34"/>
      <c r="DX659" s="1367" t="e">
        <f t="shared" si="4"/>
        <v>#VALUE!</v>
      </c>
      <c r="DY659" s="1367"/>
      <c r="DZ659" s="1367"/>
      <c r="EA659" s="1367"/>
      <c r="EB659" s="1367"/>
      <c r="EC659" s="1367" t="e">
        <f t="shared" si="5"/>
        <v>#VALUE!</v>
      </c>
      <c r="ED659" s="1367"/>
      <c r="EE659" s="1367"/>
      <c r="EF659" s="1367"/>
      <c r="EG659" s="1367"/>
      <c r="EH659" s="1367" t="e">
        <f t="shared" si="6"/>
        <v>#VALUE!</v>
      </c>
      <c r="EI659" s="1367"/>
      <c r="EJ659" s="1367"/>
      <c r="EK659" s="1367"/>
      <c r="EL659" s="1367"/>
      <c r="EM659" s="1367" t="e">
        <f t="shared" si="7"/>
        <v>#VALUE!</v>
      </c>
      <c r="EN659" s="1367"/>
      <c r="EO659" s="1367"/>
      <c r="EP659" s="1367"/>
      <c r="EQ659" s="1367"/>
      <c r="ER659" s="1367" t="e">
        <f t="shared" si="8"/>
        <v>#VALUE!</v>
      </c>
      <c r="ES659" s="1367"/>
      <c r="ET659" s="1367"/>
      <c r="EU659" s="1367"/>
      <c r="EV659" s="1367"/>
      <c r="EW659" s="1367" t="e">
        <f t="shared" si="9"/>
        <v>#VALUE!</v>
      </c>
      <c r="EX659" s="1367"/>
      <c r="EY659" s="1367"/>
      <c r="EZ659" s="1367"/>
      <c r="FA659" s="1367"/>
    </row>
    <row r="660" spans="1:157" ht="12.95" customHeight="1">
      <c r="A660" s="22"/>
      <c r="B660" t="s">
        <v>85</v>
      </c>
      <c r="G660" s="1426"/>
      <c r="H660" s="1426"/>
      <c r="I660" s="1426"/>
      <c r="J660" s="1426"/>
      <c r="K660" s="1426"/>
      <c r="L660" s="1426"/>
      <c r="M660" s="1426"/>
      <c r="N660" s="1426"/>
      <c r="O660" s="1426"/>
      <c r="P660" s="1426"/>
      <c r="Q660" s="1426"/>
      <c r="R660" s="1426"/>
      <c r="T660" s="22"/>
      <c r="U660" t="s">
        <v>85</v>
      </c>
      <c r="Z660" s="1426"/>
      <c r="AA660" s="1426"/>
      <c r="AB660" s="1426"/>
      <c r="AC660" s="1426"/>
      <c r="AD660" s="1426"/>
      <c r="AE660" s="1426"/>
      <c r="AF660" s="1426"/>
      <c r="AG660" s="1426"/>
      <c r="AH660" s="1426"/>
      <c r="AI660" s="1426"/>
      <c r="AJ660" s="1426"/>
      <c r="AK660" s="1426"/>
      <c r="AZ660" s="34"/>
      <c r="BA660" s="34"/>
      <c r="BB660" s="34"/>
      <c r="BC660" s="34"/>
      <c r="BD660" s="34"/>
      <c r="BE660" s="34"/>
      <c r="BF660" s="34"/>
      <c r="BG660" s="34"/>
      <c r="BH660" s="34"/>
      <c r="BI660" s="34"/>
      <c r="BJ660" s="34"/>
      <c r="BK660" s="34"/>
      <c r="BL660" s="34"/>
      <c r="BM660" s="34"/>
      <c r="DX660" s="1367" t="e">
        <f t="shared" si="4"/>
        <v>#VALUE!</v>
      </c>
      <c r="DY660" s="1367"/>
      <c r="DZ660" s="1367"/>
      <c r="EA660" s="1367"/>
      <c r="EB660" s="1367"/>
      <c r="EC660" s="1367" t="e">
        <f t="shared" si="5"/>
        <v>#VALUE!</v>
      </c>
      <c r="ED660" s="1367"/>
      <c r="EE660" s="1367"/>
      <c r="EF660" s="1367"/>
      <c r="EG660" s="1367"/>
      <c r="EH660" s="1367" t="e">
        <f t="shared" si="6"/>
        <v>#VALUE!</v>
      </c>
      <c r="EI660" s="1367"/>
      <c r="EJ660" s="1367"/>
      <c r="EK660" s="1367"/>
      <c r="EL660" s="1367"/>
      <c r="EM660" s="1367" t="e">
        <f t="shared" si="7"/>
        <v>#VALUE!</v>
      </c>
      <c r="EN660" s="1367"/>
      <c r="EO660" s="1367"/>
      <c r="EP660" s="1367"/>
      <c r="EQ660" s="1367"/>
      <c r="ER660" s="1367" t="e">
        <f t="shared" si="8"/>
        <v>#VALUE!</v>
      </c>
      <c r="ES660" s="1367"/>
      <c r="ET660" s="1367"/>
      <c r="EU660" s="1367"/>
      <c r="EV660" s="1367"/>
      <c r="EW660" s="1367" t="e">
        <f t="shared" si="9"/>
        <v>#VALUE!</v>
      </c>
      <c r="EX660" s="1367"/>
      <c r="EY660" s="1367"/>
      <c r="EZ660" s="1367"/>
      <c r="FA660" s="1367"/>
    </row>
    <row r="661" spans="1:157" ht="12.95" customHeight="1">
      <c r="A661" s="22"/>
      <c r="B661" t="s">
        <v>580</v>
      </c>
      <c r="G661" s="1368"/>
      <c r="H661" s="1368"/>
      <c r="I661" s="1368"/>
      <c r="J661" s="1368"/>
      <c r="K661" s="1368"/>
      <c r="L661" s="1368"/>
      <c r="M661" s="1368"/>
      <c r="N661" s="1368"/>
      <c r="O661" s="1368"/>
      <c r="P661" s="1368"/>
      <c r="Q661" s="1368"/>
      <c r="R661" s="1368"/>
      <c r="T661" s="22"/>
      <c r="U661" t="s">
        <v>580</v>
      </c>
      <c r="Z661" s="1368"/>
      <c r="AA661" s="1368"/>
      <c r="AB661" s="1368"/>
      <c r="AC661" s="1368"/>
      <c r="AD661" s="1368"/>
      <c r="AE661" s="1368"/>
      <c r="AF661" s="1368"/>
      <c r="AG661" s="1368"/>
      <c r="AH661" s="1368"/>
      <c r="AI661" s="1368"/>
      <c r="AJ661" s="1368"/>
      <c r="AK661" s="1368"/>
      <c r="AZ661" s="34"/>
      <c r="BA661" s="34"/>
      <c r="BB661" s="34"/>
      <c r="BC661" s="34"/>
      <c r="BD661" s="34"/>
      <c r="BE661" s="34"/>
      <c r="BF661" s="34"/>
      <c r="BG661" s="34"/>
      <c r="BH661" s="34"/>
      <c r="BI661" s="34"/>
      <c r="BJ661" s="34"/>
      <c r="BK661" s="34"/>
      <c r="BL661" s="34"/>
      <c r="BM661" s="34"/>
      <c r="DX661" s="1367" t="e">
        <f t="shared" si="4"/>
        <v>#VALUE!</v>
      </c>
      <c r="DY661" s="1367"/>
      <c r="DZ661" s="1367"/>
      <c r="EA661" s="1367"/>
      <c r="EB661" s="1367"/>
      <c r="EC661" s="1367" t="e">
        <f t="shared" si="5"/>
        <v>#VALUE!</v>
      </c>
      <c r="ED661" s="1367"/>
      <c r="EE661" s="1367"/>
      <c r="EF661" s="1367"/>
      <c r="EG661" s="1367"/>
      <c r="EH661" s="1367" t="e">
        <f t="shared" si="6"/>
        <v>#VALUE!</v>
      </c>
      <c r="EI661" s="1367"/>
      <c r="EJ661" s="1367"/>
      <c r="EK661" s="1367"/>
      <c r="EL661" s="1367"/>
      <c r="EM661" s="1367" t="e">
        <f t="shared" si="7"/>
        <v>#VALUE!</v>
      </c>
      <c r="EN661" s="1367"/>
      <c r="EO661" s="1367"/>
      <c r="EP661" s="1367"/>
      <c r="EQ661" s="1367"/>
      <c r="ER661" s="1367" t="e">
        <f t="shared" si="8"/>
        <v>#VALUE!</v>
      </c>
      <c r="ES661" s="1367"/>
      <c r="ET661" s="1367"/>
      <c r="EU661" s="1367"/>
      <c r="EV661" s="1367"/>
      <c r="EW661" s="1367" t="e">
        <f t="shared" si="9"/>
        <v>#VALUE!</v>
      </c>
      <c r="EX661" s="1367"/>
      <c r="EY661" s="1367"/>
      <c r="EZ661" s="1367"/>
      <c r="FA661" s="1367"/>
    </row>
    <row r="662" spans="1:157" ht="12.95" customHeight="1">
      <c r="A662" s="22"/>
      <c r="B662" t="s">
        <v>17</v>
      </c>
      <c r="G662" s="1368"/>
      <c r="H662" s="1368"/>
      <c r="I662" s="1368"/>
      <c r="J662" s="1368"/>
      <c r="K662" s="1368"/>
      <c r="L662" s="1368"/>
      <c r="M662" s="1368"/>
      <c r="N662" s="1368"/>
      <c r="O662" s="1368"/>
      <c r="P662" s="1368"/>
      <c r="Q662" s="1368"/>
      <c r="R662" s="1368"/>
      <c r="T662" s="22"/>
      <c r="U662" t="s">
        <v>17</v>
      </c>
      <c r="Z662" s="1368"/>
      <c r="AA662" s="1368"/>
      <c r="AB662" s="1368"/>
      <c r="AC662" s="1368"/>
      <c r="AD662" s="1368"/>
      <c r="AE662" s="1368"/>
      <c r="AF662" s="1368"/>
      <c r="AG662" s="1368"/>
      <c r="AH662" s="1368"/>
      <c r="AI662" s="1368"/>
      <c r="AJ662" s="1368"/>
      <c r="AK662" s="1368"/>
      <c r="AZ662" s="34"/>
      <c r="BA662" s="34"/>
      <c r="BB662" s="34"/>
      <c r="BC662" s="34"/>
      <c r="BD662" s="34"/>
      <c r="BE662" s="34"/>
      <c r="BF662" s="34"/>
      <c r="BG662" s="34"/>
      <c r="BH662" s="34"/>
      <c r="BI662" s="34"/>
      <c r="BJ662" s="34"/>
      <c r="BK662" s="34"/>
      <c r="BL662" s="34"/>
      <c r="BM662" s="34"/>
      <c r="DX662" s="1367" t="e">
        <f t="shared" si="4"/>
        <v>#VALUE!</v>
      </c>
      <c r="DY662" s="1367"/>
      <c r="DZ662" s="1367"/>
      <c r="EA662" s="1367"/>
      <c r="EB662" s="1367"/>
      <c r="EC662" s="1367" t="e">
        <f t="shared" si="5"/>
        <v>#VALUE!</v>
      </c>
      <c r="ED662" s="1367"/>
      <c r="EE662" s="1367"/>
      <c r="EF662" s="1367"/>
      <c r="EG662" s="1367"/>
      <c r="EH662" s="1367" t="e">
        <f t="shared" si="6"/>
        <v>#VALUE!</v>
      </c>
      <c r="EI662" s="1367"/>
      <c r="EJ662" s="1367"/>
      <c r="EK662" s="1367"/>
      <c r="EL662" s="1367"/>
      <c r="EM662" s="1367" t="e">
        <f t="shared" si="7"/>
        <v>#VALUE!</v>
      </c>
      <c r="EN662" s="1367"/>
      <c r="EO662" s="1367"/>
      <c r="EP662" s="1367"/>
      <c r="EQ662" s="1367"/>
      <c r="ER662" s="1367" t="e">
        <f t="shared" si="8"/>
        <v>#VALUE!</v>
      </c>
      <c r="ES662" s="1367"/>
      <c r="ET662" s="1367"/>
      <c r="EU662" s="1367"/>
      <c r="EV662" s="1367"/>
      <c r="EW662" s="1367" t="e">
        <f t="shared" si="9"/>
        <v>#VALUE!</v>
      </c>
      <c r="EX662" s="1367"/>
      <c r="EY662" s="1367"/>
      <c r="EZ662" s="1367"/>
      <c r="FA662" s="1367"/>
    </row>
    <row r="663" spans="1:157" ht="12.95" customHeight="1">
      <c r="A663" s="22"/>
      <c r="B663" t="s">
        <v>316</v>
      </c>
      <c r="G663" s="1385"/>
      <c r="H663" s="1385"/>
      <c r="I663" s="1385"/>
      <c r="J663" s="1385"/>
      <c r="K663" s="1385"/>
      <c r="L663" s="1385"/>
      <c r="O663" s="33" t="s">
        <v>206</v>
      </c>
      <c r="P663" s="1369"/>
      <c r="Q663" s="1369"/>
      <c r="R663" s="1369"/>
      <c r="T663" s="22"/>
      <c r="U663" t="s">
        <v>316</v>
      </c>
      <c r="Z663" s="1385"/>
      <c r="AA663" s="1385"/>
      <c r="AB663" s="1385"/>
      <c r="AC663" s="1385"/>
      <c r="AD663" s="1385"/>
      <c r="AE663" s="1385"/>
      <c r="AH663" s="33" t="s">
        <v>206</v>
      </c>
      <c r="AI663" s="1369"/>
      <c r="AJ663" s="1369"/>
      <c r="AK663" s="1369"/>
      <c r="AZ663" s="34"/>
      <c r="BA663" s="34"/>
      <c r="BB663" s="34"/>
      <c r="BC663" s="34"/>
      <c r="BD663" s="34"/>
      <c r="BE663" s="34"/>
      <c r="BF663" s="34"/>
      <c r="BG663" s="34"/>
      <c r="BH663" s="34"/>
      <c r="BI663" s="34"/>
      <c r="BJ663" s="34"/>
      <c r="BK663" s="34"/>
      <c r="BL663" s="34"/>
      <c r="BM663" s="34"/>
      <c r="DX663" s="1367" t="e">
        <f t="shared" si="4"/>
        <v>#VALUE!</v>
      </c>
      <c r="DY663" s="1367"/>
      <c r="DZ663" s="1367"/>
      <c r="EA663" s="1367"/>
      <c r="EB663" s="1367"/>
      <c r="EC663" s="1367" t="e">
        <f t="shared" si="5"/>
        <v>#VALUE!</v>
      </c>
      <c r="ED663" s="1367"/>
      <c r="EE663" s="1367"/>
      <c r="EF663" s="1367"/>
      <c r="EG663" s="1367"/>
      <c r="EH663" s="1367" t="e">
        <f t="shared" si="6"/>
        <v>#VALUE!</v>
      </c>
      <c r="EI663" s="1367"/>
      <c r="EJ663" s="1367"/>
      <c r="EK663" s="1367"/>
      <c r="EL663" s="1367"/>
      <c r="EM663" s="1367" t="e">
        <f t="shared" si="7"/>
        <v>#VALUE!</v>
      </c>
      <c r="EN663" s="1367"/>
      <c r="EO663" s="1367"/>
      <c r="EP663" s="1367"/>
      <c r="EQ663" s="1367"/>
      <c r="ER663" s="1367" t="e">
        <f t="shared" si="8"/>
        <v>#VALUE!</v>
      </c>
      <c r="ES663" s="1367"/>
      <c r="ET663" s="1367"/>
      <c r="EU663" s="1367"/>
      <c r="EV663" s="1367"/>
      <c r="EW663" s="1367" t="e">
        <f t="shared" si="9"/>
        <v>#VALUE!</v>
      </c>
      <c r="EX663" s="1367"/>
      <c r="EY663" s="1367"/>
      <c r="EZ663" s="1367"/>
      <c r="FA663" s="1367"/>
    </row>
    <row r="664" spans="1:157" ht="12.95" customHeight="1">
      <c r="A664" s="22"/>
      <c r="B664" t="s">
        <v>18</v>
      </c>
      <c r="H664" s="1426"/>
      <c r="I664" s="1426"/>
      <c r="J664" s="1426"/>
      <c r="K664" s="1426"/>
      <c r="L664" s="1426"/>
      <c r="M664" s="1426"/>
      <c r="N664" s="1426"/>
      <c r="O664" s="1426"/>
      <c r="P664" s="1426"/>
      <c r="Q664" s="1426"/>
      <c r="R664" s="1426"/>
      <c r="T664" s="22"/>
      <c r="U664" t="s">
        <v>18</v>
      </c>
      <c r="AA664" s="1426"/>
      <c r="AB664" s="1426"/>
      <c r="AC664" s="1426"/>
      <c r="AD664" s="1426"/>
      <c r="AE664" s="1426"/>
      <c r="AF664" s="1426"/>
      <c r="AG664" s="1426"/>
      <c r="AH664" s="1426"/>
      <c r="AI664" s="1426"/>
      <c r="AJ664" s="1426"/>
      <c r="AK664" s="1426"/>
      <c r="AZ664" s="34"/>
      <c r="BA664" s="34"/>
      <c r="BB664" s="34"/>
      <c r="BC664" s="34"/>
      <c r="BD664" s="34"/>
      <c r="BE664" s="34"/>
      <c r="BF664" s="34"/>
      <c r="BG664" s="34"/>
      <c r="BH664" s="34"/>
      <c r="BI664" s="34"/>
      <c r="BJ664" s="34"/>
      <c r="BK664" s="34"/>
      <c r="BL664" s="34"/>
      <c r="BM664" s="34"/>
      <c r="DX664" s="1367" t="e">
        <f t="shared" si="4"/>
        <v>#VALUE!</v>
      </c>
      <c r="DY664" s="1367"/>
      <c r="DZ664" s="1367"/>
      <c r="EA664" s="1367"/>
      <c r="EB664" s="1367"/>
      <c r="EC664" s="1367" t="e">
        <f t="shared" si="5"/>
        <v>#VALUE!</v>
      </c>
      <c r="ED664" s="1367"/>
      <c r="EE664" s="1367"/>
      <c r="EF664" s="1367"/>
      <c r="EG664" s="1367"/>
      <c r="EH664" s="1367" t="e">
        <f t="shared" si="6"/>
        <v>#VALUE!</v>
      </c>
      <c r="EI664" s="1367"/>
      <c r="EJ664" s="1367"/>
      <c r="EK664" s="1367"/>
      <c r="EL664" s="1367"/>
      <c r="EM664" s="1367" t="e">
        <f t="shared" si="7"/>
        <v>#VALUE!</v>
      </c>
      <c r="EN664" s="1367"/>
      <c r="EO664" s="1367"/>
      <c r="EP664" s="1367"/>
      <c r="EQ664" s="1367"/>
      <c r="ER664" s="1367" t="e">
        <f t="shared" si="8"/>
        <v>#VALUE!</v>
      </c>
      <c r="ES664" s="1367"/>
      <c r="ET664" s="1367"/>
      <c r="EU664" s="1367"/>
      <c r="EV664" s="1367"/>
      <c r="EW664" s="1367" t="e">
        <f t="shared" si="9"/>
        <v>#VALUE!</v>
      </c>
      <c r="EX664" s="1367"/>
      <c r="EY664" s="1367"/>
      <c r="EZ664" s="1367"/>
      <c r="FA664" s="1367"/>
    </row>
    <row r="665" spans="1:157" ht="12.95" customHeight="1">
      <c r="A665" s="22"/>
      <c r="B665" t="s">
        <v>20</v>
      </c>
      <c r="N665" s="1380" t="s">
        <v>669</v>
      </c>
      <c r="O665" s="1380"/>
      <c r="T665" s="22"/>
      <c r="U665" t="s">
        <v>20</v>
      </c>
      <c r="AG665" s="1380" t="s">
        <v>669</v>
      </c>
      <c r="AH665" s="1380"/>
      <c r="AZ665" s="34"/>
      <c r="BA665" s="34"/>
      <c r="BB665" s="34"/>
      <c r="BC665" s="34"/>
      <c r="BD665" s="34"/>
      <c r="BE665" s="34"/>
      <c r="BF665" s="34"/>
      <c r="BG665" s="34"/>
      <c r="BH665" s="34"/>
      <c r="BI665" s="34"/>
      <c r="BJ665" s="34"/>
      <c r="BK665" s="34"/>
      <c r="BL665" s="34"/>
      <c r="BM665" s="34"/>
      <c r="DX665" s="1367" t="e">
        <f t="shared" si="4"/>
        <v>#VALUE!</v>
      </c>
      <c r="DY665" s="1367"/>
      <c r="DZ665" s="1367"/>
      <c r="EA665" s="1367"/>
      <c r="EB665" s="1367"/>
      <c r="EC665" s="1367" t="e">
        <f t="shared" si="5"/>
        <v>#VALUE!</v>
      </c>
      <c r="ED665" s="1367"/>
      <c r="EE665" s="1367"/>
      <c r="EF665" s="1367"/>
      <c r="EG665" s="1367"/>
      <c r="EH665" s="1367" t="e">
        <f t="shared" si="6"/>
        <v>#VALUE!</v>
      </c>
      <c r="EI665" s="1367"/>
      <c r="EJ665" s="1367"/>
      <c r="EK665" s="1367"/>
      <c r="EL665" s="1367"/>
      <c r="EM665" s="1367" t="e">
        <f t="shared" si="7"/>
        <v>#VALUE!</v>
      </c>
      <c r="EN665" s="1367"/>
      <c r="EO665" s="1367"/>
      <c r="EP665" s="1367"/>
      <c r="EQ665" s="1367"/>
      <c r="ER665" s="1367" t="e">
        <f t="shared" si="8"/>
        <v>#VALUE!</v>
      </c>
      <c r="ES665" s="1367"/>
      <c r="ET665" s="1367"/>
      <c r="EU665" s="1367"/>
      <c r="EV665" s="1367"/>
      <c r="EW665" s="1367" t="e">
        <f t="shared" si="9"/>
        <v>#VALUE!</v>
      </c>
      <c r="EX665" s="1367"/>
      <c r="EY665" s="1367"/>
      <c r="EZ665" s="1367"/>
      <c r="FA665" s="1367"/>
    </row>
    <row r="666" spans="1:157" ht="12.95" customHeight="1">
      <c r="A666" s="22"/>
      <c r="T666" s="22"/>
      <c r="AZ666" s="34"/>
      <c r="BA666" s="34"/>
      <c r="BB666" s="34"/>
      <c r="BC666" s="34"/>
      <c r="BD666" s="34"/>
      <c r="BE666" s="34"/>
      <c r="BF666" s="34"/>
      <c r="BG666" s="34"/>
      <c r="BH666" s="34"/>
      <c r="BI666" s="34"/>
      <c r="BJ666" s="34"/>
      <c r="BK666" s="34"/>
      <c r="BL666" s="34"/>
      <c r="BM666" s="34"/>
      <c r="DX666" s="1367" t="e">
        <f t="shared" si="4"/>
        <v>#VALUE!</v>
      </c>
      <c r="DY666" s="1367"/>
      <c r="DZ666" s="1367"/>
      <c r="EA666" s="1367"/>
      <c r="EB666" s="1367"/>
      <c r="EC666" s="1367" t="e">
        <f t="shared" si="5"/>
        <v>#VALUE!</v>
      </c>
      <c r="ED666" s="1367"/>
      <c r="EE666" s="1367"/>
      <c r="EF666" s="1367"/>
      <c r="EG666" s="1367"/>
      <c r="EH666" s="1367" t="e">
        <f t="shared" si="6"/>
        <v>#VALUE!</v>
      </c>
      <c r="EI666" s="1367"/>
      <c r="EJ666" s="1367"/>
      <c r="EK666" s="1367"/>
      <c r="EL666" s="1367"/>
      <c r="EM666" s="1367" t="e">
        <f t="shared" si="7"/>
        <v>#VALUE!</v>
      </c>
      <c r="EN666" s="1367"/>
      <c r="EO666" s="1367"/>
      <c r="EP666" s="1367"/>
      <c r="EQ666" s="1367"/>
      <c r="ER666" s="1367" t="e">
        <f t="shared" si="8"/>
        <v>#VALUE!</v>
      </c>
      <c r="ES666" s="1367"/>
      <c r="ET666" s="1367"/>
      <c r="EU666" s="1367"/>
      <c r="EV666" s="1367"/>
      <c r="EW666" s="1367" t="e">
        <f t="shared" si="9"/>
        <v>#VALUE!</v>
      </c>
      <c r="EX666" s="1367"/>
      <c r="EY666" s="1367"/>
      <c r="EZ666" s="1367"/>
      <c r="FA666" s="1367"/>
    </row>
    <row r="667" spans="1:157" ht="12.95" customHeight="1">
      <c r="A667" s="55" t="s">
        <v>763</v>
      </c>
      <c r="B667" t="s">
        <v>463</v>
      </c>
      <c r="G667" s="1370">
        <f>C639</f>
        <v>0</v>
      </c>
      <c r="H667" s="1370"/>
      <c r="I667" s="1370"/>
      <c r="J667" s="1370"/>
      <c r="K667" s="1370"/>
      <c r="L667" s="1370"/>
      <c r="M667" s="1370"/>
      <c r="N667" s="1370"/>
      <c r="O667" s="1370"/>
      <c r="P667" s="1370"/>
      <c r="Q667" s="1370"/>
      <c r="R667" s="1370"/>
      <c r="T667" s="55" t="s">
        <v>584</v>
      </c>
      <c r="U667" t="s">
        <v>463</v>
      </c>
      <c r="Z667" s="1370">
        <f>C640</f>
        <v>0</v>
      </c>
      <c r="AA667" s="1370"/>
      <c r="AB667" s="1370"/>
      <c r="AC667" s="1370"/>
      <c r="AD667" s="1370"/>
      <c r="AE667" s="1370"/>
      <c r="AF667" s="1370"/>
      <c r="AG667" s="1370"/>
      <c r="AH667" s="1370"/>
      <c r="AI667" s="1370"/>
      <c r="AJ667" s="1370"/>
      <c r="AK667" s="1370"/>
      <c r="AZ667" s="34"/>
      <c r="BA667" s="34"/>
      <c r="BB667" s="34"/>
      <c r="BC667" s="34"/>
      <c r="BD667" s="34"/>
      <c r="BE667" s="34"/>
      <c r="BF667" s="34"/>
      <c r="BG667" s="34"/>
      <c r="BH667" s="34"/>
      <c r="BI667" s="34"/>
      <c r="BJ667" s="34"/>
      <c r="BK667" s="34"/>
      <c r="BL667" s="34"/>
      <c r="BM667" s="34"/>
      <c r="DX667" s="1367" t="e">
        <f t="shared" si="4"/>
        <v>#VALUE!</v>
      </c>
      <c r="DY667" s="1367"/>
      <c r="DZ667" s="1367"/>
      <c r="EA667" s="1367"/>
      <c r="EB667" s="1367"/>
      <c r="EC667" s="1367" t="e">
        <f t="shared" si="5"/>
        <v>#VALUE!</v>
      </c>
      <c r="ED667" s="1367"/>
      <c r="EE667" s="1367"/>
      <c r="EF667" s="1367"/>
      <c r="EG667" s="1367"/>
      <c r="EH667" s="1367" t="e">
        <f t="shared" si="6"/>
        <v>#VALUE!</v>
      </c>
      <c r="EI667" s="1367"/>
      <c r="EJ667" s="1367"/>
      <c r="EK667" s="1367"/>
      <c r="EL667" s="1367"/>
      <c r="EM667" s="1367" t="e">
        <f t="shared" si="7"/>
        <v>#VALUE!</v>
      </c>
      <c r="EN667" s="1367"/>
      <c r="EO667" s="1367"/>
      <c r="EP667" s="1367"/>
      <c r="EQ667" s="1367"/>
      <c r="ER667" s="1367" t="e">
        <f t="shared" si="8"/>
        <v>#VALUE!</v>
      </c>
      <c r="ES667" s="1367"/>
      <c r="ET667" s="1367"/>
      <c r="EU667" s="1367"/>
      <c r="EV667" s="1367"/>
      <c r="EW667" s="1367" t="e">
        <f t="shared" si="9"/>
        <v>#VALUE!</v>
      </c>
      <c r="EX667" s="1367"/>
      <c r="EY667" s="1367"/>
      <c r="EZ667" s="1367"/>
      <c r="FA667" s="1367"/>
    </row>
    <row r="668" spans="1:157" ht="12.95" customHeight="1">
      <c r="A668" s="22"/>
      <c r="B668" t="s">
        <v>85</v>
      </c>
      <c r="G668" s="1426"/>
      <c r="H668" s="1426"/>
      <c r="I668" s="1426"/>
      <c r="J668" s="1426"/>
      <c r="K668" s="1426"/>
      <c r="L668" s="1426"/>
      <c r="M668" s="1426"/>
      <c r="N668" s="1426"/>
      <c r="O668" s="1426"/>
      <c r="P668" s="1426"/>
      <c r="Q668" s="1426"/>
      <c r="R668" s="1426"/>
      <c r="T668" s="22"/>
      <c r="U668" t="s">
        <v>85</v>
      </c>
      <c r="Z668" s="1426"/>
      <c r="AA668" s="1426"/>
      <c r="AB668" s="1426"/>
      <c r="AC668" s="1426"/>
      <c r="AD668" s="1426"/>
      <c r="AE668" s="1426"/>
      <c r="AF668" s="1426"/>
      <c r="AG668" s="1426"/>
      <c r="AH668" s="1426"/>
      <c r="AI668" s="1426"/>
      <c r="AJ668" s="1426"/>
      <c r="AK668" s="1426"/>
      <c r="AZ668" s="34"/>
      <c r="BA668" s="34"/>
      <c r="BB668" s="34"/>
      <c r="BC668" s="34"/>
      <c r="BD668" s="34"/>
      <c r="BE668" s="34"/>
      <c r="BF668" s="34"/>
      <c r="BG668" s="34"/>
      <c r="BH668" s="34"/>
      <c r="BI668" s="34"/>
      <c r="BJ668" s="34"/>
      <c r="BK668" s="34"/>
      <c r="BL668" s="34"/>
      <c r="BM668" s="34"/>
      <c r="DX668" s="1367" t="e">
        <f t="shared" si="4"/>
        <v>#VALUE!</v>
      </c>
      <c r="DY668" s="1367"/>
      <c r="DZ668" s="1367"/>
      <c r="EA668" s="1367"/>
      <c r="EB668" s="1367"/>
      <c r="EC668" s="1367" t="e">
        <f t="shared" si="5"/>
        <v>#VALUE!</v>
      </c>
      <c r="ED668" s="1367"/>
      <c r="EE668" s="1367"/>
      <c r="EF668" s="1367"/>
      <c r="EG668" s="1367"/>
      <c r="EH668" s="1367" t="e">
        <f t="shared" si="6"/>
        <v>#VALUE!</v>
      </c>
      <c r="EI668" s="1367"/>
      <c r="EJ668" s="1367"/>
      <c r="EK668" s="1367"/>
      <c r="EL668" s="1367"/>
      <c r="EM668" s="1367" t="e">
        <f t="shared" si="7"/>
        <v>#VALUE!</v>
      </c>
      <c r="EN668" s="1367"/>
      <c r="EO668" s="1367"/>
      <c r="EP668" s="1367"/>
      <c r="EQ668" s="1367"/>
      <c r="ER668" s="1367" t="e">
        <f t="shared" si="8"/>
        <v>#VALUE!</v>
      </c>
      <c r="ES668" s="1367"/>
      <c r="ET668" s="1367"/>
      <c r="EU668" s="1367"/>
      <c r="EV668" s="1367"/>
      <c r="EW668" s="1367" t="e">
        <f t="shared" si="9"/>
        <v>#VALUE!</v>
      </c>
      <c r="EX668" s="1367"/>
      <c r="EY668" s="1367"/>
      <c r="EZ668" s="1367"/>
      <c r="FA668" s="1367"/>
    </row>
    <row r="669" spans="1:157" ht="12.95" customHeight="1">
      <c r="A669" s="22"/>
      <c r="B669" t="s">
        <v>580</v>
      </c>
      <c r="G669" s="1426"/>
      <c r="H669" s="1426"/>
      <c r="I669" s="1426"/>
      <c r="J669" s="1426"/>
      <c r="K669" s="1426"/>
      <c r="L669" s="1426"/>
      <c r="M669" s="1426"/>
      <c r="N669" s="1426"/>
      <c r="O669" s="1426"/>
      <c r="P669" s="1426"/>
      <c r="Q669" s="1426"/>
      <c r="R669" s="1426"/>
      <c r="T669" s="22"/>
      <c r="U669" t="s">
        <v>580</v>
      </c>
      <c r="Z669" s="1368"/>
      <c r="AA669" s="1368"/>
      <c r="AB669" s="1368"/>
      <c r="AC669" s="1368"/>
      <c r="AD669" s="1368"/>
      <c r="AE669" s="1368"/>
      <c r="AF669" s="1368"/>
      <c r="AG669" s="1368"/>
      <c r="AH669" s="1368"/>
      <c r="AI669" s="1368"/>
      <c r="AJ669" s="1368"/>
      <c r="AK669" s="1368"/>
      <c r="AZ669" s="34"/>
      <c r="BA669" s="34"/>
      <c r="BB669" s="34"/>
      <c r="BC669" s="34"/>
      <c r="BD669" s="34"/>
      <c r="BE669" s="34"/>
      <c r="BF669" s="34"/>
      <c r="BG669" s="34"/>
      <c r="BH669" s="34"/>
      <c r="BI669" s="34"/>
      <c r="BJ669" s="34"/>
      <c r="BK669" s="34"/>
      <c r="BL669" s="34"/>
      <c r="BM669" s="34"/>
      <c r="DX669" s="1367" t="e">
        <f t="shared" si="4"/>
        <v>#VALUE!</v>
      </c>
      <c r="DY669" s="1367"/>
      <c r="DZ669" s="1367"/>
      <c r="EA669" s="1367"/>
      <c r="EB669" s="1367"/>
      <c r="EC669" s="1367" t="e">
        <f t="shared" si="5"/>
        <v>#VALUE!</v>
      </c>
      <c r="ED669" s="1367"/>
      <c r="EE669" s="1367"/>
      <c r="EF669" s="1367"/>
      <c r="EG669" s="1367"/>
      <c r="EH669" s="1367" t="e">
        <f t="shared" si="6"/>
        <v>#VALUE!</v>
      </c>
      <c r="EI669" s="1367"/>
      <c r="EJ669" s="1367"/>
      <c r="EK669" s="1367"/>
      <c r="EL669" s="1367"/>
      <c r="EM669" s="1367" t="e">
        <f t="shared" si="7"/>
        <v>#VALUE!</v>
      </c>
      <c r="EN669" s="1367"/>
      <c r="EO669" s="1367"/>
      <c r="EP669" s="1367"/>
      <c r="EQ669" s="1367"/>
      <c r="ER669" s="1367" t="e">
        <f t="shared" si="8"/>
        <v>#VALUE!</v>
      </c>
      <c r="ES669" s="1367"/>
      <c r="ET669" s="1367"/>
      <c r="EU669" s="1367"/>
      <c r="EV669" s="1367"/>
      <c r="EW669" s="1367" t="e">
        <f t="shared" si="9"/>
        <v>#VALUE!</v>
      </c>
      <c r="EX669" s="1367"/>
      <c r="EY669" s="1367"/>
      <c r="EZ669" s="1367"/>
      <c r="FA669" s="1367"/>
    </row>
    <row r="670" spans="1:157" ht="12.95" customHeight="1">
      <c r="A670" s="22"/>
      <c r="B670" t="s">
        <v>17</v>
      </c>
      <c r="G670" s="1426"/>
      <c r="H670" s="1426"/>
      <c r="I670" s="1426"/>
      <c r="J670" s="1426"/>
      <c r="K670" s="1426"/>
      <c r="L670" s="1426"/>
      <c r="M670" s="1426"/>
      <c r="N670" s="1426"/>
      <c r="O670" s="1426"/>
      <c r="P670" s="1426"/>
      <c r="Q670" s="1426"/>
      <c r="R670" s="1426"/>
      <c r="T670" s="22"/>
      <c r="U670" t="s">
        <v>17</v>
      </c>
      <c r="Z670" s="1368"/>
      <c r="AA670" s="1368"/>
      <c r="AB670" s="1368"/>
      <c r="AC670" s="1368"/>
      <c r="AD670" s="1368"/>
      <c r="AE670" s="1368"/>
      <c r="AF670" s="1368"/>
      <c r="AG670" s="1368"/>
      <c r="AH670" s="1368"/>
      <c r="AI670" s="1368"/>
      <c r="AJ670" s="1368"/>
      <c r="AK670" s="1368"/>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67" t="e">
        <f t="shared" si="4"/>
        <v>#VALUE!</v>
      </c>
      <c r="DY670" s="1367"/>
      <c r="DZ670" s="1367"/>
      <c r="EA670" s="1367"/>
      <c r="EB670" s="1367"/>
      <c r="EC670" s="1367" t="e">
        <f t="shared" si="5"/>
        <v>#VALUE!</v>
      </c>
      <c r="ED670" s="1367"/>
      <c r="EE670" s="1367"/>
      <c r="EF670" s="1367"/>
      <c r="EG670" s="1367"/>
      <c r="EH670" s="1367" t="e">
        <f t="shared" si="6"/>
        <v>#VALUE!</v>
      </c>
      <c r="EI670" s="1367"/>
      <c r="EJ670" s="1367"/>
      <c r="EK670" s="1367"/>
      <c r="EL670" s="1367"/>
      <c r="EM670" s="1367" t="e">
        <f t="shared" si="7"/>
        <v>#VALUE!</v>
      </c>
      <c r="EN670" s="1367"/>
      <c r="EO670" s="1367"/>
      <c r="EP670" s="1367"/>
      <c r="EQ670" s="1367"/>
      <c r="ER670" s="1367" t="e">
        <f t="shared" si="8"/>
        <v>#VALUE!</v>
      </c>
      <c r="ES670" s="1367"/>
      <c r="ET670" s="1367"/>
      <c r="EU670" s="1367"/>
      <c r="EV670" s="1367"/>
      <c r="EW670" s="1367" t="e">
        <f t="shared" si="9"/>
        <v>#VALUE!</v>
      </c>
      <c r="EX670" s="1367"/>
      <c r="EY670" s="1367"/>
      <c r="EZ670" s="1367"/>
      <c r="FA670" s="1367"/>
    </row>
    <row r="671" spans="1:157" ht="12.95" customHeight="1">
      <c r="A671" s="22"/>
      <c r="B671" t="s">
        <v>316</v>
      </c>
      <c r="G671" s="1385"/>
      <c r="H671" s="1385"/>
      <c r="I671" s="1385"/>
      <c r="J671" s="1385"/>
      <c r="K671" s="1385"/>
      <c r="L671" s="1385"/>
      <c r="O671" s="33" t="s">
        <v>206</v>
      </c>
      <c r="P671" s="1369"/>
      <c r="Q671" s="1369"/>
      <c r="R671" s="1369"/>
      <c r="T671" s="22"/>
      <c r="U671" t="s">
        <v>316</v>
      </c>
      <c r="Z671" s="1385"/>
      <c r="AA671" s="1385"/>
      <c r="AB671" s="1385"/>
      <c r="AC671" s="1385"/>
      <c r="AD671" s="1385"/>
      <c r="AE671" s="1385"/>
      <c r="AH671" s="33" t="s">
        <v>206</v>
      </c>
      <c r="AI671" s="1369"/>
      <c r="AJ671" s="1369"/>
      <c r="AK671" s="1369"/>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67" t="e">
        <f t="shared" si="4"/>
        <v>#VALUE!</v>
      </c>
      <c r="DY671" s="1367"/>
      <c r="DZ671" s="1367"/>
      <c r="EA671" s="1367"/>
      <c r="EB671" s="1367"/>
      <c r="EC671" s="1367" t="e">
        <f t="shared" si="5"/>
        <v>#VALUE!</v>
      </c>
      <c r="ED671" s="1367"/>
      <c r="EE671" s="1367"/>
      <c r="EF671" s="1367"/>
      <c r="EG671" s="1367"/>
      <c r="EH671" s="1367" t="e">
        <f t="shared" si="6"/>
        <v>#VALUE!</v>
      </c>
      <c r="EI671" s="1367"/>
      <c r="EJ671" s="1367"/>
      <c r="EK671" s="1367"/>
      <c r="EL671" s="1367"/>
      <c r="EM671" s="1367" t="e">
        <f t="shared" si="7"/>
        <v>#VALUE!</v>
      </c>
      <c r="EN671" s="1367"/>
      <c r="EO671" s="1367"/>
      <c r="EP671" s="1367"/>
      <c r="EQ671" s="1367"/>
      <c r="ER671" s="1367" t="e">
        <f t="shared" si="8"/>
        <v>#VALUE!</v>
      </c>
      <c r="ES671" s="1367"/>
      <c r="ET671" s="1367"/>
      <c r="EU671" s="1367"/>
      <c r="EV671" s="1367"/>
      <c r="EW671" s="1367" t="e">
        <f t="shared" si="9"/>
        <v>#VALUE!</v>
      </c>
      <c r="EX671" s="1367"/>
      <c r="EY671" s="1367"/>
      <c r="EZ671" s="1367"/>
      <c r="FA671" s="1367"/>
    </row>
    <row r="672" spans="1:157" ht="12.95" customHeight="1">
      <c r="A672" s="22"/>
      <c r="B672" t="s">
        <v>18</v>
      </c>
      <c r="H672" s="1426"/>
      <c r="I672" s="1426"/>
      <c r="J672" s="1426"/>
      <c r="K672" s="1426"/>
      <c r="L672" s="1426"/>
      <c r="M672" s="1426"/>
      <c r="N672" s="1426"/>
      <c r="O672" s="1426"/>
      <c r="P672" s="1426"/>
      <c r="Q672" s="1426"/>
      <c r="R672" s="1426"/>
      <c r="T672" s="22"/>
      <c r="U672" t="s">
        <v>18</v>
      </c>
      <c r="AA672" s="1426"/>
      <c r="AB672" s="1426"/>
      <c r="AC672" s="1426"/>
      <c r="AD672" s="1426"/>
      <c r="AE672" s="1426"/>
      <c r="AF672" s="1426"/>
      <c r="AG672" s="1426"/>
      <c r="AH672" s="1426"/>
      <c r="AI672" s="1426"/>
      <c r="AJ672" s="1426"/>
      <c r="AK672" s="1426"/>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67" t="e">
        <f t="shared" si="4"/>
        <v>#VALUE!</v>
      </c>
      <c r="DY672" s="1367"/>
      <c r="DZ672" s="1367"/>
      <c r="EA672" s="1367"/>
      <c r="EB672" s="1367"/>
      <c r="EC672" s="1367" t="e">
        <f t="shared" si="5"/>
        <v>#VALUE!</v>
      </c>
      <c r="ED672" s="1367"/>
      <c r="EE672" s="1367"/>
      <c r="EF672" s="1367"/>
      <c r="EG672" s="1367"/>
      <c r="EH672" s="1367" t="e">
        <f t="shared" si="6"/>
        <v>#VALUE!</v>
      </c>
      <c r="EI672" s="1367"/>
      <c r="EJ672" s="1367"/>
      <c r="EK672" s="1367"/>
      <c r="EL672" s="1367"/>
      <c r="EM672" s="1367" t="e">
        <f t="shared" si="7"/>
        <v>#VALUE!</v>
      </c>
      <c r="EN672" s="1367"/>
      <c r="EO672" s="1367"/>
      <c r="EP672" s="1367"/>
      <c r="EQ672" s="1367"/>
      <c r="ER672" s="1367" t="e">
        <f t="shared" si="8"/>
        <v>#VALUE!</v>
      </c>
      <c r="ES672" s="1367"/>
      <c r="ET672" s="1367"/>
      <c r="EU672" s="1367"/>
      <c r="EV672" s="1367"/>
      <c r="EW672" s="1367" t="e">
        <f t="shared" si="9"/>
        <v>#VALUE!</v>
      </c>
      <c r="EX672" s="1367"/>
      <c r="EY672" s="1367"/>
      <c r="EZ672" s="1367"/>
      <c r="FA672" s="1367"/>
    </row>
    <row r="673" spans="1:157" ht="12.95" customHeight="1">
      <c r="A673" s="22"/>
      <c r="B673" t="s">
        <v>20</v>
      </c>
      <c r="N673" s="1380" t="s">
        <v>669</v>
      </c>
      <c r="O673" s="1380"/>
      <c r="T673" s="22"/>
      <c r="U673" t="s">
        <v>20</v>
      </c>
      <c r="AG673" s="1380" t="s">
        <v>669</v>
      </c>
      <c r="AH673" s="1380"/>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67" t="e">
        <f t="shared" si="4"/>
        <v>#VALUE!</v>
      </c>
      <c r="DY673" s="1367"/>
      <c r="DZ673" s="1367"/>
      <c r="EA673" s="1367"/>
      <c r="EB673" s="1367"/>
      <c r="EC673" s="1367" t="e">
        <f t="shared" si="5"/>
        <v>#VALUE!</v>
      </c>
      <c r="ED673" s="1367"/>
      <c r="EE673" s="1367"/>
      <c r="EF673" s="1367"/>
      <c r="EG673" s="1367"/>
      <c r="EH673" s="1367" t="e">
        <f t="shared" si="6"/>
        <v>#VALUE!</v>
      </c>
      <c r="EI673" s="1367"/>
      <c r="EJ673" s="1367"/>
      <c r="EK673" s="1367"/>
      <c r="EL673" s="1367"/>
      <c r="EM673" s="1367" t="e">
        <f t="shared" si="7"/>
        <v>#VALUE!</v>
      </c>
      <c r="EN673" s="1367"/>
      <c r="EO673" s="1367"/>
      <c r="EP673" s="1367"/>
      <c r="EQ673" s="1367"/>
      <c r="ER673" s="1367" t="e">
        <f t="shared" si="8"/>
        <v>#VALUE!</v>
      </c>
      <c r="ES673" s="1367"/>
      <c r="ET673" s="1367"/>
      <c r="EU673" s="1367"/>
      <c r="EV673" s="1367"/>
      <c r="EW673" s="1367" t="e">
        <f t="shared" si="9"/>
        <v>#VALUE!</v>
      </c>
      <c r="EX673" s="1367"/>
      <c r="EY673" s="1367"/>
      <c r="EZ673" s="1367"/>
      <c r="FA673" s="1367"/>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67" t="e">
        <f t="shared" si="4"/>
        <v>#VALUE!</v>
      </c>
      <c r="DY674" s="1367"/>
      <c r="DZ674" s="1367"/>
      <c r="EA674" s="1367"/>
      <c r="EB674" s="1367"/>
      <c r="EC674" s="1367" t="e">
        <f t="shared" si="5"/>
        <v>#VALUE!</v>
      </c>
      <c r="ED674" s="1367"/>
      <c r="EE674" s="1367"/>
      <c r="EF674" s="1367"/>
      <c r="EG674" s="1367"/>
      <c r="EH674" s="1367" t="e">
        <f t="shared" si="6"/>
        <v>#VALUE!</v>
      </c>
      <c r="EI674" s="1367"/>
      <c r="EJ674" s="1367"/>
      <c r="EK674" s="1367"/>
      <c r="EL674" s="1367"/>
      <c r="EM674" s="1367" t="e">
        <f t="shared" si="7"/>
        <v>#VALUE!</v>
      </c>
      <c r="EN674" s="1367"/>
      <c r="EO674" s="1367"/>
      <c r="EP674" s="1367"/>
      <c r="EQ674" s="1367"/>
      <c r="ER674" s="1367" t="e">
        <f t="shared" si="8"/>
        <v>#VALUE!</v>
      </c>
      <c r="ES674" s="1367"/>
      <c r="ET674" s="1367"/>
      <c r="EU674" s="1367"/>
      <c r="EV674" s="1367"/>
      <c r="EW674" s="1367" t="e">
        <f t="shared" si="9"/>
        <v>#VALUE!</v>
      </c>
      <c r="EX674" s="1367"/>
      <c r="EY674" s="1367"/>
      <c r="EZ674" s="1367"/>
      <c r="FA674" s="1367"/>
    </row>
    <row r="675" spans="1:157" ht="12.95" customHeight="1">
      <c r="A675" s="55" t="s">
        <v>455</v>
      </c>
      <c r="B675" t="s">
        <v>463</v>
      </c>
      <c r="G675" s="1370">
        <f>C641</f>
        <v>0</v>
      </c>
      <c r="H675" s="1370"/>
      <c r="I675" s="1370"/>
      <c r="J675" s="1370"/>
      <c r="K675" s="1370"/>
      <c r="L675" s="1370"/>
      <c r="M675" s="1370"/>
      <c r="N675" s="1370"/>
      <c r="O675" s="1370"/>
      <c r="P675" s="1370"/>
      <c r="Q675" s="1370"/>
      <c r="R675" s="1370"/>
      <c r="T675" s="55" t="s">
        <v>456</v>
      </c>
      <c r="U675" t="s">
        <v>463</v>
      </c>
      <c r="Z675" s="1370">
        <f>C642</f>
        <v>0</v>
      </c>
      <c r="AA675" s="1370"/>
      <c r="AB675" s="1370"/>
      <c r="AC675" s="1370"/>
      <c r="AD675" s="1370"/>
      <c r="AE675" s="1370"/>
      <c r="AF675" s="1370"/>
      <c r="AG675" s="1370"/>
      <c r="AH675" s="1370"/>
      <c r="AI675" s="1370"/>
      <c r="AJ675" s="1370"/>
      <c r="AK675" s="1370"/>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67" t="e">
        <f t="shared" si="4"/>
        <v>#VALUE!</v>
      </c>
      <c r="DY675" s="1367"/>
      <c r="DZ675" s="1367"/>
      <c r="EA675" s="1367"/>
      <c r="EB675" s="1367"/>
      <c r="EC675" s="1367" t="e">
        <f t="shared" si="5"/>
        <v>#VALUE!</v>
      </c>
      <c r="ED675" s="1367"/>
      <c r="EE675" s="1367"/>
      <c r="EF675" s="1367"/>
      <c r="EG675" s="1367"/>
      <c r="EH675" s="1367" t="e">
        <f t="shared" si="6"/>
        <v>#VALUE!</v>
      </c>
      <c r="EI675" s="1367"/>
      <c r="EJ675" s="1367"/>
      <c r="EK675" s="1367"/>
      <c r="EL675" s="1367"/>
      <c r="EM675" s="1367" t="e">
        <f t="shared" si="7"/>
        <v>#VALUE!</v>
      </c>
      <c r="EN675" s="1367"/>
      <c r="EO675" s="1367"/>
      <c r="EP675" s="1367"/>
      <c r="EQ675" s="1367"/>
      <c r="ER675" s="1367" t="e">
        <f t="shared" si="8"/>
        <v>#VALUE!</v>
      </c>
      <c r="ES675" s="1367"/>
      <c r="ET675" s="1367"/>
      <c r="EU675" s="1367"/>
      <c r="EV675" s="1367"/>
      <c r="EW675" s="1367" t="e">
        <f t="shared" si="9"/>
        <v>#VALUE!</v>
      </c>
      <c r="EX675" s="1367"/>
      <c r="EY675" s="1367"/>
      <c r="EZ675" s="1367"/>
      <c r="FA675" s="1367"/>
    </row>
    <row r="676" spans="1:157" ht="12.95" customHeight="1">
      <c r="A676" s="22"/>
      <c r="B676" t="s">
        <v>85</v>
      </c>
      <c r="G676" s="1426"/>
      <c r="H676" s="1426"/>
      <c r="I676" s="1426"/>
      <c r="J676" s="1426"/>
      <c r="K676" s="1426"/>
      <c r="L676" s="1426"/>
      <c r="M676" s="1426"/>
      <c r="N676" s="1426"/>
      <c r="O676" s="1426"/>
      <c r="P676" s="1426"/>
      <c r="Q676" s="1426"/>
      <c r="R676" s="1426"/>
      <c r="T676" s="22"/>
      <c r="U676" t="s">
        <v>85</v>
      </c>
      <c r="Z676" s="1426"/>
      <c r="AA676" s="1426"/>
      <c r="AB676" s="1426"/>
      <c r="AC676" s="1426"/>
      <c r="AD676" s="1426"/>
      <c r="AE676" s="1426"/>
      <c r="AF676" s="1426"/>
      <c r="AG676" s="1426"/>
      <c r="AH676" s="1426"/>
      <c r="AI676" s="1426"/>
      <c r="AJ676" s="1426"/>
      <c r="AK676" s="1426"/>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67" t="e">
        <f t="shared" si="4"/>
        <v>#VALUE!</v>
      </c>
      <c r="DY676" s="1367"/>
      <c r="DZ676" s="1367"/>
      <c r="EA676" s="1367"/>
      <c r="EB676" s="1367"/>
      <c r="EC676" s="1367" t="e">
        <f t="shared" si="5"/>
        <v>#VALUE!</v>
      </c>
      <c r="ED676" s="1367"/>
      <c r="EE676" s="1367"/>
      <c r="EF676" s="1367"/>
      <c r="EG676" s="1367"/>
      <c r="EH676" s="1367" t="e">
        <f t="shared" si="6"/>
        <v>#VALUE!</v>
      </c>
      <c r="EI676" s="1367"/>
      <c r="EJ676" s="1367"/>
      <c r="EK676" s="1367"/>
      <c r="EL676" s="1367"/>
      <c r="EM676" s="1367" t="e">
        <f t="shared" si="7"/>
        <v>#VALUE!</v>
      </c>
      <c r="EN676" s="1367"/>
      <c r="EO676" s="1367"/>
      <c r="EP676" s="1367"/>
      <c r="EQ676" s="1367"/>
      <c r="ER676" s="1367" t="e">
        <f t="shared" si="8"/>
        <v>#VALUE!</v>
      </c>
      <c r="ES676" s="1367"/>
      <c r="ET676" s="1367"/>
      <c r="EU676" s="1367"/>
      <c r="EV676" s="1367"/>
      <c r="EW676" s="1367" t="e">
        <f t="shared" si="9"/>
        <v>#VALUE!</v>
      </c>
      <c r="EX676" s="1367"/>
      <c r="EY676" s="1367"/>
      <c r="EZ676" s="1367"/>
      <c r="FA676" s="1367"/>
    </row>
    <row r="677" spans="1:157" ht="12.95" customHeight="1">
      <c r="A677" s="22"/>
      <c r="B677" t="s">
        <v>580</v>
      </c>
      <c r="G677" s="1426"/>
      <c r="H677" s="1426"/>
      <c r="I677" s="1426"/>
      <c r="J677" s="1426"/>
      <c r="K677" s="1426"/>
      <c r="L677" s="1426"/>
      <c r="M677" s="1426"/>
      <c r="N677" s="1426"/>
      <c r="O677" s="1426"/>
      <c r="P677" s="1426"/>
      <c r="Q677" s="1426"/>
      <c r="R677" s="1426"/>
      <c r="T677" s="22"/>
      <c r="U677" t="s">
        <v>580</v>
      </c>
      <c r="Z677" s="1368"/>
      <c r="AA677" s="1368"/>
      <c r="AB677" s="1368"/>
      <c r="AC677" s="1368"/>
      <c r="AD677" s="1368"/>
      <c r="AE677" s="1368"/>
      <c r="AF677" s="1368"/>
      <c r="AG677" s="1368"/>
      <c r="AH677" s="1368"/>
      <c r="AI677" s="1368"/>
      <c r="AJ677" s="1368"/>
      <c r="AK677" s="1368"/>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67" t="e">
        <f t="shared" si="4"/>
        <v>#VALUE!</v>
      </c>
      <c r="DY677" s="1367"/>
      <c r="DZ677" s="1367"/>
      <c r="EA677" s="1367"/>
      <c r="EB677" s="1367"/>
      <c r="EC677" s="1367" t="e">
        <f t="shared" si="5"/>
        <v>#VALUE!</v>
      </c>
      <c r="ED677" s="1367"/>
      <c r="EE677" s="1367"/>
      <c r="EF677" s="1367"/>
      <c r="EG677" s="1367"/>
      <c r="EH677" s="1367" t="e">
        <f t="shared" si="6"/>
        <v>#VALUE!</v>
      </c>
      <c r="EI677" s="1367"/>
      <c r="EJ677" s="1367"/>
      <c r="EK677" s="1367"/>
      <c r="EL677" s="1367"/>
      <c r="EM677" s="1367" t="e">
        <f t="shared" si="7"/>
        <v>#VALUE!</v>
      </c>
      <c r="EN677" s="1367"/>
      <c r="EO677" s="1367"/>
      <c r="EP677" s="1367"/>
      <c r="EQ677" s="1367"/>
      <c r="ER677" s="1367" t="e">
        <f t="shared" si="8"/>
        <v>#VALUE!</v>
      </c>
      <c r="ES677" s="1367"/>
      <c r="ET677" s="1367"/>
      <c r="EU677" s="1367"/>
      <c r="EV677" s="1367"/>
      <c r="EW677" s="1367" t="e">
        <f t="shared" si="9"/>
        <v>#VALUE!</v>
      </c>
      <c r="EX677" s="1367"/>
      <c r="EY677" s="1367"/>
      <c r="EZ677" s="1367"/>
      <c r="FA677" s="1367"/>
    </row>
    <row r="678" spans="1:157" ht="12.95" customHeight="1">
      <c r="A678" s="22"/>
      <c r="B678" t="s">
        <v>17</v>
      </c>
      <c r="G678" s="1426"/>
      <c r="H678" s="1426"/>
      <c r="I678" s="1426"/>
      <c r="J678" s="1426"/>
      <c r="K678" s="1426"/>
      <c r="L678" s="1426"/>
      <c r="M678" s="1426"/>
      <c r="N678" s="1426"/>
      <c r="O678" s="1426"/>
      <c r="P678" s="1426"/>
      <c r="Q678" s="1426"/>
      <c r="R678" s="1426"/>
      <c r="T678" s="22"/>
      <c r="U678" t="s">
        <v>17</v>
      </c>
      <c r="Z678" s="1368"/>
      <c r="AA678" s="1368"/>
      <c r="AB678" s="1368"/>
      <c r="AC678" s="1368"/>
      <c r="AD678" s="1368"/>
      <c r="AE678" s="1368"/>
      <c r="AF678" s="1368"/>
      <c r="AG678" s="1368"/>
      <c r="AH678" s="1368"/>
      <c r="AI678" s="1368"/>
      <c r="AJ678" s="1368"/>
      <c r="AK678" s="1368"/>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67">
        <f>SUMIF(DX643:EB677,"&gt;0")</f>
        <v>1672.1750000000002</v>
      </c>
      <c r="DY678" s="1367"/>
      <c r="DZ678" s="1367"/>
      <c r="EA678" s="1367"/>
      <c r="EB678" s="1367"/>
      <c r="EC678" s="1367">
        <f>SUMIF(EC643:EG677,"&gt;0")</f>
        <v>1822.1108433734939</v>
      </c>
      <c r="ED678" s="1367"/>
      <c r="EE678" s="1367"/>
      <c r="EF678" s="1367"/>
      <c r="EG678" s="1367"/>
      <c r="EH678" s="1367">
        <f>SUMIF(EH643:EL677,"&gt;0")</f>
        <v>2167.6</v>
      </c>
      <c r="EI678" s="1367"/>
      <c r="EJ678" s="1367"/>
      <c r="EK678" s="1367"/>
      <c r="EL678" s="1367"/>
      <c r="EM678" s="1367">
        <f>SUMIF(EM643:EQ677,"&gt;0")</f>
        <v>0</v>
      </c>
      <c r="EN678" s="1367"/>
      <c r="EO678" s="1367"/>
      <c r="EP678" s="1367"/>
      <c r="EQ678" s="1367"/>
      <c r="ER678" s="1367">
        <f>SUMIF(ER643:EV677,"&gt;0")</f>
        <v>0</v>
      </c>
      <c r="ES678" s="1367"/>
      <c r="ET678" s="1367"/>
      <c r="EU678" s="1367"/>
      <c r="EV678" s="1367"/>
      <c r="EW678" s="1367">
        <f>SUMIF(EW643:FA677,"&gt;0")</f>
        <v>0</v>
      </c>
      <c r="EX678" s="1367"/>
      <c r="EY678" s="1367"/>
      <c r="EZ678" s="1367"/>
      <c r="FA678" s="1367"/>
    </row>
    <row r="679" spans="1:157" ht="12.95" customHeight="1">
      <c r="A679" s="22"/>
      <c r="B679" t="s">
        <v>316</v>
      </c>
      <c r="G679" s="1385"/>
      <c r="H679" s="1385"/>
      <c r="I679" s="1385"/>
      <c r="J679" s="1385"/>
      <c r="K679" s="1385"/>
      <c r="L679" s="1385"/>
      <c r="O679" s="33" t="s">
        <v>206</v>
      </c>
      <c r="P679" s="1369"/>
      <c r="Q679" s="1369"/>
      <c r="R679" s="1369"/>
      <c r="T679" s="22"/>
      <c r="U679" t="s">
        <v>316</v>
      </c>
      <c r="Z679" s="1385"/>
      <c r="AA679" s="1385"/>
      <c r="AB679" s="1385"/>
      <c r="AC679" s="1385"/>
      <c r="AD679" s="1385"/>
      <c r="AE679" s="1385"/>
      <c r="AH679" s="33" t="s">
        <v>206</v>
      </c>
      <c r="AI679" s="1369"/>
      <c r="AJ679" s="1369"/>
      <c r="AK679" s="1369"/>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426"/>
      <c r="I680" s="1426"/>
      <c r="J680" s="1426"/>
      <c r="K680" s="1426"/>
      <c r="L680" s="1426"/>
      <c r="M680" s="1426"/>
      <c r="N680" s="1426"/>
      <c r="O680" s="1426"/>
      <c r="P680" s="1426"/>
      <c r="Q680" s="1426"/>
      <c r="R680" s="1426"/>
      <c r="T680" s="22"/>
      <c r="U680" t="s">
        <v>18</v>
      </c>
      <c r="AA680" s="1426"/>
      <c r="AB680" s="1426"/>
      <c r="AC680" s="1426"/>
      <c r="AD680" s="1426"/>
      <c r="AE680" s="1426"/>
      <c r="AF680" s="1426"/>
      <c r="AG680" s="1426"/>
      <c r="AH680" s="1426"/>
      <c r="AI680" s="1426"/>
      <c r="AJ680" s="1426"/>
      <c r="AK680" s="1426"/>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80" t="s">
        <v>669</v>
      </c>
      <c r="O681" s="1380"/>
      <c r="T681" s="22"/>
      <c r="U681" t="s">
        <v>20</v>
      </c>
      <c r="AG681" s="1380" t="s">
        <v>669</v>
      </c>
      <c r="AH681" s="1380"/>
      <c r="AZ681" s="3"/>
    </row>
    <row r="682" spans="1:157" ht="12.95" customHeight="1">
      <c r="A682" s="22"/>
      <c r="T682" s="22"/>
      <c r="AZ682" s="3"/>
    </row>
    <row r="683" spans="1:157" ht="12.95" customHeight="1">
      <c r="A683" s="55" t="s">
        <v>461</v>
      </c>
      <c r="B683" t="s">
        <v>463</v>
      </c>
      <c r="G683" s="1370">
        <f>C643</f>
        <v>0</v>
      </c>
      <c r="H683" s="1370"/>
      <c r="I683" s="1370"/>
      <c r="J683" s="1370"/>
      <c r="K683" s="1370"/>
      <c r="L683" s="1370"/>
      <c r="M683" s="1370"/>
      <c r="N683" s="1370"/>
      <c r="O683" s="1370"/>
      <c r="P683" s="1370"/>
      <c r="Q683" s="1370"/>
      <c r="R683" s="1370"/>
      <c r="T683" s="55" t="s">
        <v>646</v>
      </c>
      <c r="U683" t="s">
        <v>463</v>
      </c>
      <c r="Z683" s="1370">
        <f>C644</f>
        <v>0</v>
      </c>
      <c r="AA683" s="1370"/>
      <c r="AB683" s="1370"/>
      <c r="AC683" s="1370"/>
      <c r="AD683" s="1370"/>
      <c r="AE683" s="1370"/>
      <c r="AF683" s="1370"/>
      <c r="AG683" s="1370"/>
      <c r="AH683" s="1370"/>
      <c r="AI683" s="1370"/>
      <c r="AJ683" s="1370"/>
      <c r="AK683" s="1370"/>
      <c r="AZ683" s="3"/>
    </row>
    <row r="684" spans="1:157" ht="12.95" customHeight="1">
      <c r="A684" s="22"/>
      <c r="B684" t="s">
        <v>85</v>
      </c>
      <c r="G684" s="1426"/>
      <c r="H684" s="1426"/>
      <c r="I684" s="1426"/>
      <c r="J684" s="1426"/>
      <c r="K684" s="1426"/>
      <c r="L684" s="1426"/>
      <c r="M684" s="1426"/>
      <c r="N684" s="1426"/>
      <c r="O684" s="1426"/>
      <c r="P684" s="1426"/>
      <c r="Q684" s="1426"/>
      <c r="R684" s="1426"/>
      <c r="T684" s="22"/>
      <c r="U684" t="s">
        <v>85</v>
      </c>
      <c r="Z684" s="1426"/>
      <c r="AA684" s="1426"/>
      <c r="AB684" s="1426"/>
      <c r="AC684" s="1426"/>
      <c r="AD684" s="1426"/>
      <c r="AE684" s="1426"/>
      <c r="AF684" s="1426"/>
      <c r="AG684" s="1426"/>
      <c r="AH684" s="1426"/>
      <c r="AI684" s="1426"/>
      <c r="AJ684" s="1426"/>
      <c r="AK684" s="1426"/>
      <c r="AZ684" s="3"/>
    </row>
    <row r="685" spans="1:157" ht="12.95" customHeight="1">
      <c r="A685" s="22"/>
      <c r="B685" t="s">
        <v>580</v>
      </c>
      <c r="G685" s="1426"/>
      <c r="H685" s="1426"/>
      <c r="I685" s="1426"/>
      <c r="J685" s="1426"/>
      <c r="K685" s="1426"/>
      <c r="L685" s="1426"/>
      <c r="M685" s="1426"/>
      <c r="N685" s="1426"/>
      <c r="O685" s="1426"/>
      <c r="P685" s="1426"/>
      <c r="Q685" s="1426"/>
      <c r="R685" s="1426"/>
      <c r="T685" s="22"/>
      <c r="U685" t="s">
        <v>580</v>
      </c>
      <c r="Z685" s="1368"/>
      <c r="AA685" s="1368"/>
      <c r="AB685" s="1368"/>
      <c r="AC685" s="1368"/>
      <c r="AD685" s="1368"/>
      <c r="AE685" s="1368"/>
      <c r="AF685" s="1368"/>
      <c r="AG685" s="1368"/>
      <c r="AH685" s="1368"/>
      <c r="AI685" s="1368"/>
      <c r="AJ685" s="1368"/>
      <c r="AK685" s="1368"/>
      <c r="AZ685" s="3"/>
    </row>
    <row r="686" spans="1:157" ht="12.95" customHeight="1">
      <c r="A686" s="22"/>
      <c r="B686" t="s">
        <v>17</v>
      </c>
      <c r="G686" s="1426"/>
      <c r="H686" s="1426"/>
      <c r="I686" s="1426"/>
      <c r="J686" s="1426"/>
      <c r="K686" s="1426"/>
      <c r="L686" s="1426"/>
      <c r="M686" s="1426"/>
      <c r="N686" s="1426"/>
      <c r="O686" s="1426"/>
      <c r="P686" s="1426"/>
      <c r="Q686" s="1426"/>
      <c r="R686" s="1426"/>
      <c r="T686" s="22"/>
      <c r="U686" t="s">
        <v>17</v>
      </c>
      <c r="Z686" s="1368"/>
      <c r="AA686" s="1368"/>
      <c r="AB686" s="1368"/>
      <c r="AC686" s="1368"/>
      <c r="AD686" s="1368"/>
      <c r="AE686" s="1368"/>
      <c r="AF686" s="1368"/>
      <c r="AG686" s="1368"/>
      <c r="AH686" s="1368"/>
      <c r="AI686" s="1368"/>
      <c r="AJ686" s="1368"/>
      <c r="AK686" s="1368"/>
      <c r="AZ686" s="3"/>
    </row>
    <row r="687" spans="1:157" ht="12.95" customHeight="1">
      <c r="A687" s="22"/>
      <c r="B687" t="s">
        <v>316</v>
      </c>
      <c r="G687" s="1385"/>
      <c r="H687" s="1385"/>
      <c r="I687" s="1385"/>
      <c r="J687" s="1385"/>
      <c r="K687" s="1385"/>
      <c r="L687" s="1385"/>
      <c r="O687" s="33" t="s">
        <v>206</v>
      </c>
      <c r="P687" s="1369"/>
      <c r="Q687" s="1369"/>
      <c r="R687" s="1369"/>
      <c r="T687" s="22"/>
      <c r="U687" t="s">
        <v>316</v>
      </c>
      <c r="Z687" s="1385"/>
      <c r="AA687" s="1385"/>
      <c r="AB687" s="1385"/>
      <c r="AC687" s="1385"/>
      <c r="AD687" s="1385"/>
      <c r="AE687" s="1385"/>
      <c r="AH687" s="33" t="s">
        <v>206</v>
      </c>
      <c r="AI687" s="1369"/>
      <c r="AJ687" s="1369"/>
      <c r="AK687" s="1369"/>
      <c r="AZ687" s="3"/>
    </row>
    <row r="688" spans="1:157" ht="12.95" customHeight="1">
      <c r="A688" s="22"/>
      <c r="B688" t="s">
        <v>18</v>
      </c>
      <c r="H688" s="1426"/>
      <c r="I688" s="1426"/>
      <c r="J688" s="1426"/>
      <c r="K688" s="1426"/>
      <c r="L688" s="1426"/>
      <c r="M688" s="1426"/>
      <c r="N688" s="1426"/>
      <c r="O688" s="1426"/>
      <c r="P688" s="1426"/>
      <c r="Q688" s="1426"/>
      <c r="R688" s="1426"/>
      <c r="T688" s="22"/>
      <c r="U688" t="s">
        <v>18</v>
      </c>
      <c r="AA688" s="1426"/>
      <c r="AB688" s="1426"/>
      <c r="AC688" s="1426"/>
      <c r="AD688" s="1426"/>
      <c r="AE688" s="1426"/>
      <c r="AF688" s="1426"/>
      <c r="AG688" s="1426"/>
      <c r="AH688" s="1426"/>
      <c r="AI688" s="1426"/>
      <c r="AJ688" s="1426"/>
      <c r="AK688" s="1426"/>
      <c r="AZ688" s="3"/>
    </row>
    <row r="689" spans="1:52" ht="12.95" customHeight="1">
      <c r="A689" s="22"/>
      <c r="B689" t="s">
        <v>20</v>
      </c>
      <c r="N689" s="1380" t="s">
        <v>669</v>
      </c>
      <c r="O689" s="1380"/>
      <c r="T689" s="22"/>
      <c r="U689" t="s">
        <v>20</v>
      </c>
      <c r="AG689" s="1380" t="s">
        <v>669</v>
      </c>
      <c r="AH689" s="1380"/>
      <c r="AZ689" s="3"/>
    </row>
    <row r="690" spans="1:52" ht="12.95" customHeight="1">
      <c r="A690" s="22"/>
      <c r="T690" s="22"/>
      <c r="AZ690" s="3"/>
    </row>
    <row r="691" spans="1:52" ht="12.95" customHeight="1">
      <c r="A691" s="55" t="s">
        <v>362</v>
      </c>
      <c r="B691" t="s">
        <v>463</v>
      </c>
      <c r="G691" s="1370">
        <f>C645</f>
        <v>0</v>
      </c>
      <c r="H691" s="1370"/>
      <c r="I691" s="1370"/>
      <c r="J691" s="1370"/>
      <c r="K691" s="1370"/>
      <c r="L691" s="1370"/>
      <c r="M691" s="1370"/>
      <c r="N691" s="1370"/>
      <c r="O691" s="1370"/>
      <c r="P691" s="1370"/>
      <c r="Q691" s="1370"/>
      <c r="R691" s="1370"/>
      <c r="T691" s="55" t="s">
        <v>363</v>
      </c>
      <c r="U691" t="s">
        <v>463</v>
      </c>
      <c r="Z691" s="1370">
        <f>C646</f>
        <v>0</v>
      </c>
      <c r="AA691" s="1370"/>
      <c r="AB691" s="1370"/>
      <c r="AC691" s="1370"/>
      <c r="AD691" s="1370"/>
      <c r="AE691" s="1370"/>
      <c r="AF691" s="1370"/>
      <c r="AG691" s="1370"/>
      <c r="AH691" s="1370"/>
      <c r="AI691" s="1370"/>
      <c r="AJ691" s="1370"/>
      <c r="AK691" s="1370"/>
      <c r="AZ691" s="3"/>
    </row>
    <row r="692" spans="1:52" ht="12.95" customHeight="1">
      <c r="B692" t="s">
        <v>85</v>
      </c>
      <c r="G692" s="1426"/>
      <c r="H692" s="1426"/>
      <c r="I692" s="1426"/>
      <c r="J692" s="1426"/>
      <c r="K692" s="1426"/>
      <c r="L692" s="1426"/>
      <c r="M692" s="1426"/>
      <c r="N692" s="1426"/>
      <c r="O692" s="1426"/>
      <c r="P692" s="1426"/>
      <c r="Q692" s="1426"/>
      <c r="R692" s="1426"/>
      <c r="T692" s="22"/>
      <c r="U692" t="s">
        <v>85</v>
      </c>
      <c r="Z692" s="1426"/>
      <c r="AA692" s="1426"/>
      <c r="AB692" s="1426"/>
      <c r="AC692" s="1426"/>
      <c r="AD692" s="1426"/>
      <c r="AE692" s="1426"/>
      <c r="AF692" s="1426"/>
      <c r="AG692" s="1426"/>
      <c r="AH692" s="1426"/>
      <c r="AI692" s="1426"/>
      <c r="AJ692" s="1426"/>
      <c r="AK692" s="1426"/>
      <c r="AZ692" s="3"/>
    </row>
    <row r="693" spans="1:52" ht="12.95" customHeight="1">
      <c r="B693" t="s">
        <v>580</v>
      </c>
      <c r="G693" s="1426"/>
      <c r="H693" s="1426"/>
      <c r="I693" s="1426"/>
      <c r="J693" s="1426"/>
      <c r="K693" s="1426"/>
      <c r="L693" s="1426"/>
      <c r="M693" s="1426"/>
      <c r="N693" s="1426"/>
      <c r="O693" s="1426"/>
      <c r="P693" s="1426"/>
      <c r="Q693" s="1426"/>
      <c r="R693" s="1426"/>
      <c r="U693" t="s">
        <v>580</v>
      </c>
      <c r="Z693" s="1368"/>
      <c r="AA693" s="1368"/>
      <c r="AB693" s="1368"/>
      <c r="AC693" s="1368"/>
      <c r="AD693" s="1368"/>
      <c r="AE693" s="1368"/>
      <c r="AF693" s="1368"/>
      <c r="AG693" s="1368"/>
      <c r="AH693" s="1368"/>
      <c r="AI693" s="1368"/>
      <c r="AJ693" s="1368"/>
      <c r="AK693" s="1368"/>
      <c r="AZ693" s="3"/>
    </row>
    <row r="694" spans="1:52" ht="12.95" customHeight="1">
      <c r="B694" t="s">
        <v>17</v>
      </c>
      <c r="G694" s="1426"/>
      <c r="H694" s="1426"/>
      <c r="I694" s="1426"/>
      <c r="J694" s="1426"/>
      <c r="K694" s="1426"/>
      <c r="L694" s="1426"/>
      <c r="M694" s="1426"/>
      <c r="N694" s="1426"/>
      <c r="O694" s="1426"/>
      <c r="P694" s="1426"/>
      <c r="Q694" s="1426"/>
      <c r="R694" s="1426"/>
      <c r="U694" t="s">
        <v>17</v>
      </c>
      <c r="Z694" s="1368"/>
      <c r="AA694" s="1368"/>
      <c r="AB694" s="1368"/>
      <c r="AC694" s="1368"/>
      <c r="AD694" s="1368"/>
      <c r="AE694" s="1368"/>
      <c r="AF694" s="1368"/>
      <c r="AG694" s="1368"/>
      <c r="AH694" s="1368"/>
      <c r="AI694" s="1368"/>
      <c r="AJ694" s="1368"/>
      <c r="AK694" s="1368"/>
      <c r="AZ694" s="3"/>
    </row>
    <row r="695" spans="1:52" ht="12.95" customHeight="1">
      <c r="B695" t="s">
        <v>316</v>
      </c>
      <c r="G695" s="1385"/>
      <c r="H695" s="1385"/>
      <c r="I695" s="1385"/>
      <c r="J695" s="1385"/>
      <c r="K695" s="1385"/>
      <c r="L695" s="1385"/>
      <c r="O695" s="33" t="s">
        <v>206</v>
      </c>
      <c r="P695" s="1369"/>
      <c r="Q695" s="1369"/>
      <c r="R695" s="1369"/>
      <c r="U695" t="s">
        <v>316</v>
      </c>
      <c r="Z695" s="1385"/>
      <c r="AA695" s="1385"/>
      <c r="AB695" s="1385"/>
      <c r="AC695" s="1385"/>
      <c r="AD695" s="1385"/>
      <c r="AE695" s="1385"/>
      <c r="AH695" s="33" t="s">
        <v>206</v>
      </c>
      <c r="AI695" s="1369"/>
      <c r="AJ695" s="1369"/>
      <c r="AK695" s="1369"/>
      <c r="AZ695" s="3"/>
    </row>
    <row r="696" spans="1:52" ht="12.95" customHeight="1">
      <c r="B696" t="s">
        <v>18</v>
      </c>
      <c r="H696" s="1426"/>
      <c r="I696" s="1426"/>
      <c r="J696" s="1426"/>
      <c r="K696" s="1426"/>
      <c r="L696" s="1426"/>
      <c r="M696" s="1426"/>
      <c r="N696" s="1426"/>
      <c r="O696" s="1426"/>
      <c r="P696" s="1426"/>
      <c r="Q696" s="1426"/>
      <c r="R696" s="1426"/>
      <c r="U696" t="s">
        <v>18</v>
      </c>
      <c r="AA696" s="1426"/>
      <c r="AB696" s="1426"/>
      <c r="AC696" s="1426"/>
      <c r="AD696" s="1426"/>
      <c r="AE696" s="1426"/>
      <c r="AF696" s="1426"/>
      <c r="AG696" s="1426"/>
      <c r="AH696" s="1426"/>
      <c r="AI696" s="1426"/>
      <c r="AJ696" s="1426"/>
      <c r="AK696" s="1426"/>
      <c r="AZ696" s="3"/>
    </row>
    <row r="697" spans="1:52" ht="12.95" customHeight="1">
      <c r="B697" t="s">
        <v>20</v>
      </c>
      <c r="N697" s="1380" t="s">
        <v>669</v>
      </c>
      <c r="O697" s="1380"/>
      <c r="U697" t="s">
        <v>20</v>
      </c>
      <c r="AG697" s="1380" t="s">
        <v>669</v>
      </c>
      <c r="AH697" s="1380"/>
      <c r="AZ697" s="3"/>
    </row>
    <row r="698" spans="1:52" ht="12.95" customHeight="1">
      <c r="AZ698" s="3"/>
    </row>
    <row r="699" spans="1:52" ht="12.95" customHeight="1">
      <c r="A699" s="2" t="s">
        <v>576</v>
      </c>
      <c r="C699" s="2" t="s">
        <v>327</v>
      </c>
      <c r="E699" s="130"/>
      <c r="F699" s="130"/>
      <c r="G699" s="130"/>
      <c r="H699" s="130"/>
      <c r="AZ699" s="3"/>
    </row>
    <row r="700" spans="1:52" ht="12.95" customHeight="1">
      <c r="B700" s="135"/>
      <c r="C700" s="135"/>
      <c r="D700" s="1030" t="s">
        <v>2613</v>
      </c>
      <c r="E700" s="135"/>
      <c r="F700" s="135"/>
      <c r="G700" s="135"/>
      <c r="H700" s="135"/>
      <c r="AZ700" s="3"/>
    </row>
    <row r="701" spans="1:52" ht="12.95" customHeight="1">
      <c r="B701" s="135"/>
      <c r="C701" s="135"/>
      <c r="E701" s="136" t="s">
        <v>434</v>
      </c>
      <c r="F701" s="135"/>
      <c r="G701" s="135"/>
      <c r="H701" s="135"/>
      <c r="AE701" s="1380" t="s">
        <v>545</v>
      </c>
      <c r="AF701" s="1380"/>
      <c r="AZ701" s="3"/>
    </row>
    <row r="702" spans="1:52" ht="12.95" customHeight="1">
      <c r="B702" s="135"/>
      <c r="C702" s="135"/>
      <c r="D702" s="136" t="s">
        <v>437</v>
      </c>
      <c r="E702" s="135"/>
      <c r="F702" s="135"/>
      <c r="G702" s="135"/>
      <c r="H702" s="135"/>
      <c r="AE702" s="1380" t="s">
        <v>545</v>
      </c>
      <c r="AF702" s="1380"/>
      <c r="AZ702" s="3"/>
    </row>
    <row r="703" spans="1:52" ht="12.95" customHeight="1">
      <c r="B703" s="135"/>
      <c r="C703" s="135"/>
      <c r="D703" s="136" t="s">
        <v>920</v>
      </c>
      <c r="E703" s="135"/>
      <c r="F703" s="135"/>
      <c r="G703" s="135"/>
      <c r="H703" s="135"/>
      <c r="AE703" s="1537">
        <v>46056</v>
      </c>
      <c r="AF703" s="1537"/>
      <c r="AG703" s="1537"/>
      <c r="AH703" s="1537"/>
      <c r="AI703" s="1537"/>
    </row>
    <row r="704" spans="1:52" ht="12.95" customHeight="1">
      <c r="B704" s="135"/>
      <c r="C704" s="135"/>
      <c r="D704" s="317" t="s">
        <v>983</v>
      </c>
      <c r="E704" s="135"/>
      <c r="F704" s="135"/>
      <c r="G704" s="135"/>
      <c r="H704" s="135"/>
      <c r="AE704" s="1660">
        <v>46154</v>
      </c>
      <c r="AF704" s="1660"/>
      <c r="AG704" s="1660"/>
      <c r="AH704" s="1660"/>
      <c r="AI704" s="1660"/>
    </row>
    <row r="705" spans="1:110" ht="12.95" customHeight="1">
      <c r="B705" s="135"/>
      <c r="C705" s="135"/>
    </row>
    <row r="706" spans="1:110" ht="12.95" customHeight="1">
      <c r="B706" s="135"/>
      <c r="C706" s="135"/>
      <c r="D706" s="136" t="s">
        <v>816</v>
      </c>
      <c r="E706" s="135"/>
      <c r="F706" s="135"/>
      <c r="G706" s="135"/>
      <c r="H706" s="135"/>
      <c r="AE706" s="1537">
        <v>46327</v>
      </c>
      <c r="AF706" s="1537"/>
      <c r="AG706" s="1537"/>
      <c r="AH706" s="1537"/>
      <c r="AI706" s="1537"/>
    </row>
    <row r="707" spans="1:110" ht="12.95" customHeight="1">
      <c r="B707" s="135"/>
      <c r="C707" s="135"/>
      <c r="D707" s="136" t="s">
        <v>435</v>
      </c>
      <c r="E707" s="135"/>
      <c r="F707" s="135"/>
      <c r="G707" s="135"/>
      <c r="H707" s="135"/>
      <c r="AE707" s="1846">
        <f>AM562/SUM('Sources and Uses Budget'!S107,'Sources and Uses Budget'!C4)</f>
        <v>0.27499999470926295</v>
      </c>
      <c r="AF707" s="1846"/>
      <c r="AG707" s="1846"/>
      <c r="AH707" s="1846"/>
      <c r="AI707" s="1846"/>
    </row>
    <row r="708" spans="1:110" ht="12.95" customHeight="1">
      <c r="B708" s="135"/>
      <c r="C708" s="135"/>
      <c r="D708" s="136" t="s">
        <v>436</v>
      </c>
      <c r="E708" s="135"/>
      <c r="F708" s="135"/>
      <c r="G708" s="135"/>
      <c r="H708" s="135"/>
      <c r="W708" s="1370" t="str">
        <f>H344</f>
        <v>California Municipal Finance Authority</v>
      </c>
      <c r="X708" s="1370"/>
      <c r="Y708" s="1370"/>
      <c r="Z708" s="1370"/>
      <c r="AA708" s="1370"/>
      <c r="AB708" s="1370"/>
      <c r="AC708" s="1370"/>
      <c r="AD708" s="1370"/>
      <c r="AE708" s="1370"/>
      <c r="AF708" s="1370"/>
      <c r="AG708" s="1370"/>
      <c r="AH708" s="1370"/>
      <c r="AI708" s="1370"/>
      <c r="AJ708" s="1370"/>
      <c r="AK708" s="1370"/>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380" t="s">
        <v>669</v>
      </c>
      <c r="AF710" s="1380"/>
    </row>
    <row r="711" spans="1:110" ht="12.95" customHeight="1">
      <c r="B711" s="135"/>
      <c r="C711" s="135"/>
      <c r="D711" s="136" t="s">
        <v>442</v>
      </c>
      <c r="E711" s="135"/>
      <c r="F711" s="135"/>
      <c r="G711" s="135"/>
      <c r="H711" s="135"/>
      <c r="W711" s="1426" t="s">
        <v>591</v>
      </c>
      <c r="X711" s="1426"/>
      <c r="Y711" s="1426"/>
      <c r="Z711" s="1426"/>
      <c r="AA711" s="1426"/>
      <c r="AB711" s="1426"/>
      <c r="AC711" s="1426"/>
      <c r="AD711" s="1426"/>
      <c r="AE711" s="1426"/>
      <c r="AF711" s="1426"/>
      <c r="AG711" s="1426"/>
      <c r="AH711" s="1426"/>
      <c r="AI711" s="1426"/>
      <c r="AJ711" s="1426"/>
      <c r="AK711" s="1426"/>
    </row>
    <row r="712" spans="1:110" ht="12.95" customHeight="1">
      <c r="B712" s="135"/>
      <c r="C712" s="135"/>
      <c r="D712" s="136" t="s">
        <v>87</v>
      </c>
      <c r="E712" s="135"/>
      <c r="F712" s="135"/>
      <c r="G712" s="135"/>
      <c r="H712" s="135"/>
      <c r="J712" s="1426"/>
      <c r="K712" s="1426"/>
      <c r="L712" s="1426"/>
      <c r="M712" s="1426"/>
      <c r="N712" s="1426"/>
      <c r="O712" s="1426"/>
      <c r="P712" s="1426"/>
      <c r="Q712" s="1426"/>
      <c r="R712" s="1426"/>
      <c r="S712" s="1426"/>
      <c r="T712" s="1426"/>
      <c r="U712" s="1426"/>
      <c r="V712" s="1426"/>
      <c r="W712" s="1426"/>
      <c r="X712" s="1426"/>
      <c r="BB712" s="34"/>
      <c r="BC712" s="34"/>
      <c r="BD712" s="34"/>
      <c r="BE712" s="3"/>
      <c r="BF712" s="3"/>
      <c r="BJ712" s="3"/>
      <c r="BK712" s="3"/>
      <c r="BL712" s="3"/>
      <c r="BM712" s="3"/>
      <c r="BN712" s="34"/>
      <c r="BO712" s="34"/>
    </row>
    <row r="713" spans="1:110" ht="12.95" customHeight="1">
      <c r="B713" s="135"/>
      <c r="C713" s="135"/>
      <c r="D713" s="136" t="s">
        <v>88</v>
      </c>
      <c r="J713" s="1385"/>
      <c r="K713" s="1385"/>
      <c r="L713" s="1385"/>
      <c r="M713" s="1385"/>
      <c r="N713" s="1385"/>
      <c r="O713" s="1385"/>
      <c r="P713" s="4" t="s">
        <v>206</v>
      </c>
      <c r="Q713" s="4"/>
      <c r="R713" s="1369"/>
      <c r="S713" s="1369"/>
      <c r="T713" s="1369"/>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443</v>
      </c>
      <c r="W714" s="1426" t="s">
        <v>307</v>
      </c>
      <c r="X714" s="1426"/>
      <c r="Y714" s="1426"/>
      <c r="Z714" s="1426"/>
      <c r="AA714" s="1426"/>
      <c r="AB714" s="1426"/>
      <c r="AC714" s="1426"/>
      <c r="AD714" s="1426"/>
      <c r="AE714" s="1426"/>
      <c r="AF714" s="1426"/>
      <c r="AG714" s="1426"/>
      <c r="AH714" s="1426"/>
      <c r="AI714" s="1426"/>
      <c r="AJ714" s="1426"/>
      <c r="AK714" s="1426"/>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26" t="s">
        <v>334</v>
      </c>
      <c r="F715" s="1426"/>
      <c r="G715" s="1426"/>
      <c r="H715" s="1426"/>
      <c r="I715" s="1426"/>
      <c r="J715" s="1426"/>
      <c r="K715" s="1426"/>
      <c r="L715" s="1426"/>
      <c r="M715" s="1426"/>
      <c r="N715" s="1426"/>
      <c r="O715" s="1426"/>
      <c r="P715" s="1426"/>
      <c r="Q715" s="1426"/>
      <c r="R715" s="1426"/>
      <c r="S715" s="1426"/>
      <c r="T715" s="1426"/>
      <c r="U715" s="1426"/>
      <c r="V715" s="1426"/>
      <c r="W715" s="1426"/>
      <c r="X715" s="1426"/>
      <c r="Y715" s="1426"/>
      <c r="Z715" s="1426"/>
      <c r="AA715" s="1426"/>
      <c r="AB715" s="1426"/>
      <c r="AC715" s="1426"/>
      <c r="AD715" s="1426"/>
      <c r="AE715" s="1426"/>
      <c r="AF715" s="1426"/>
      <c r="AG715" s="1426"/>
      <c r="AH715" s="1426"/>
      <c r="AI715" s="1426"/>
      <c r="AJ715" s="1426"/>
      <c r="AK715" s="1426"/>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76" t="s">
        <v>95</v>
      </c>
      <c r="B717" s="1276"/>
      <c r="C717" s="1276"/>
      <c r="D717" s="1276"/>
      <c r="E717" s="1276"/>
      <c r="F717" s="1276"/>
      <c r="G717" s="1276"/>
      <c r="H717" s="1276"/>
      <c r="I717" s="1276"/>
      <c r="J717" s="1276"/>
      <c r="K717" s="1276"/>
      <c r="L717" s="1276"/>
      <c r="M717" s="1276"/>
      <c r="N717" s="1276"/>
      <c r="O717" s="1276"/>
      <c r="P717" s="1276"/>
      <c r="Q717" s="1276"/>
      <c r="R717" s="1276"/>
      <c r="S717" s="1276"/>
      <c r="T717" s="1276"/>
      <c r="U717" s="1276"/>
      <c r="V717" s="1276"/>
      <c r="W717" s="1276"/>
      <c r="X717" s="1276"/>
      <c r="Y717" s="1276"/>
      <c r="Z717" s="1276"/>
      <c r="AA717" s="1276"/>
      <c r="AB717" s="1276"/>
      <c r="AC717" s="1276"/>
      <c r="AD717" s="1276"/>
      <c r="AE717" s="1276"/>
      <c r="AF717" s="1276"/>
      <c r="AG717" s="1276"/>
      <c r="AH717" s="1276"/>
      <c r="AI717" s="1276"/>
      <c r="AJ717" s="1276"/>
      <c r="AK717" s="1276"/>
      <c r="AL717" s="1276"/>
      <c r="AM717" s="1276"/>
      <c r="AN717" s="1276"/>
      <c r="AO717" s="1276"/>
      <c r="AP717" s="1276"/>
      <c r="AQ717" s="1276"/>
      <c r="AR717" s="1276"/>
      <c r="AS717" s="1276"/>
      <c r="AT717" s="1276"/>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76"/>
      <c r="B718" s="1276"/>
      <c r="C718" s="1276"/>
      <c r="D718" s="1276"/>
      <c r="E718" s="1276"/>
      <c r="F718" s="1276"/>
      <c r="G718" s="1276"/>
      <c r="H718" s="1276"/>
      <c r="I718" s="1276"/>
      <c r="J718" s="1276"/>
      <c r="K718" s="1276"/>
      <c r="L718" s="1276"/>
      <c r="M718" s="1276"/>
      <c r="N718" s="1276"/>
      <c r="O718" s="1276"/>
      <c r="P718" s="1276"/>
      <c r="Q718" s="1276"/>
      <c r="R718" s="1276"/>
      <c r="S718" s="1276"/>
      <c r="T718" s="1276"/>
      <c r="U718" s="1276"/>
      <c r="V718" s="1276"/>
      <c r="W718" s="1276"/>
      <c r="X718" s="1276"/>
      <c r="Y718" s="1276"/>
      <c r="Z718" s="1276"/>
      <c r="AA718" s="1276"/>
      <c r="AB718" s="1276"/>
      <c r="AC718" s="1276"/>
      <c r="AD718" s="1276"/>
      <c r="AE718" s="1276"/>
      <c r="AF718" s="1276"/>
      <c r="AG718" s="1276"/>
      <c r="AH718" s="1276"/>
      <c r="AI718" s="1276"/>
      <c r="AJ718" s="1276"/>
      <c r="AK718" s="1276"/>
      <c r="AL718" s="1276"/>
      <c r="AM718" s="1276"/>
      <c r="AN718" s="1276"/>
      <c r="AO718" s="1276"/>
      <c r="AP718" s="1276"/>
      <c r="AQ718" s="1276"/>
      <c r="AR718" s="1276"/>
      <c r="AS718" s="1276"/>
      <c r="AT718" s="1276"/>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76"/>
      <c r="B719" s="1276"/>
      <c r="C719" s="1276"/>
      <c r="D719" s="1276"/>
      <c r="E719" s="1276"/>
      <c r="F719" s="1276"/>
      <c r="G719" s="1276"/>
      <c r="H719" s="1276"/>
      <c r="I719" s="1276"/>
      <c r="J719" s="1276"/>
      <c r="K719" s="1276"/>
      <c r="L719" s="1276"/>
      <c r="M719" s="1276"/>
      <c r="N719" s="1276"/>
      <c r="O719" s="1276"/>
      <c r="P719" s="1276"/>
      <c r="Q719" s="1276"/>
      <c r="R719" s="1276"/>
      <c r="S719" s="1276"/>
      <c r="T719" s="1276"/>
      <c r="U719" s="1276"/>
      <c r="V719" s="1276"/>
      <c r="W719" s="1276"/>
      <c r="X719" s="1276"/>
      <c r="Y719" s="1276"/>
      <c r="Z719" s="1276"/>
      <c r="AA719" s="1276"/>
      <c r="AB719" s="1276"/>
      <c r="AC719" s="1276"/>
      <c r="AD719" s="1276"/>
      <c r="AE719" s="1276"/>
      <c r="AF719" s="1276"/>
      <c r="AG719" s="1276"/>
      <c r="AH719" s="1276"/>
      <c r="AI719" s="1276"/>
      <c r="AJ719" s="1276"/>
      <c r="AK719" s="1276"/>
      <c r="AL719" s="1276"/>
      <c r="AM719" s="1276"/>
      <c r="AN719" s="1276"/>
      <c r="AO719" s="1276"/>
      <c r="AP719" s="1276"/>
      <c r="AQ719" s="1276"/>
      <c r="AR719" s="1276"/>
      <c r="AS719" s="1276"/>
      <c r="AT719" s="1276"/>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598" t="s">
        <v>389</v>
      </c>
      <c r="C722" s="1372"/>
      <c r="D722" s="1372"/>
      <c r="E722" s="1372"/>
      <c r="F722" s="1373"/>
      <c r="G722" s="1598" t="s">
        <v>285</v>
      </c>
      <c r="H722" s="1372"/>
      <c r="I722" s="1372"/>
      <c r="J722" s="1373"/>
      <c r="K722" s="1599" t="s">
        <v>1668</v>
      </c>
      <c r="L722" s="1600"/>
      <c r="M722" s="1600"/>
      <c r="N722" s="1601"/>
      <c r="O722" s="1598" t="s">
        <v>447</v>
      </c>
      <c r="P722" s="1372"/>
      <c r="Q722" s="1372"/>
      <c r="R722" s="1372"/>
      <c r="S722" s="1373"/>
      <c r="T722" s="1371" t="s">
        <v>1923</v>
      </c>
      <c r="U722" s="1372"/>
      <c r="V722" s="1372"/>
      <c r="W722" s="1373"/>
      <c r="X722" s="1371" t="s">
        <v>1925</v>
      </c>
      <c r="Y722" s="1372"/>
      <c r="Z722" s="1372"/>
      <c r="AA722" s="1372"/>
      <c r="AB722" s="1373"/>
      <c r="AC722" s="1371" t="s">
        <v>1924</v>
      </c>
      <c r="AD722" s="1372"/>
      <c r="AE722" s="1372"/>
      <c r="AF722" s="1372"/>
      <c r="AG722" s="1373"/>
      <c r="AH722" s="1371" t="s">
        <v>1926</v>
      </c>
      <c r="AI722" s="1372"/>
      <c r="AJ722" s="1373"/>
      <c r="AK722" s="1371" t="s">
        <v>1953</v>
      </c>
      <c r="AL722" s="1372"/>
      <c r="AM722" s="1372"/>
      <c r="AN722" s="1372"/>
      <c r="AO722" s="1373"/>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374"/>
      <c r="C723" s="1375"/>
      <c r="D723" s="1375"/>
      <c r="E723" s="1375"/>
      <c r="F723" s="1376"/>
      <c r="G723" s="1374"/>
      <c r="H723" s="1375"/>
      <c r="I723" s="1375"/>
      <c r="J723" s="1376"/>
      <c r="K723" s="1602"/>
      <c r="L723" s="1603"/>
      <c r="M723" s="1603"/>
      <c r="N723" s="1604"/>
      <c r="O723" s="1374"/>
      <c r="P723" s="1375"/>
      <c r="Q723" s="1375"/>
      <c r="R723" s="1375"/>
      <c r="S723" s="1376"/>
      <c r="T723" s="1374"/>
      <c r="U723" s="1375"/>
      <c r="V723" s="1375"/>
      <c r="W723" s="1376"/>
      <c r="X723" s="1374"/>
      <c r="Y723" s="1375"/>
      <c r="Z723" s="1375"/>
      <c r="AA723" s="1375"/>
      <c r="AB723" s="1376"/>
      <c r="AC723" s="1374"/>
      <c r="AD723" s="1375"/>
      <c r="AE723" s="1375"/>
      <c r="AF723" s="1375"/>
      <c r="AG723" s="1376"/>
      <c r="AH723" s="1374"/>
      <c r="AI723" s="1375"/>
      <c r="AJ723" s="1376"/>
      <c r="AK723" s="1374"/>
      <c r="AL723" s="1375"/>
      <c r="AM723" s="1375"/>
      <c r="AN723" s="1375"/>
      <c r="AO723" s="1376"/>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374"/>
      <c r="C724" s="1375"/>
      <c r="D724" s="1375"/>
      <c r="E724" s="1375"/>
      <c r="F724" s="1376"/>
      <c r="G724" s="1374"/>
      <c r="H724" s="1375"/>
      <c r="I724" s="1375"/>
      <c r="J724" s="1376"/>
      <c r="K724" s="1602"/>
      <c r="L724" s="1603"/>
      <c r="M724" s="1603"/>
      <c r="N724" s="1604"/>
      <c r="O724" s="1374"/>
      <c r="P724" s="1375"/>
      <c r="Q724" s="1375"/>
      <c r="R724" s="1375"/>
      <c r="S724" s="1376"/>
      <c r="T724" s="1374"/>
      <c r="U724" s="1375"/>
      <c r="V724" s="1375"/>
      <c r="W724" s="1376"/>
      <c r="X724" s="1374"/>
      <c r="Y724" s="1375"/>
      <c r="Z724" s="1375"/>
      <c r="AA724" s="1375"/>
      <c r="AB724" s="1376"/>
      <c r="AC724" s="1374"/>
      <c r="AD724" s="1375"/>
      <c r="AE724" s="1375"/>
      <c r="AF724" s="1375"/>
      <c r="AG724" s="1376"/>
      <c r="AH724" s="1374"/>
      <c r="AI724" s="1375"/>
      <c r="AJ724" s="1376"/>
      <c r="AK724" s="1374"/>
      <c r="AL724" s="1375"/>
      <c r="AM724" s="1375"/>
      <c r="AN724" s="1375"/>
      <c r="AO724" s="1376"/>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1820</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377"/>
      <c r="C725" s="1378"/>
      <c r="D725" s="1378"/>
      <c r="E725" s="1378"/>
      <c r="F725" s="1379"/>
      <c r="G725" s="1377"/>
      <c r="H725" s="1378"/>
      <c r="I725" s="1378"/>
      <c r="J725" s="1379"/>
      <c r="K725" s="1602"/>
      <c r="L725" s="1603"/>
      <c r="M725" s="1603"/>
      <c r="N725" s="1604"/>
      <c r="O725" s="1377"/>
      <c r="P725" s="1378"/>
      <c r="Q725" s="1378"/>
      <c r="R725" s="1378"/>
      <c r="S725" s="1379"/>
      <c r="T725" s="1377"/>
      <c r="U725" s="1378"/>
      <c r="V725" s="1378"/>
      <c r="W725" s="1379"/>
      <c r="X725" s="1377"/>
      <c r="Y725" s="1378"/>
      <c r="Z725" s="1378"/>
      <c r="AA725" s="1378"/>
      <c r="AB725" s="1379"/>
      <c r="AC725" s="1377"/>
      <c r="AD725" s="1378"/>
      <c r="AE725" s="1378"/>
      <c r="AF725" s="1378"/>
      <c r="AG725" s="1379"/>
      <c r="AH725" s="1377"/>
      <c r="AI725" s="1378"/>
      <c r="AJ725" s="1379"/>
      <c r="AK725" s="1377"/>
      <c r="AL725" s="1378"/>
      <c r="AM725" s="1378"/>
      <c r="AN725" s="1378"/>
      <c r="AO725" s="1379"/>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342"/>
      <c r="CJ725" s="1344"/>
      <c r="CK725" s="121" t="s">
        <v>475</v>
      </c>
      <c r="CL725" s="122"/>
      <c r="CM725" s="1342"/>
      <c r="CN725" s="1344"/>
      <c r="CO725" s="3"/>
      <c r="CP725" s="1675" t="s">
        <v>633</v>
      </c>
      <c r="CQ725" s="1676"/>
      <c r="CR725" s="1676"/>
      <c r="CS725" s="1676"/>
      <c r="CT725" s="1677"/>
      <c r="CU725" s="1492" t="s">
        <v>325</v>
      </c>
      <c r="CV725" s="1492"/>
      <c r="CW725" s="1492"/>
      <c r="CX725" s="1492"/>
      <c r="CY725" s="1492"/>
      <c r="CZ725" s="1492" t="s">
        <v>163</v>
      </c>
      <c r="DA725" s="1492"/>
      <c r="DB725" s="1492"/>
      <c r="DC725" s="1492"/>
      <c r="DD725" s="1492"/>
      <c r="DE725" s="1492" t="s">
        <v>164</v>
      </c>
      <c r="DF725" s="1492"/>
      <c r="DG725" s="1492"/>
      <c r="DH725" s="1492"/>
      <c r="DI725" s="1492"/>
      <c r="DJ725" s="1492" t="s">
        <v>460</v>
      </c>
      <c r="DK725" s="1492"/>
      <c r="DL725" s="1492"/>
      <c r="DM725" s="1492"/>
      <c r="DN725" s="1492"/>
      <c r="DO725" s="1492" t="s">
        <v>30</v>
      </c>
      <c r="DP725" s="1492"/>
      <c r="DQ725" s="1492"/>
      <c r="DR725" s="1492"/>
      <c r="DS725" s="1492"/>
      <c r="DT725" s="89"/>
      <c r="DU725" s="1492" t="s">
        <v>633</v>
      </c>
      <c r="DV725" s="1492"/>
      <c r="DW725" s="1492"/>
      <c r="DX725" s="1492"/>
      <c r="DY725" s="1492"/>
      <c r="DZ725" s="1492" t="s">
        <v>325</v>
      </c>
      <c r="EA725" s="1492"/>
      <c r="EB725" s="1492"/>
      <c r="EC725" s="1492"/>
      <c r="ED725" s="1492"/>
      <c r="EE725" s="1492" t="s">
        <v>163</v>
      </c>
      <c r="EF725" s="1492"/>
      <c r="EG725" s="1492"/>
      <c r="EH725" s="1492"/>
      <c r="EI725" s="1492"/>
      <c r="EJ725" s="1492" t="s">
        <v>164</v>
      </c>
      <c r="EK725" s="1492"/>
      <c r="EL725" s="1492"/>
      <c r="EM725" s="1492"/>
      <c r="EN725" s="1492"/>
      <c r="EO725" s="1492" t="s">
        <v>460</v>
      </c>
      <c r="EP725" s="1492"/>
      <c r="EQ725" s="1492"/>
      <c r="ER725" s="1492"/>
      <c r="ES725" s="1492"/>
      <c r="ET725" s="1492" t="s">
        <v>30</v>
      </c>
      <c r="EU725" s="1492"/>
      <c r="EV725" s="1492"/>
      <c r="EW725" s="1492"/>
      <c r="EX725" s="1492"/>
      <c r="EY725" s="4"/>
      <c r="EZ725" s="1492" t="s">
        <v>633</v>
      </c>
      <c r="FA725" s="1492"/>
      <c r="FB725" s="1492"/>
      <c r="FC725" s="1492"/>
      <c r="FD725" s="1492"/>
      <c r="FE725" s="1492" t="s">
        <v>325</v>
      </c>
      <c r="FF725" s="1492"/>
      <c r="FG725" s="1492"/>
      <c r="FH725" s="1492"/>
      <c r="FI725" s="1492"/>
      <c r="FJ725" s="1492" t="s">
        <v>163</v>
      </c>
      <c r="FK725" s="1492"/>
      <c r="FL725" s="1492"/>
      <c r="FM725" s="1492"/>
      <c r="FN725" s="1492"/>
      <c r="FO725" s="1492" t="s">
        <v>164</v>
      </c>
      <c r="FP725" s="1492"/>
      <c r="FQ725" s="1492"/>
      <c r="FR725" s="1492"/>
      <c r="FS725" s="1492"/>
      <c r="FT725" s="1492" t="s">
        <v>460</v>
      </c>
      <c r="FU725" s="1492"/>
      <c r="FV725" s="1492"/>
      <c r="FW725" s="1492"/>
      <c r="FX725" s="1492"/>
      <c r="FY725" s="1492" t="s">
        <v>30</v>
      </c>
      <c r="FZ725" s="1492"/>
      <c r="GA725" s="1492"/>
      <c r="GB725" s="1492"/>
      <c r="GC725" s="1492"/>
    </row>
    <row r="726" spans="1:185" ht="12.95" customHeight="1">
      <c r="A726" s="4"/>
      <c r="B726" s="1362" t="s">
        <v>324</v>
      </c>
      <c r="C726" s="1363"/>
      <c r="D726" s="1363"/>
      <c r="E726" s="1363"/>
      <c r="F726" s="1364"/>
      <c r="G726" s="1587">
        <v>2</v>
      </c>
      <c r="H726" s="1588"/>
      <c r="I726" s="1588"/>
      <c r="J726" s="1589"/>
      <c r="K726" s="1591">
        <v>500</v>
      </c>
      <c r="L726" s="1592"/>
      <c r="M726" s="1592"/>
      <c r="N726" s="1593"/>
      <c r="O726" s="1482">
        <f>888.4-T726</f>
        <v>820.4</v>
      </c>
      <c r="P726" s="1483"/>
      <c r="Q726" s="1483"/>
      <c r="R726" s="1483"/>
      <c r="S726" s="1484"/>
      <c r="T726" s="1482">
        <f>M840</f>
        <v>68</v>
      </c>
      <c r="U726" s="1483"/>
      <c r="V726" s="1483"/>
      <c r="W726" s="1484"/>
      <c r="X726" s="1404">
        <f t="shared" ref="X726:X749" si="10">O726+T726</f>
        <v>888.4</v>
      </c>
      <c r="Y726" s="1405"/>
      <c r="Z726" s="1405"/>
      <c r="AA726" s="1405"/>
      <c r="AB726" s="1406"/>
      <c r="AC726" s="1594">
        <v>0.3</v>
      </c>
      <c r="AD726" s="1595"/>
      <c r="AE726" s="1595"/>
      <c r="AF726" s="1595"/>
      <c r="AG726" s="1596"/>
      <c r="AH726" s="1386">
        <f>IF($AC726&gt;0,($X726/$AZ726), "")</f>
        <v>0.29993247805536799</v>
      </c>
      <c r="AI726" s="1387"/>
      <c r="AJ726" s="1388"/>
      <c r="AK726" s="1362" t="s">
        <v>591</v>
      </c>
      <c r="AL726" s="1363"/>
      <c r="AM726" s="1363"/>
      <c r="AN726" s="1363"/>
      <c r="AO726" s="1364"/>
      <c r="AP726" s="3"/>
      <c r="AQ726" s="3"/>
      <c r="AR726" s="3"/>
      <c r="AS726" s="3"/>
      <c r="AZ726" s="118">
        <f t="shared" ref="AZ726:AZ760" si="11">IF($G726=0,"N/A",VLOOKUP($T$189,TC_Rent,(MATCH($B726,bedrooms,FALSE)),FALSE))</f>
        <v>2962</v>
      </c>
      <c r="BA726" s="3"/>
      <c r="BB726" s="3"/>
      <c r="BC726" s="3"/>
      <c r="BD726" s="3"/>
      <c r="BE726" s="204"/>
      <c r="BF726" s="293">
        <f t="shared" ref="BF726:BF760" si="12">G726</f>
        <v>2</v>
      </c>
      <c r="BG726" s="297">
        <f t="shared" ref="BG726:BG760" si="13">IF($BF$761=0,0,BF726/$BF$761)</f>
        <v>1.0638297872340425E-2</v>
      </c>
      <c r="BH726" s="298">
        <f t="shared" ref="BH726:BH760" si="14">IF(BG726=0,"",BG726*AC726)</f>
        <v>3.1914893617021275E-3</v>
      </c>
      <c r="BI726" s="3"/>
      <c r="BJ726" s="3"/>
      <c r="BK726" s="3"/>
      <c r="BL726" s="3"/>
      <c r="BM726" s="3"/>
      <c r="BN726" s="3"/>
      <c r="BS726" s="293">
        <f t="shared" ref="BS726:BS760" si="15">G726</f>
        <v>2</v>
      </c>
      <c r="BT726" s="297">
        <f t="shared" ref="BT726:BT760" si="16">IF($BS$761=0,0,BS726/$BS$761)</f>
        <v>1.0638297872340425E-2</v>
      </c>
      <c r="BU726" s="298">
        <f t="shared" ref="BU726:BU760" si="17">IF(BT726=0,"",BT726*AH726)</f>
        <v>3.1907710431422127E-3</v>
      </c>
      <c r="CC726" s="3"/>
      <c r="CD726" s="3"/>
      <c r="CE726" s="3"/>
      <c r="CF726" s="3"/>
      <c r="CG726" s="1359">
        <f>IF(AND(AC726&lt;=0.5,AC726&gt;=0.36),1,0)</f>
        <v>0</v>
      </c>
      <c r="CH726" s="1361"/>
      <c r="CI726" s="1342">
        <f>IF(CG726=1,G726,0)</f>
        <v>0</v>
      </c>
      <c r="CJ726" s="1344"/>
      <c r="CK726" s="1359">
        <f t="shared" ref="CK726:CK760" si="18">IF(AND(AC726&lt;=0.35,AC726&gt;0),1,0)</f>
        <v>1</v>
      </c>
      <c r="CL726" s="1361"/>
      <c r="CM726" s="1342">
        <f t="shared" ref="CM726:CM760" si="19">IF(CK726=1,G726,0)</f>
        <v>2</v>
      </c>
      <c r="CN726" s="1344"/>
      <c r="CO726" s="3"/>
      <c r="CP726" s="1339">
        <f t="shared" ref="CP726:CP760" si="20">IF(B726="SRO/Studio",G726,0)</f>
        <v>2</v>
      </c>
      <c r="CQ726" s="1340"/>
      <c r="CR726" s="1340"/>
      <c r="CS726" s="1340"/>
      <c r="CT726" s="1341"/>
      <c r="CU726" s="1347">
        <f t="shared" ref="CU726:CU760" si="21">IF(B726="1 Bedroom",G726,0)</f>
        <v>0</v>
      </c>
      <c r="CV726" s="1347"/>
      <c r="CW726" s="1347"/>
      <c r="CX726" s="1347"/>
      <c r="CY726" s="1347"/>
      <c r="CZ726" s="1347">
        <f t="shared" ref="CZ726:CZ760" si="22">IF(B726="2 Bedrooms",G726,0)</f>
        <v>0</v>
      </c>
      <c r="DA726" s="1347"/>
      <c r="DB726" s="1347"/>
      <c r="DC726" s="1347"/>
      <c r="DD726" s="1347"/>
      <c r="DE726" s="1347">
        <f t="shared" ref="DE726:DE760" si="23">IF(B726="3 Bedrooms",G726,0)</f>
        <v>0</v>
      </c>
      <c r="DF726" s="1347"/>
      <c r="DG726" s="1347"/>
      <c r="DH726" s="1347"/>
      <c r="DI726" s="1347"/>
      <c r="DJ726" s="1347">
        <f t="shared" ref="DJ726:DJ760" si="24">IF(B726="4 Bedrooms",G726,0)</f>
        <v>0</v>
      </c>
      <c r="DK726" s="1347"/>
      <c r="DL726" s="1347"/>
      <c r="DM726" s="1347"/>
      <c r="DN726" s="1347"/>
      <c r="DO726" s="1347">
        <f t="shared" ref="DO726:DO760" si="25">IF(B726="5 Bedrooms",G726,0)</f>
        <v>0</v>
      </c>
      <c r="DP726" s="1347"/>
      <c r="DQ726" s="1347"/>
      <c r="DR726" s="1347"/>
      <c r="DS726" s="1347"/>
      <c r="DT726" s="6"/>
      <c r="DU726" s="1366">
        <f t="shared" ref="DU726:DU760" si="26">IF(AND(B726="SRO/Studio",AC726&lt;=0.3),G726,0)</f>
        <v>2</v>
      </c>
      <c r="DV726" s="1366"/>
      <c r="DW726" s="1366"/>
      <c r="DX726" s="1366"/>
      <c r="DY726" s="1366"/>
      <c r="DZ726" s="1366">
        <f t="shared" ref="DZ726:DZ760" si="27">IF(AND(B726="1 Bedroom",AC726&lt;=0.3),G726,0)</f>
        <v>0</v>
      </c>
      <c r="EA726" s="1366"/>
      <c r="EB726" s="1366"/>
      <c r="EC726" s="1366"/>
      <c r="ED726" s="1366"/>
      <c r="EE726" s="1366">
        <f t="shared" ref="EE726:EE760" si="28">IF(AND(B726="2 Bedrooms",AC726&lt;=0.3),G726,0)</f>
        <v>0</v>
      </c>
      <c r="EF726" s="1366"/>
      <c r="EG726" s="1366"/>
      <c r="EH726" s="1366"/>
      <c r="EI726" s="1366"/>
      <c r="EJ726" s="1366">
        <f t="shared" ref="EJ726:EJ760" si="29">IF(AND(B726="3 Bedrooms",AC726&lt;=0.3),G726,0)</f>
        <v>0</v>
      </c>
      <c r="EK726" s="1366"/>
      <c r="EL726" s="1366"/>
      <c r="EM726" s="1366"/>
      <c r="EN726" s="1366"/>
      <c r="EO726" s="1366">
        <f t="shared" ref="EO726:EO760" si="30">IF(AND(B726="4 Bedrooms",AC726&lt;=0.3),G726,0)</f>
        <v>0</v>
      </c>
      <c r="EP726" s="1366"/>
      <c r="EQ726" s="1366"/>
      <c r="ER726" s="1366"/>
      <c r="ES726" s="1366"/>
      <c r="ET726" s="1366">
        <f t="shared" ref="ET726:ET760" si="31">IF(AND(B726="5 Bedrooms",AC726&lt;=0.3),G726,0)</f>
        <v>0</v>
      </c>
      <c r="EU726" s="1366"/>
      <c r="EV726" s="1366"/>
      <c r="EW726" s="1366"/>
      <c r="EX726" s="1366"/>
      <c r="EY726" s="4"/>
      <c r="EZ726" s="1359">
        <f t="shared" ref="EZ726:EZ760" si="32">IF(CP726&gt;0,O726,"")</f>
        <v>820.4</v>
      </c>
      <c r="FA726" s="1360"/>
      <c r="FB726" s="1360"/>
      <c r="FC726" s="1360"/>
      <c r="FD726" s="1361"/>
      <c r="FE726" s="1359" t="str">
        <f t="shared" ref="FE726:FE760" si="33">IF(CU726&gt;0,O726,"")</f>
        <v/>
      </c>
      <c r="FF726" s="1360"/>
      <c r="FG726" s="1360"/>
      <c r="FH726" s="1360"/>
      <c r="FI726" s="1361"/>
      <c r="FJ726" s="1359" t="str">
        <f t="shared" ref="FJ726:FJ760" si="34">IF(CZ726&gt;0,O726,"")</f>
        <v/>
      </c>
      <c r="FK726" s="1360"/>
      <c r="FL726" s="1360"/>
      <c r="FM726" s="1360"/>
      <c r="FN726" s="1361"/>
      <c r="FO726" s="1359" t="str">
        <f t="shared" ref="FO726:FO760" si="35">IF(DE726&gt;0,O726,"")</f>
        <v/>
      </c>
      <c r="FP726" s="1360"/>
      <c r="FQ726" s="1360"/>
      <c r="FR726" s="1360"/>
      <c r="FS726" s="1361"/>
      <c r="FT726" s="1359" t="str">
        <f t="shared" ref="FT726:FT760" si="36">IF(DJ726&gt;0,O726,"")</f>
        <v/>
      </c>
      <c r="FU726" s="1360"/>
      <c r="FV726" s="1360"/>
      <c r="FW726" s="1360"/>
      <c r="FX726" s="1361"/>
      <c r="FY726" s="1359" t="str">
        <f t="shared" ref="FY726:FY760" si="37">IF(DO726&gt;0,O726,"")</f>
        <v/>
      </c>
      <c r="FZ726" s="1360"/>
      <c r="GA726" s="1360"/>
      <c r="GB726" s="1360"/>
      <c r="GC726" s="1361"/>
    </row>
    <row r="727" spans="1:185" ht="12.95" customHeight="1">
      <c r="A727" s="4"/>
      <c r="B727" s="1362" t="s">
        <v>324</v>
      </c>
      <c r="C727" s="1363"/>
      <c r="D727" s="1363"/>
      <c r="E727" s="1363"/>
      <c r="F727" s="1364"/>
      <c r="G727" s="1587">
        <v>2</v>
      </c>
      <c r="H727" s="1588"/>
      <c r="I727" s="1588"/>
      <c r="J727" s="1589"/>
      <c r="K727" s="1591">
        <v>500</v>
      </c>
      <c r="L727" s="1592"/>
      <c r="M727" s="1592"/>
      <c r="N727" s="1593"/>
      <c r="O727" s="1482">
        <f>1481.2-T727</f>
        <v>1413.2</v>
      </c>
      <c r="P727" s="1483"/>
      <c r="Q727" s="1483"/>
      <c r="R727" s="1483"/>
      <c r="S727" s="1484"/>
      <c r="T727" s="1482">
        <f>M840</f>
        <v>68</v>
      </c>
      <c r="U727" s="1483"/>
      <c r="V727" s="1483"/>
      <c r="W727" s="1484"/>
      <c r="X727" s="1404">
        <f t="shared" si="10"/>
        <v>1481.2</v>
      </c>
      <c r="Y727" s="1405"/>
      <c r="Z727" s="1405"/>
      <c r="AA727" s="1405"/>
      <c r="AB727" s="1406"/>
      <c r="AC727" s="1594">
        <v>0.5</v>
      </c>
      <c r="AD727" s="1595"/>
      <c r="AE727" s="1595"/>
      <c r="AF727" s="1595"/>
      <c r="AG727" s="1596"/>
      <c r="AH727" s="1386">
        <f t="shared" ref="AH727:AH760" si="38">IF($AC727&gt;0,($X727/$AZ727), "")</f>
        <v>0.500067521944632</v>
      </c>
      <c r="AI727" s="1387"/>
      <c r="AJ727" s="1388"/>
      <c r="AK727" s="1362" t="s">
        <v>591</v>
      </c>
      <c r="AL727" s="1363"/>
      <c r="AM727" s="1363"/>
      <c r="AN727" s="1363"/>
      <c r="AO727" s="1364"/>
      <c r="AP727" s="3"/>
      <c r="AQ727" s="3"/>
      <c r="AR727" s="3"/>
      <c r="AS727" s="3"/>
      <c r="AZ727" s="118">
        <f t="shared" si="11"/>
        <v>2962</v>
      </c>
      <c r="BA727" s="3"/>
      <c r="BB727" s="3"/>
      <c r="BC727" s="3"/>
      <c r="BD727" s="3"/>
      <c r="BE727" s="204"/>
      <c r="BF727" s="294">
        <f t="shared" si="12"/>
        <v>2</v>
      </c>
      <c r="BG727" s="297">
        <f t="shared" si="13"/>
        <v>1.0638297872340425E-2</v>
      </c>
      <c r="BH727" s="298">
        <f t="shared" si="14"/>
        <v>5.3191489361702126E-3</v>
      </c>
      <c r="BI727" s="3"/>
      <c r="BJ727" s="3"/>
      <c r="BK727" s="3"/>
      <c r="BL727" s="3"/>
      <c r="BM727" s="3"/>
      <c r="BN727" s="3"/>
      <c r="BS727" s="294">
        <f t="shared" si="15"/>
        <v>2</v>
      </c>
      <c r="BT727" s="297">
        <f t="shared" si="16"/>
        <v>1.0638297872340425E-2</v>
      </c>
      <c r="BU727" s="298">
        <f t="shared" si="17"/>
        <v>5.3198672547301274E-3</v>
      </c>
      <c r="CC727" s="3"/>
      <c r="CD727" s="3"/>
      <c r="CE727" s="3"/>
      <c r="CF727" s="3"/>
      <c r="CG727" s="1359">
        <f t="shared" ref="CG727:CG760" si="39">IF(AND(AC727&lt;=0.5,AC727&gt;=0.36),1,0)</f>
        <v>1</v>
      </c>
      <c r="CH727" s="1361"/>
      <c r="CI727" s="1342">
        <f t="shared" ref="CI727:CI760" si="40">IF(CG727=1,G727,0)</f>
        <v>2</v>
      </c>
      <c r="CJ727" s="1344"/>
      <c r="CK727" s="1359">
        <f t="shared" si="18"/>
        <v>0</v>
      </c>
      <c r="CL727" s="1361"/>
      <c r="CM727" s="1342">
        <f t="shared" si="19"/>
        <v>0</v>
      </c>
      <c r="CN727" s="1344"/>
      <c r="CO727" s="3"/>
      <c r="CP727" s="1339">
        <f t="shared" si="20"/>
        <v>2</v>
      </c>
      <c r="CQ727" s="1340"/>
      <c r="CR727" s="1340"/>
      <c r="CS727" s="1340"/>
      <c r="CT727" s="1341"/>
      <c r="CU727" s="1347">
        <f t="shared" si="21"/>
        <v>0</v>
      </c>
      <c r="CV727" s="1347"/>
      <c r="CW727" s="1347"/>
      <c r="CX727" s="1347"/>
      <c r="CY727" s="1347"/>
      <c r="CZ727" s="1347">
        <f t="shared" si="22"/>
        <v>0</v>
      </c>
      <c r="DA727" s="1347"/>
      <c r="DB727" s="1347"/>
      <c r="DC727" s="1347"/>
      <c r="DD727" s="1347"/>
      <c r="DE727" s="1347">
        <f t="shared" si="23"/>
        <v>0</v>
      </c>
      <c r="DF727" s="1347"/>
      <c r="DG727" s="1347"/>
      <c r="DH727" s="1347"/>
      <c r="DI727" s="1347"/>
      <c r="DJ727" s="1347">
        <f t="shared" si="24"/>
        <v>0</v>
      </c>
      <c r="DK727" s="1347"/>
      <c r="DL727" s="1347"/>
      <c r="DM727" s="1347"/>
      <c r="DN727" s="1347"/>
      <c r="DO727" s="1347">
        <f t="shared" si="25"/>
        <v>0</v>
      </c>
      <c r="DP727" s="1347"/>
      <c r="DQ727" s="1347"/>
      <c r="DR727" s="1347"/>
      <c r="DS727" s="1347"/>
      <c r="DT727" s="6"/>
      <c r="DU727" s="1366">
        <f t="shared" si="26"/>
        <v>0</v>
      </c>
      <c r="DV727" s="1366"/>
      <c r="DW727" s="1366"/>
      <c r="DX727" s="1366"/>
      <c r="DY727" s="1366"/>
      <c r="DZ727" s="1366">
        <f t="shared" si="27"/>
        <v>0</v>
      </c>
      <c r="EA727" s="1366"/>
      <c r="EB727" s="1366"/>
      <c r="EC727" s="1366"/>
      <c r="ED727" s="1366"/>
      <c r="EE727" s="1366">
        <f t="shared" si="28"/>
        <v>0</v>
      </c>
      <c r="EF727" s="1366"/>
      <c r="EG727" s="1366"/>
      <c r="EH727" s="1366"/>
      <c r="EI727" s="1366"/>
      <c r="EJ727" s="1366">
        <f t="shared" si="29"/>
        <v>0</v>
      </c>
      <c r="EK727" s="1366"/>
      <c r="EL727" s="1366"/>
      <c r="EM727" s="1366"/>
      <c r="EN727" s="1366"/>
      <c r="EO727" s="1366">
        <f t="shared" si="30"/>
        <v>0</v>
      </c>
      <c r="EP727" s="1366"/>
      <c r="EQ727" s="1366"/>
      <c r="ER727" s="1366"/>
      <c r="ES727" s="1366"/>
      <c r="ET727" s="1366">
        <f t="shared" si="31"/>
        <v>0</v>
      </c>
      <c r="EU727" s="1366"/>
      <c r="EV727" s="1366"/>
      <c r="EW727" s="1366"/>
      <c r="EX727" s="1366"/>
      <c r="EY727" s="4"/>
      <c r="EZ727" s="1359">
        <f t="shared" si="32"/>
        <v>1413.2</v>
      </c>
      <c r="FA727" s="1360"/>
      <c r="FB727" s="1360"/>
      <c r="FC727" s="1360"/>
      <c r="FD727" s="1361"/>
      <c r="FE727" s="1359" t="str">
        <f t="shared" si="33"/>
        <v/>
      </c>
      <c r="FF727" s="1360"/>
      <c r="FG727" s="1360"/>
      <c r="FH727" s="1360"/>
      <c r="FI727" s="1361"/>
      <c r="FJ727" s="1359" t="str">
        <f t="shared" si="34"/>
        <v/>
      </c>
      <c r="FK727" s="1360"/>
      <c r="FL727" s="1360"/>
      <c r="FM727" s="1360"/>
      <c r="FN727" s="1361"/>
      <c r="FO727" s="1359" t="str">
        <f t="shared" si="35"/>
        <v/>
      </c>
      <c r="FP727" s="1360"/>
      <c r="FQ727" s="1360"/>
      <c r="FR727" s="1360"/>
      <c r="FS727" s="1361"/>
      <c r="FT727" s="1359" t="str">
        <f t="shared" si="36"/>
        <v/>
      </c>
      <c r="FU727" s="1360"/>
      <c r="FV727" s="1360"/>
      <c r="FW727" s="1360"/>
      <c r="FX727" s="1361"/>
      <c r="FY727" s="1359" t="str">
        <f t="shared" si="37"/>
        <v/>
      </c>
      <c r="FZ727" s="1360"/>
      <c r="GA727" s="1360"/>
      <c r="GB727" s="1360"/>
      <c r="GC727" s="1361"/>
    </row>
    <row r="728" spans="1:185" ht="12.95" customHeight="1">
      <c r="A728" s="4"/>
      <c r="B728" s="1362" t="s">
        <v>324</v>
      </c>
      <c r="C728" s="1363"/>
      <c r="D728" s="1363"/>
      <c r="E728" s="1363"/>
      <c r="F728" s="1364"/>
      <c r="G728" s="1587">
        <v>6</v>
      </c>
      <c r="H728" s="1588"/>
      <c r="I728" s="1588"/>
      <c r="J728" s="1589"/>
      <c r="K728" s="1591">
        <v>500</v>
      </c>
      <c r="L728" s="1592"/>
      <c r="M728" s="1592"/>
      <c r="N728" s="1593"/>
      <c r="O728" s="1482">
        <f>1777.2-T728</f>
        <v>1709.2</v>
      </c>
      <c r="P728" s="1483"/>
      <c r="Q728" s="1483"/>
      <c r="R728" s="1483"/>
      <c r="S728" s="1484"/>
      <c r="T728" s="1482">
        <f>M840</f>
        <v>68</v>
      </c>
      <c r="U728" s="1483"/>
      <c r="V728" s="1483"/>
      <c r="W728" s="1484"/>
      <c r="X728" s="1404">
        <f t="shared" si="10"/>
        <v>1777.2</v>
      </c>
      <c r="Y728" s="1405"/>
      <c r="Z728" s="1405"/>
      <c r="AA728" s="1405"/>
      <c r="AB728" s="1406"/>
      <c r="AC728" s="1594">
        <v>0.6</v>
      </c>
      <c r="AD728" s="1595"/>
      <c r="AE728" s="1595"/>
      <c r="AF728" s="1595"/>
      <c r="AG728" s="1596"/>
      <c r="AH728" s="1386">
        <f t="shared" si="38"/>
        <v>0.6</v>
      </c>
      <c r="AI728" s="1387"/>
      <c r="AJ728" s="1388"/>
      <c r="AK728" s="1362" t="s">
        <v>591</v>
      </c>
      <c r="AL728" s="1363"/>
      <c r="AM728" s="1363"/>
      <c r="AN728" s="1363"/>
      <c r="AO728" s="1364"/>
      <c r="AP728" s="3"/>
      <c r="AQ728" s="3"/>
      <c r="AR728" s="3"/>
      <c r="AS728" s="3"/>
      <c r="AZ728" s="118">
        <f t="shared" si="11"/>
        <v>2962</v>
      </c>
      <c r="BA728" s="3"/>
      <c r="BB728" s="3"/>
      <c r="BC728" s="3"/>
      <c r="BD728" s="3"/>
      <c r="BE728" s="204"/>
      <c r="BF728" s="294">
        <f t="shared" si="12"/>
        <v>6</v>
      </c>
      <c r="BG728" s="297">
        <f t="shared" si="13"/>
        <v>3.1914893617021274E-2</v>
      </c>
      <c r="BH728" s="298">
        <f t="shared" si="14"/>
        <v>1.9148936170212762E-2</v>
      </c>
      <c r="BI728" s="3"/>
      <c r="BJ728" s="3"/>
      <c r="BK728" s="3"/>
      <c r="BL728" s="3"/>
      <c r="BM728" s="3"/>
      <c r="BN728" s="3"/>
      <c r="BS728" s="294">
        <f t="shared" si="15"/>
        <v>6</v>
      </c>
      <c r="BT728" s="297">
        <f t="shared" si="16"/>
        <v>3.1914893617021274E-2</v>
      </c>
      <c r="BU728" s="298">
        <f t="shared" si="17"/>
        <v>1.9148936170212762E-2</v>
      </c>
      <c r="CC728" s="3"/>
      <c r="CD728" s="3"/>
      <c r="CE728" s="3"/>
      <c r="CF728" s="3"/>
      <c r="CG728" s="1359">
        <f t="shared" si="39"/>
        <v>0</v>
      </c>
      <c r="CH728" s="1361"/>
      <c r="CI728" s="1342">
        <f t="shared" si="40"/>
        <v>0</v>
      </c>
      <c r="CJ728" s="1344"/>
      <c r="CK728" s="1359">
        <f t="shared" si="18"/>
        <v>0</v>
      </c>
      <c r="CL728" s="1361"/>
      <c r="CM728" s="1342">
        <f t="shared" si="19"/>
        <v>0</v>
      </c>
      <c r="CN728" s="1344"/>
      <c r="CO728" s="3"/>
      <c r="CP728" s="1339">
        <f t="shared" si="20"/>
        <v>6</v>
      </c>
      <c r="CQ728" s="1340"/>
      <c r="CR728" s="1340"/>
      <c r="CS728" s="1340"/>
      <c r="CT728" s="1341"/>
      <c r="CU728" s="1347">
        <f t="shared" si="21"/>
        <v>0</v>
      </c>
      <c r="CV728" s="1347"/>
      <c r="CW728" s="1347"/>
      <c r="CX728" s="1347"/>
      <c r="CY728" s="1347"/>
      <c r="CZ728" s="1347">
        <f t="shared" si="22"/>
        <v>0</v>
      </c>
      <c r="DA728" s="1347"/>
      <c r="DB728" s="1347"/>
      <c r="DC728" s="1347"/>
      <c r="DD728" s="1347"/>
      <c r="DE728" s="1347">
        <f t="shared" si="23"/>
        <v>0</v>
      </c>
      <c r="DF728" s="1347"/>
      <c r="DG728" s="1347"/>
      <c r="DH728" s="1347"/>
      <c r="DI728" s="1347"/>
      <c r="DJ728" s="1347">
        <f t="shared" si="24"/>
        <v>0</v>
      </c>
      <c r="DK728" s="1347"/>
      <c r="DL728" s="1347"/>
      <c r="DM728" s="1347"/>
      <c r="DN728" s="1347"/>
      <c r="DO728" s="1347">
        <f t="shared" si="25"/>
        <v>0</v>
      </c>
      <c r="DP728" s="1347"/>
      <c r="DQ728" s="1347"/>
      <c r="DR728" s="1347"/>
      <c r="DS728" s="1347"/>
      <c r="DT728" s="6"/>
      <c r="DU728" s="1366">
        <f t="shared" si="26"/>
        <v>0</v>
      </c>
      <c r="DV728" s="1366"/>
      <c r="DW728" s="1366"/>
      <c r="DX728" s="1366"/>
      <c r="DY728" s="1366"/>
      <c r="DZ728" s="1366">
        <f t="shared" si="27"/>
        <v>0</v>
      </c>
      <c r="EA728" s="1366"/>
      <c r="EB728" s="1366"/>
      <c r="EC728" s="1366"/>
      <c r="ED728" s="1366"/>
      <c r="EE728" s="1366">
        <f t="shared" si="28"/>
        <v>0</v>
      </c>
      <c r="EF728" s="1366"/>
      <c r="EG728" s="1366"/>
      <c r="EH728" s="1366"/>
      <c r="EI728" s="1366"/>
      <c r="EJ728" s="1366">
        <f t="shared" si="29"/>
        <v>0</v>
      </c>
      <c r="EK728" s="1366"/>
      <c r="EL728" s="1366"/>
      <c r="EM728" s="1366"/>
      <c r="EN728" s="1366"/>
      <c r="EO728" s="1366">
        <f t="shared" si="30"/>
        <v>0</v>
      </c>
      <c r="EP728" s="1366"/>
      <c r="EQ728" s="1366"/>
      <c r="ER728" s="1366"/>
      <c r="ES728" s="1366"/>
      <c r="ET728" s="1366">
        <f t="shared" si="31"/>
        <v>0</v>
      </c>
      <c r="EU728" s="1366"/>
      <c r="EV728" s="1366"/>
      <c r="EW728" s="1366"/>
      <c r="EX728" s="1366"/>
      <c r="EZ728" s="1359">
        <f t="shared" si="32"/>
        <v>1709.2</v>
      </c>
      <c r="FA728" s="1360"/>
      <c r="FB728" s="1360"/>
      <c r="FC728" s="1360"/>
      <c r="FD728" s="1361"/>
      <c r="FE728" s="1359" t="str">
        <f t="shared" si="33"/>
        <v/>
      </c>
      <c r="FF728" s="1360"/>
      <c r="FG728" s="1360"/>
      <c r="FH728" s="1360"/>
      <c r="FI728" s="1361"/>
      <c r="FJ728" s="1359" t="str">
        <f t="shared" si="34"/>
        <v/>
      </c>
      <c r="FK728" s="1360"/>
      <c r="FL728" s="1360"/>
      <c r="FM728" s="1360"/>
      <c r="FN728" s="1361"/>
      <c r="FO728" s="1359" t="str">
        <f t="shared" si="35"/>
        <v/>
      </c>
      <c r="FP728" s="1360"/>
      <c r="FQ728" s="1360"/>
      <c r="FR728" s="1360"/>
      <c r="FS728" s="1361"/>
      <c r="FT728" s="1359" t="str">
        <f t="shared" si="36"/>
        <v/>
      </c>
      <c r="FU728" s="1360"/>
      <c r="FV728" s="1360"/>
      <c r="FW728" s="1360"/>
      <c r="FX728" s="1361"/>
      <c r="FY728" s="1359" t="str">
        <f t="shared" si="37"/>
        <v/>
      </c>
      <c r="FZ728" s="1360"/>
      <c r="GA728" s="1360"/>
      <c r="GB728" s="1360"/>
      <c r="GC728" s="1361"/>
    </row>
    <row r="729" spans="1:185" ht="12.95" customHeight="1">
      <c r="B729" s="1362" t="s">
        <v>324</v>
      </c>
      <c r="C729" s="1363"/>
      <c r="D729" s="1363"/>
      <c r="E729" s="1363"/>
      <c r="F729" s="1364"/>
      <c r="G729" s="1587">
        <v>6</v>
      </c>
      <c r="H729" s="1588"/>
      <c r="I729" s="1588"/>
      <c r="J729" s="1589"/>
      <c r="K729" s="1591">
        <v>500</v>
      </c>
      <c r="L729" s="1592"/>
      <c r="M729" s="1592"/>
      <c r="N729" s="1593"/>
      <c r="O729" s="1482">
        <f>2073.4-T729</f>
        <v>2005.4</v>
      </c>
      <c r="P729" s="1483"/>
      <c r="Q729" s="1483"/>
      <c r="R729" s="1483"/>
      <c r="S729" s="1484"/>
      <c r="T729" s="1482">
        <f>M840</f>
        <v>68</v>
      </c>
      <c r="U729" s="1483"/>
      <c r="V729" s="1483"/>
      <c r="W729" s="1484"/>
      <c r="X729" s="1404">
        <f t="shared" si="10"/>
        <v>2073.4</v>
      </c>
      <c r="Y729" s="1405"/>
      <c r="Z729" s="1405"/>
      <c r="AA729" s="1405"/>
      <c r="AB729" s="1406"/>
      <c r="AC729" s="1594">
        <v>0.7</v>
      </c>
      <c r="AD729" s="1595"/>
      <c r="AE729" s="1595"/>
      <c r="AF729" s="1595"/>
      <c r="AG729" s="1596"/>
      <c r="AH729" s="1386">
        <f t="shared" si="38"/>
        <v>0.70000000000000007</v>
      </c>
      <c r="AI729" s="1387"/>
      <c r="AJ729" s="1388"/>
      <c r="AK729" s="1362" t="s">
        <v>591</v>
      </c>
      <c r="AL729" s="1363"/>
      <c r="AM729" s="1363"/>
      <c r="AN729" s="1363"/>
      <c r="AO729" s="1364"/>
      <c r="AP729" s="3"/>
      <c r="AQ729" s="3"/>
      <c r="AR729" s="3"/>
      <c r="AS729" s="3"/>
      <c r="AY729" s="116"/>
      <c r="AZ729" s="118">
        <f t="shared" si="11"/>
        <v>2962</v>
      </c>
      <c r="BA729" s="3"/>
      <c r="BB729" s="3"/>
      <c r="BC729" s="3"/>
      <c r="BD729" s="3"/>
      <c r="BE729" s="204"/>
      <c r="BF729" s="294">
        <f t="shared" si="12"/>
        <v>6</v>
      </c>
      <c r="BG729" s="297">
        <f t="shared" si="13"/>
        <v>3.1914893617021274E-2</v>
      </c>
      <c r="BH729" s="298">
        <f t="shared" si="14"/>
        <v>2.2340425531914891E-2</v>
      </c>
      <c r="BI729" s="3"/>
      <c r="BJ729" s="3"/>
      <c r="BK729" s="3"/>
      <c r="BL729" s="3"/>
      <c r="BM729" s="3"/>
      <c r="BN729" s="3"/>
      <c r="BS729" s="294">
        <f t="shared" si="15"/>
        <v>6</v>
      </c>
      <c r="BT729" s="297">
        <f t="shared" si="16"/>
        <v>3.1914893617021274E-2</v>
      </c>
      <c r="BU729" s="298">
        <f t="shared" si="17"/>
        <v>2.2340425531914895E-2</v>
      </c>
      <c r="CC729" s="3"/>
      <c r="CD729" s="3"/>
      <c r="CE729" s="3"/>
      <c r="CF729" s="3"/>
      <c r="CG729" s="1359">
        <f t="shared" si="39"/>
        <v>0</v>
      </c>
      <c r="CH729" s="1361"/>
      <c r="CI729" s="1342">
        <f t="shared" si="40"/>
        <v>0</v>
      </c>
      <c r="CJ729" s="1344"/>
      <c r="CK729" s="1359">
        <f t="shared" si="18"/>
        <v>0</v>
      </c>
      <c r="CL729" s="1361"/>
      <c r="CM729" s="1342">
        <f t="shared" si="19"/>
        <v>0</v>
      </c>
      <c r="CN729" s="1344"/>
      <c r="CO729" s="3"/>
      <c r="CP729" s="1339">
        <f t="shared" si="20"/>
        <v>6</v>
      </c>
      <c r="CQ729" s="1340"/>
      <c r="CR729" s="1340"/>
      <c r="CS729" s="1340"/>
      <c r="CT729" s="1341"/>
      <c r="CU729" s="1347">
        <f t="shared" si="21"/>
        <v>0</v>
      </c>
      <c r="CV729" s="1347"/>
      <c r="CW729" s="1347"/>
      <c r="CX729" s="1347"/>
      <c r="CY729" s="1347"/>
      <c r="CZ729" s="1347">
        <f t="shared" si="22"/>
        <v>0</v>
      </c>
      <c r="DA729" s="1347"/>
      <c r="DB729" s="1347"/>
      <c r="DC729" s="1347"/>
      <c r="DD729" s="1347"/>
      <c r="DE729" s="1347">
        <f t="shared" si="23"/>
        <v>0</v>
      </c>
      <c r="DF729" s="1347"/>
      <c r="DG729" s="1347"/>
      <c r="DH729" s="1347"/>
      <c r="DI729" s="1347"/>
      <c r="DJ729" s="1347">
        <f t="shared" si="24"/>
        <v>0</v>
      </c>
      <c r="DK729" s="1347"/>
      <c r="DL729" s="1347"/>
      <c r="DM729" s="1347"/>
      <c r="DN729" s="1347"/>
      <c r="DO729" s="1347">
        <f t="shared" si="25"/>
        <v>0</v>
      </c>
      <c r="DP729" s="1347"/>
      <c r="DQ729" s="1347"/>
      <c r="DR729" s="1347"/>
      <c r="DS729" s="1347"/>
      <c r="DT729" s="6"/>
      <c r="DU729" s="1366">
        <f t="shared" si="26"/>
        <v>0</v>
      </c>
      <c r="DV729" s="1366"/>
      <c r="DW729" s="1366"/>
      <c r="DX729" s="1366"/>
      <c r="DY729" s="1366"/>
      <c r="DZ729" s="1366">
        <f t="shared" si="27"/>
        <v>0</v>
      </c>
      <c r="EA729" s="1366"/>
      <c r="EB729" s="1366"/>
      <c r="EC729" s="1366"/>
      <c r="ED729" s="1366"/>
      <c r="EE729" s="1366">
        <f t="shared" si="28"/>
        <v>0</v>
      </c>
      <c r="EF729" s="1366"/>
      <c r="EG729" s="1366"/>
      <c r="EH729" s="1366"/>
      <c r="EI729" s="1366"/>
      <c r="EJ729" s="1366">
        <f t="shared" si="29"/>
        <v>0</v>
      </c>
      <c r="EK729" s="1366"/>
      <c r="EL729" s="1366"/>
      <c r="EM729" s="1366"/>
      <c r="EN729" s="1366"/>
      <c r="EO729" s="1366">
        <f t="shared" si="30"/>
        <v>0</v>
      </c>
      <c r="EP729" s="1366"/>
      <c r="EQ729" s="1366"/>
      <c r="ER729" s="1366"/>
      <c r="ES729" s="1366"/>
      <c r="ET729" s="1366">
        <f t="shared" si="31"/>
        <v>0</v>
      </c>
      <c r="EU729" s="1366"/>
      <c r="EV729" s="1366"/>
      <c r="EW729" s="1366"/>
      <c r="EX729" s="1366"/>
      <c r="EZ729" s="1359">
        <f t="shared" si="32"/>
        <v>2005.4</v>
      </c>
      <c r="FA729" s="1360"/>
      <c r="FB729" s="1360"/>
      <c r="FC729" s="1360"/>
      <c r="FD729" s="1361"/>
      <c r="FE729" s="1359" t="str">
        <f t="shared" si="33"/>
        <v/>
      </c>
      <c r="FF729" s="1360"/>
      <c r="FG729" s="1360"/>
      <c r="FH729" s="1360"/>
      <c r="FI729" s="1361"/>
      <c r="FJ729" s="1359" t="str">
        <f t="shared" si="34"/>
        <v/>
      </c>
      <c r="FK729" s="1360"/>
      <c r="FL729" s="1360"/>
      <c r="FM729" s="1360"/>
      <c r="FN729" s="1361"/>
      <c r="FO729" s="1359" t="str">
        <f t="shared" si="35"/>
        <v/>
      </c>
      <c r="FP729" s="1360"/>
      <c r="FQ729" s="1360"/>
      <c r="FR729" s="1360"/>
      <c r="FS729" s="1361"/>
      <c r="FT729" s="1359" t="str">
        <f t="shared" si="36"/>
        <v/>
      </c>
      <c r="FU729" s="1360"/>
      <c r="FV729" s="1360"/>
      <c r="FW729" s="1360"/>
      <c r="FX729" s="1361"/>
      <c r="FY729" s="1359" t="str">
        <f t="shared" si="37"/>
        <v/>
      </c>
      <c r="FZ729" s="1360"/>
      <c r="GA729" s="1360"/>
      <c r="GB729" s="1360"/>
      <c r="GC729" s="1361"/>
    </row>
    <row r="730" spans="1:185" ht="12.95" customHeight="1">
      <c r="B730" s="1362" t="s">
        <v>325</v>
      </c>
      <c r="C730" s="1363"/>
      <c r="D730" s="1363"/>
      <c r="E730" s="1363"/>
      <c r="F730" s="1364"/>
      <c r="G730" s="1587">
        <v>17</v>
      </c>
      <c r="H730" s="1588"/>
      <c r="I730" s="1588"/>
      <c r="J730" s="1589"/>
      <c r="K730" s="1591">
        <v>537</v>
      </c>
      <c r="L730" s="1592"/>
      <c r="M730" s="1592"/>
      <c r="N730" s="1593"/>
      <c r="O730" s="1482">
        <f>951.6-T730</f>
        <v>868.6</v>
      </c>
      <c r="P730" s="1483"/>
      <c r="Q730" s="1483"/>
      <c r="R730" s="1483"/>
      <c r="S730" s="1484"/>
      <c r="T730" s="1482">
        <f>Q840</f>
        <v>83</v>
      </c>
      <c r="U730" s="1483"/>
      <c r="V730" s="1483"/>
      <c r="W730" s="1484"/>
      <c r="X730" s="1404">
        <f t="shared" si="10"/>
        <v>951.6</v>
      </c>
      <c r="Y730" s="1405"/>
      <c r="Z730" s="1405"/>
      <c r="AA730" s="1405"/>
      <c r="AB730" s="1406"/>
      <c r="AC730" s="1594">
        <v>0.3</v>
      </c>
      <c r="AD730" s="1595"/>
      <c r="AE730" s="1595"/>
      <c r="AF730" s="1595"/>
      <c r="AG730" s="1596"/>
      <c r="AH730" s="1386">
        <f t="shared" si="38"/>
        <v>0.3</v>
      </c>
      <c r="AI730" s="1387"/>
      <c r="AJ730" s="1388"/>
      <c r="AK730" s="1362" t="s">
        <v>591</v>
      </c>
      <c r="AL730" s="1363"/>
      <c r="AM730" s="1363"/>
      <c r="AN730" s="1363"/>
      <c r="AO730" s="1364"/>
      <c r="AP730" s="3"/>
      <c r="AQ730" s="3"/>
      <c r="AR730" s="3"/>
      <c r="AS730" s="3"/>
      <c r="AY730" s="116"/>
      <c r="AZ730" s="118">
        <f t="shared" ref="AZ730:AZ738" si="41">IF($G730=0,"N/A",VLOOKUP($T$189,TC_Rent,(MATCH($B730,bedrooms,FALSE)),FALSE))</f>
        <v>3172</v>
      </c>
      <c r="BA730" s="3"/>
      <c r="BB730" s="3"/>
      <c r="BC730" s="3"/>
      <c r="BD730" s="3"/>
      <c r="BE730" s="204"/>
      <c r="BF730" s="294">
        <f t="shared" si="12"/>
        <v>17</v>
      </c>
      <c r="BG730" s="297">
        <f t="shared" si="13"/>
        <v>9.0425531914893623E-2</v>
      </c>
      <c r="BH730" s="298">
        <f t="shared" si="14"/>
        <v>2.7127659574468086E-2</v>
      </c>
      <c r="BI730" s="3"/>
      <c r="BJ730" s="3"/>
      <c r="BK730" s="3"/>
      <c r="BL730" s="3"/>
      <c r="BM730" s="3"/>
      <c r="BN730" s="3"/>
      <c r="BS730" s="294">
        <f t="shared" si="15"/>
        <v>17</v>
      </c>
      <c r="BT730" s="297">
        <f t="shared" si="16"/>
        <v>9.0425531914893623E-2</v>
      </c>
      <c r="BU730" s="298">
        <f t="shared" si="17"/>
        <v>2.7127659574468086E-2</v>
      </c>
      <c r="CC730" s="3"/>
      <c r="CD730" s="3"/>
      <c r="CE730" s="3"/>
      <c r="CF730" s="3"/>
      <c r="CG730" s="1359">
        <f t="shared" si="39"/>
        <v>0</v>
      </c>
      <c r="CH730" s="1361"/>
      <c r="CI730" s="1342">
        <f t="shared" si="40"/>
        <v>0</v>
      </c>
      <c r="CJ730" s="1344"/>
      <c r="CK730" s="1359">
        <f t="shared" si="18"/>
        <v>1</v>
      </c>
      <c r="CL730" s="1361"/>
      <c r="CM730" s="1342">
        <f t="shared" si="19"/>
        <v>17</v>
      </c>
      <c r="CN730" s="1344"/>
      <c r="CO730" s="3"/>
      <c r="CP730" s="1339">
        <f t="shared" ref="CP730:CP738" si="42">IF(B730="SRO/Studio",G730,0)</f>
        <v>0</v>
      </c>
      <c r="CQ730" s="1340"/>
      <c r="CR730" s="1340"/>
      <c r="CS730" s="1340"/>
      <c r="CT730" s="1341"/>
      <c r="CU730" s="1347">
        <f t="shared" ref="CU730:CU738" si="43">IF(B730="1 Bedroom",G730,0)</f>
        <v>17</v>
      </c>
      <c r="CV730" s="1347"/>
      <c r="CW730" s="1347"/>
      <c r="CX730" s="1347"/>
      <c r="CY730" s="1347"/>
      <c r="CZ730" s="1347">
        <f t="shared" ref="CZ730:CZ738" si="44">IF(B730="2 Bedrooms",G730,0)</f>
        <v>0</v>
      </c>
      <c r="DA730" s="1347"/>
      <c r="DB730" s="1347"/>
      <c r="DC730" s="1347"/>
      <c r="DD730" s="1347"/>
      <c r="DE730" s="1347">
        <f t="shared" ref="DE730:DE738" si="45">IF(B730="3 Bedrooms",G730,0)</f>
        <v>0</v>
      </c>
      <c r="DF730" s="1347"/>
      <c r="DG730" s="1347"/>
      <c r="DH730" s="1347"/>
      <c r="DI730" s="1347"/>
      <c r="DJ730" s="1347">
        <f t="shared" ref="DJ730:DJ738" si="46">IF(B730="4 Bedrooms",G730,0)</f>
        <v>0</v>
      </c>
      <c r="DK730" s="1347"/>
      <c r="DL730" s="1347"/>
      <c r="DM730" s="1347"/>
      <c r="DN730" s="1347"/>
      <c r="DO730" s="1347">
        <f t="shared" ref="DO730:DO738" si="47">IF(B730="5 Bedrooms",G730,0)</f>
        <v>0</v>
      </c>
      <c r="DP730" s="1347"/>
      <c r="DQ730" s="1347"/>
      <c r="DR730" s="1347"/>
      <c r="DS730" s="1347"/>
      <c r="DT730" s="6"/>
      <c r="DU730" s="1366">
        <f t="shared" ref="DU730:DU738" si="48">IF(AND(B730="SRO/Studio",AC730&lt;=0.3),G730,0)</f>
        <v>0</v>
      </c>
      <c r="DV730" s="1366"/>
      <c r="DW730" s="1366"/>
      <c r="DX730" s="1366"/>
      <c r="DY730" s="1366"/>
      <c r="DZ730" s="1366">
        <f t="shared" ref="DZ730:DZ738" si="49">IF(AND(B730="1 Bedroom",AC730&lt;=0.3),G730,0)</f>
        <v>17</v>
      </c>
      <c r="EA730" s="1366"/>
      <c r="EB730" s="1366"/>
      <c r="EC730" s="1366"/>
      <c r="ED730" s="1366"/>
      <c r="EE730" s="1366">
        <f t="shared" ref="EE730:EE738" si="50">IF(AND(B730="2 Bedrooms",AC730&lt;=0.3),G730,0)</f>
        <v>0</v>
      </c>
      <c r="EF730" s="1366"/>
      <c r="EG730" s="1366"/>
      <c r="EH730" s="1366"/>
      <c r="EI730" s="1366"/>
      <c r="EJ730" s="1366">
        <f t="shared" ref="EJ730:EJ738" si="51">IF(AND(B730="3 Bedrooms",AC730&lt;=0.3),G730,0)</f>
        <v>0</v>
      </c>
      <c r="EK730" s="1366"/>
      <c r="EL730" s="1366"/>
      <c r="EM730" s="1366"/>
      <c r="EN730" s="1366"/>
      <c r="EO730" s="1366">
        <f t="shared" ref="EO730:EO738" si="52">IF(AND(B730="4 Bedrooms",AC730&lt;=0.3),G730,0)</f>
        <v>0</v>
      </c>
      <c r="EP730" s="1366"/>
      <c r="EQ730" s="1366"/>
      <c r="ER730" s="1366"/>
      <c r="ES730" s="1366"/>
      <c r="ET730" s="1366">
        <f t="shared" ref="ET730:ET738" si="53">IF(AND(B730="5 Bedrooms",AC730&lt;=0.3),G730,0)</f>
        <v>0</v>
      </c>
      <c r="EU730" s="1366"/>
      <c r="EV730" s="1366"/>
      <c r="EW730" s="1366"/>
      <c r="EX730" s="1366"/>
      <c r="EZ730" s="1359" t="str">
        <f t="shared" si="32"/>
        <v/>
      </c>
      <c r="FA730" s="1360"/>
      <c r="FB730" s="1360"/>
      <c r="FC730" s="1360"/>
      <c r="FD730" s="1361"/>
      <c r="FE730" s="1359">
        <f t="shared" si="33"/>
        <v>868.6</v>
      </c>
      <c r="FF730" s="1360"/>
      <c r="FG730" s="1360"/>
      <c r="FH730" s="1360"/>
      <c r="FI730" s="1361"/>
      <c r="FJ730" s="1359" t="str">
        <f t="shared" si="34"/>
        <v/>
      </c>
      <c r="FK730" s="1360"/>
      <c r="FL730" s="1360"/>
      <c r="FM730" s="1360"/>
      <c r="FN730" s="1361"/>
      <c r="FO730" s="1359" t="str">
        <f t="shared" si="35"/>
        <v/>
      </c>
      <c r="FP730" s="1360"/>
      <c r="FQ730" s="1360"/>
      <c r="FR730" s="1360"/>
      <c r="FS730" s="1361"/>
      <c r="FT730" s="1359" t="str">
        <f t="shared" si="36"/>
        <v/>
      </c>
      <c r="FU730" s="1360"/>
      <c r="FV730" s="1360"/>
      <c r="FW730" s="1360"/>
      <c r="FX730" s="1361"/>
      <c r="FY730" s="1359" t="str">
        <f t="shared" si="37"/>
        <v/>
      </c>
      <c r="FZ730" s="1360"/>
      <c r="GA730" s="1360"/>
      <c r="GB730" s="1360"/>
      <c r="GC730" s="1361"/>
    </row>
    <row r="731" spans="1:185" ht="12.95" customHeight="1">
      <c r="B731" s="1362" t="s">
        <v>325</v>
      </c>
      <c r="C731" s="1363"/>
      <c r="D731" s="1363"/>
      <c r="E731" s="1363"/>
      <c r="F731" s="1364"/>
      <c r="G731" s="1587">
        <v>17</v>
      </c>
      <c r="H731" s="1588"/>
      <c r="I731" s="1588"/>
      <c r="J731" s="1589"/>
      <c r="K731" s="1591">
        <v>537</v>
      </c>
      <c r="L731" s="1592"/>
      <c r="M731" s="1592"/>
      <c r="N731" s="1593"/>
      <c r="O731" s="1482">
        <f>1586-T731</f>
        <v>1503</v>
      </c>
      <c r="P731" s="1483"/>
      <c r="Q731" s="1483"/>
      <c r="R731" s="1483"/>
      <c r="S731" s="1484"/>
      <c r="T731" s="1482">
        <f>Q840</f>
        <v>83</v>
      </c>
      <c r="U731" s="1483"/>
      <c r="V731" s="1483"/>
      <c r="W731" s="1484"/>
      <c r="X731" s="1404">
        <f t="shared" si="10"/>
        <v>1586</v>
      </c>
      <c r="Y731" s="1405"/>
      <c r="Z731" s="1405"/>
      <c r="AA731" s="1405"/>
      <c r="AB731" s="1406"/>
      <c r="AC731" s="1594">
        <v>0.5</v>
      </c>
      <c r="AD731" s="1595"/>
      <c r="AE731" s="1595"/>
      <c r="AF731" s="1595"/>
      <c r="AG731" s="1596"/>
      <c r="AH731" s="1386">
        <f t="shared" si="38"/>
        <v>0.5</v>
      </c>
      <c r="AI731" s="1387"/>
      <c r="AJ731" s="1388"/>
      <c r="AK731" s="1362" t="s">
        <v>591</v>
      </c>
      <c r="AL731" s="1363"/>
      <c r="AM731" s="1363"/>
      <c r="AN731" s="1363"/>
      <c r="AO731" s="1364"/>
      <c r="AP731" s="3"/>
      <c r="AQ731" s="3"/>
      <c r="AR731" s="3"/>
      <c r="AS731" s="3"/>
      <c r="AY731" s="116"/>
      <c r="AZ731" s="118">
        <f t="shared" si="41"/>
        <v>3172</v>
      </c>
      <c r="BA731" s="3"/>
      <c r="BB731" s="3"/>
      <c r="BC731" s="3"/>
      <c r="BD731" s="3"/>
      <c r="BE731" s="204"/>
      <c r="BF731" s="294">
        <f t="shared" si="12"/>
        <v>17</v>
      </c>
      <c r="BG731" s="297">
        <f t="shared" si="13"/>
        <v>9.0425531914893623E-2</v>
      </c>
      <c r="BH731" s="298">
        <f t="shared" si="14"/>
        <v>4.5212765957446811E-2</v>
      </c>
      <c r="BI731" s="3"/>
      <c r="BJ731" s="3"/>
      <c r="BK731" s="3"/>
      <c r="BL731" s="3"/>
      <c r="BM731" s="3"/>
      <c r="BN731" s="3"/>
      <c r="BS731" s="294">
        <f t="shared" si="15"/>
        <v>17</v>
      </c>
      <c r="BT731" s="297">
        <f t="shared" si="16"/>
        <v>9.0425531914893623E-2</v>
      </c>
      <c r="BU731" s="298">
        <f t="shared" si="17"/>
        <v>4.5212765957446811E-2</v>
      </c>
      <c r="CC731" s="3"/>
      <c r="CD731" s="3"/>
      <c r="CE731" s="3"/>
      <c r="CF731" s="3"/>
      <c r="CG731" s="1359">
        <f t="shared" si="39"/>
        <v>1</v>
      </c>
      <c r="CH731" s="1361"/>
      <c r="CI731" s="1342">
        <f t="shared" si="40"/>
        <v>17</v>
      </c>
      <c r="CJ731" s="1344"/>
      <c r="CK731" s="1359">
        <f t="shared" si="18"/>
        <v>0</v>
      </c>
      <c r="CL731" s="1361"/>
      <c r="CM731" s="1342">
        <f t="shared" si="19"/>
        <v>0</v>
      </c>
      <c r="CN731" s="1344"/>
      <c r="CO731" s="3"/>
      <c r="CP731" s="1339">
        <f t="shared" si="42"/>
        <v>0</v>
      </c>
      <c r="CQ731" s="1340"/>
      <c r="CR731" s="1340"/>
      <c r="CS731" s="1340"/>
      <c r="CT731" s="1341"/>
      <c r="CU731" s="1347">
        <f t="shared" si="43"/>
        <v>17</v>
      </c>
      <c r="CV731" s="1347"/>
      <c r="CW731" s="1347"/>
      <c r="CX731" s="1347"/>
      <c r="CY731" s="1347"/>
      <c r="CZ731" s="1347">
        <f t="shared" si="44"/>
        <v>0</v>
      </c>
      <c r="DA731" s="1347"/>
      <c r="DB731" s="1347"/>
      <c r="DC731" s="1347"/>
      <c r="DD731" s="1347"/>
      <c r="DE731" s="1347">
        <f t="shared" si="45"/>
        <v>0</v>
      </c>
      <c r="DF731" s="1347"/>
      <c r="DG731" s="1347"/>
      <c r="DH731" s="1347"/>
      <c r="DI731" s="1347"/>
      <c r="DJ731" s="1347">
        <f t="shared" si="46"/>
        <v>0</v>
      </c>
      <c r="DK731" s="1347"/>
      <c r="DL731" s="1347"/>
      <c r="DM731" s="1347"/>
      <c r="DN731" s="1347"/>
      <c r="DO731" s="1347">
        <f t="shared" si="47"/>
        <v>0</v>
      </c>
      <c r="DP731" s="1347"/>
      <c r="DQ731" s="1347"/>
      <c r="DR731" s="1347"/>
      <c r="DS731" s="1347"/>
      <c r="DT731" s="6"/>
      <c r="DU731" s="1366">
        <f t="shared" si="48"/>
        <v>0</v>
      </c>
      <c r="DV731" s="1366"/>
      <c r="DW731" s="1366"/>
      <c r="DX731" s="1366"/>
      <c r="DY731" s="1366"/>
      <c r="DZ731" s="1366">
        <f t="shared" si="49"/>
        <v>0</v>
      </c>
      <c r="EA731" s="1366"/>
      <c r="EB731" s="1366"/>
      <c r="EC731" s="1366"/>
      <c r="ED731" s="1366"/>
      <c r="EE731" s="1366">
        <f t="shared" si="50"/>
        <v>0</v>
      </c>
      <c r="EF731" s="1366"/>
      <c r="EG731" s="1366"/>
      <c r="EH731" s="1366"/>
      <c r="EI731" s="1366"/>
      <c r="EJ731" s="1366">
        <f t="shared" si="51"/>
        <v>0</v>
      </c>
      <c r="EK731" s="1366"/>
      <c r="EL731" s="1366"/>
      <c r="EM731" s="1366"/>
      <c r="EN731" s="1366"/>
      <c r="EO731" s="1366">
        <f t="shared" si="52"/>
        <v>0</v>
      </c>
      <c r="EP731" s="1366"/>
      <c r="EQ731" s="1366"/>
      <c r="ER731" s="1366"/>
      <c r="ES731" s="1366"/>
      <c r="ET731" s="1366">
        <f t="shared" si="53"/>
        <v>0</v>
      </c>
      <c r="EU731" s="1366"/>
      <c r="EV731" s="1366"/>
      <c r="EW731" s="1366"/>
      <c r="EX731" s="1366"/>
      <c r="EZ731" s="1359" t="str">
        <f t="shared" si="32"/>
        <v/>
      </c>
      <c r="FA731" s="1360"/>
      <c r="FB731" s="1360"/>
      <c r="FC731" s="1360"/>
      <c r="FD731" s="1361"/>
      <c r="FE731" s="1359">
        <f t="shared" si="33"/>
        <v>1503</v>
      </c>
      <c r="FF731" s="1360"/>
      <c r="FG731" s="1360"/>
      <c r="FH731" s="1360"/>
      <c r="FI731" s="1361"/>
      <c r="FJ731" s="1359" t="str">
        <f t="shared" si="34"/>
        <v/>
      </c>
      <c r="FK731" s="1360"/>
      <c r="FL731" s="1360"/>
      <c r="FM731" s="1360"/>
      <c r="FN731" s="1361"/>
      <c r="FO731" s="1359" t="str">
        <f t="shared" si="35"/>
        <v/>
      </c>
      <c r="FP731" s="1360"/>
      <c r="FQ731" s="1360"/>
      <c r="FR731" s="1360"/>
      <c r="FS731" s="1361"/>
      <c r="FT731" s="1359" t="str">
        <f t="shared" si="36"/>
        <v/>
      </c>
      <c r="FU731" s="1360"/>
      <c r="FV731" s="1360"/>
      <c r="FW731" s="1360"/>
      <c r="FX731" s="1361"/>
      <c r="FY731" s="1359" t="str">
        <f t="shared" si="37"/>
        <v/>
      </c>
      <c r="FZ731" s="1360"/>
      <c r="GA731" s="1360"/>
      <c r="GB731" s="1360"/>
      <c r="GC731" s="1361"/>
    </row>
    <row r="732" spans="1:185" ht="12.95" customHeight="1">
      <c r="B732" s="1362" t="s">
        <v>325</v>
      </c>
      <c r="C732" s="1363"/>
      <c r="D732" s="1363"/>
      <c r="E732" s="1363"/>
      <c r="F732" s="1364"/>
      <c r="G732" s="1587">
        <v>63</v>
      </c>
      <c r="H732" s="1588"/>
      <c r="I732" s="1588"/>
      <c r="J732" s="1589"/>
      <c r="K732" s="1591">
        <v>537</v>
      </c>
      <c r="L732" s="1592"/>
      <c r="M732" s="1592"/>
      <c r="N732" s="1593"/>
      <c r="O732" s="1482">
        <f>1903.2-T732</f>
        <v>1820.2</v>
      </c>
      <c r="P732" s="1483"/>
      <c r="Q732" s="1483"/>
      <c r="R732" s="1483"/>
      <c r="S732" s="1484"/>
      <c r="T732" s="1482">
        <f>Q840</f>
        <v>83</v>
      </c>
      <c r="U732" s="1483"/>
      <c r="V732" s="1483"/>
      <c r="W732" s="1484"/>
      <c r="X732" s="1404">
        <f t="shared" si="10"/>
        <v>1903.2</v>
      </c>
      <c r="Y732" s="1405"/>
      <c r="Z732" s="1405"/>
      <c r="AA732" s="1405"/>
      <c r="AB732" s="1406"/>
      <c r="AC732" s="1594">
        <v>0.6</v>
      </c>
      <c r="AD732" s="1595"/>
      <c r="AE732" s="1595"/>
      <c r="AF732" s="1595"/>
      <c r="AG732" s="1596"/>
      <c r="AH732" s="1386">
        <f t="shared" si="38"/>
        <v>0.6</v>
      </c>
      <c r="AI732" s="1387"/>
      <c r="AJ732" s="1388"/>
      <c r="AK732" s="1362" t="s">
        <v>591</v>
      </c>
      <c r="AL732" s="1363"/>
      <c r="AM732" s="1363"/>
      <c r="AN732" s="1363"/>
      <c r="AO732" s="1364"/>
      <c r="AP732" s="3"/>
      <c r="AQ732" s="3"/>
      <c r="AR732" s="3"/>
      <c r="AS732" s="3"/>
      <c r="AY732" s="116"/>
      <c r="AZ732" s="118">
        <f t="shared" si="41"/>
        <v>3172</v>
      </c>
      <c r="BA732" s="3"/>
      <c r="BB732" s="3"/>
      <c r="BC732" s="3"/>
      <c r="BD732" s="3"/>
      <c r="BE732" s="204"/>
      <c r="BF732" s="294">
        <f t="shared" si="12"/>
        <v>63</v>
      </c>
      <c r="BG732" s="297">
        <f t="shared" si="13"/>
        <v>0.33510638297872342</v>
      </c>
      <c r="BH732" s="298">
        <f t="shared" si="14"/>
        <v>0.20106382978723406</v>
      </c>
      <c r="BI732" s="3"/>
      <c r="BJ732" s="3"/>
      <c r="BK732" s="3"/>
      <c r="BL732" s="3"/>
      <c r="BM732" s="3"/>
      <c r="BN732" s="3"/>
      <c r="BS732" s="294">
        <f t="shared" si="15"/>
        <v>63</v>
      </c>
      <c r="BT732" s="297">
        <f t="shared" si="16"/>
        <v>0.33510638297872342</v>
      </c>
      <c r="BU732" s="298">
        <f t="shared" si="17"/>
        <v>0.20106382978723406</v>
      </c>
      <c r="CC732" s="3"/>
      <c r="CE732" s="3"/>
      <c r="CF732" s="3"/>
      <c r="CG732" s="1359">
        <f t="shared" si="39"/>
        <v>0</v>
      </c>
      <c r="CH732" s="1361"/>
      <c r="CI732" s="1342">
        <f t="shared" si="40"/>
        <v>0</v>
      </c>
      <c r="CJ732" s="1344"/>
      <c r="CK732" s="1359">
        <f t="shared" si="18"/>
        <v>0</v>
      </c>
      <c r="CL732" s="1361"/>
      <c r="CM732" s="1342">
        <f t="shared" si="19"/>
        <v>0</v>
      </c>
      <c r="CN732" s="1344"/>
      <c r="CO732" s="3"/>
      <c r="CP732" s="1339">
        <f t="shared" si="42"/>
        <v>0</v>
      </c>
      <c r="CQ732" s="1340"/>
      <c r="CR732" s="1340"/>
      <c r="CS732" s="1340"/>
      <c r="CT732" s="1341"/>
      <c r="CU732" s="1347">
        <f t="shared" si="43"/>
        <v>63</v>
      </c>
      <c r="CV732" s="1347"/>
      <c r="CW732" s="1347"/>
      <c r="CX732" s="1347"/>
      <c r="CY732" s="1347"/>
      <c r="CZ732" s="1347">
        <f t="shared" si="44"/>
        <v>0</v>
      </c>
      <c r="DA732" s="1347"/>
      <c r="DB732" s="1347"/>
      <c r="DC732" s="1347"/>
      <c r="DD732" s="1347"/>
      <c r="DE732" s="1347">
        <f t="shared" si="45"/>
        <v>0</v>
      </c>
      <c r="DF732" s="1347"/>
      <c r="DG732" s="1347"/>
      <c r="DH732" s="1347"/>
      <c r="DI732" s="1347"/>
      <c r="DJ732" s="1347">
        <f t="shared" si="46"/>
        <v>0</v>
      </c>
      <c r="DK732" s="1347"/>
      <c r="DL732" s="1347"/>
      <c r="DM732" s="1347"/>
      <c r="DN732" s="1347"/>
      <c r="DO732" s="1347">
        <f t="shared" si="47"/>
        <v>0</v>
      </c>
      <c r="DP732" s="1347"/>
      <c r="DQ732" s="1347"/>
      <c r="DR732" s="1347"/>
      <c r="DS732" s="1347"/>
      <c r="DT732" s="6"/>
      <c r="DU732" s="1366">
        <f t="shared" si="48"/>
        <v>0</v>
      </c>
      <c r="DV732" s="1366"/>
      <c r="DW732" s="1366"/>
      <c r="DX732" s="1366"/>
      <c r="DY732" s="1366"/>
      <c r="DZ732" s="1366">
        <f t="shared" si="49"/>
        <v>0</v>
      </c>
      <c r="EA732" s="1366"/>
      <c r="EB732" s="1366"/>
      <c r="EC732" s="1366"/>
      <c r="ED732" s="1366"/>
      <c r="EE732" s="1366">
        <f t="shared" si="50"/>
        <v>0</v>
      </c>
      <c r="EF732" s="1366"/>
      <c r="EG732" s="1366"/>
      <c r="EH732" s="1366"/>
      <c r="EI732" s="1366"/>
      <c r="EJ732" s="1366">
        <f t="shared" si="51"/>
        <v>0</v>
      </c>
      <c r="EK732" s="1366"/>
      <c r="EL732" s="1366"/>
      <c r="EM732" s="1366"/>
      <c r="EN732" s="1366"/>
      <c r="EO732" s="1366">
        <f t="shared" si="52"/>
        <v>0</v>
      </c>
      <c r="EP732" s="1366"/>
      <c r="EQ732" s="1366"/>
      <c r="ER732" s="1366"/>
      <c r="ES732" s="1366"/>
      <c r="ET732" s="1366">
        <f t="shared" si="53"/>
        <v>0</v>
      </c>
      <c r="EU732" s="1366"/>
      <c r="EV732" s="1366"/>
      <c r="EW732" s="1366"/>
      <c r="EX732" s="1366"/>
      <c r="EZ732" s="1359" t="str">
        <f t="shared" si="32"/>
        <v/>
      </c>
      <c r="FA732" s="1360"/>
      <c r="FB732" s="1360"/>
      <c r="FC732" s="1360"/>
      <c r="FD732" s="1361"/>
      <c r="FE732" s="1359">
        <f t="shared" si="33"/>
        <v>1820.2</v>
      </c>
      <c r="FF732" s="1360"/>
      <c r="FG732" s="1360"/>
      <c r="FH732" s="1360"/>
      <c r="FI732" s="1361"/>
      <c r="FJ732" s="1359" t="str">
        <f t="shared" si="34"/>
        <v/>
      </c>
      <c r="FK732" s="1360"/>
      <c r="FL732" s="1360"/>
      <c r="FM732" s="1360"/>
      <c r="FN732" s="1361"/>
      <c r="FO732" s="1359" t="str">
        <f t="shared" si="35"/>
        <v/>
      </c>
      <c r="FP732" s="1360"/>
      <c r="FQ732" s="1360"/>
      <c r="FR732" s="1360"/>
      <c r="FS732" s="1361"/>
      <c r="FT732" s="1359" t="str">
        <f t="shared" si="36"/>
        <v/>
      </c>
      <c r="FU732" s="1360"/>
      <c r="FV732" s="1360"/>
      <c r="FW732" s="1360"/>
      <c r="FX732" s="1361"/>
      <c r="FY732" s="1359" t="str">
        <f t="shared" si="37"/>
        <v/>
      </c>
      <c r="FZ732" s="1360"/>
      <c r="GA732" s="1360"/>
      <c r="GB732" s="1360"/>
      <c r="GC732" s="1361"/>
    </row>
    <row r="733" spans="1:185" ht="12.95" customHeight="1">
      <c r="B733" s="1362" t="s">
        <v>325</v>
      </c>
      <c r="C733" s="1363"/>
      <c r="D733" s="1363"/>
      <c r="E733" s="1363"/>
      <c r="F733" s="1364"/>
      <c r="G733" s="1587">
        <v>69</v>
      </c>
      <c r="H733" s="1588"/>
      <c r="I733" s="1588"/>
      <c r="J733" s="1589"/>
      <c r="K733" s="1591">
        <v>537</v>
      </c>
      <c r="L733" s="1592"/>
      <c r="M733" s="1592"/>
      <c r="N733" s="1593"/>
      <c r="O733" s="1482">
        <f>2220.4-T733</f>
        <v>2137.4</v>
      </c>
      <c r="P733" s="1483"/>
      <c r="Q733" s="1483"/>
      <c r="R733" s="1483"/>
      <c r="S733" s="1484"/>
      <c r="T733" s="1482">
        <f>Q840</f>
        <v>83</v>
      </c>
      <c r="U733" s="1483"/>
      <c r="V733" s="1483"/>
      <c r="W733" s="1484"/>
      <c r="X733" s="1404">
        <f t="shared" si="10"/>
        <v>2220.4</v>
      </c>
      <c r="Y733" s="1405"/>
      <c r="Z733" s="1405"/>
      <c r="AA733" s="1405"/>
      <c r="AB733" s="1406"/>
      <c r="AC733" s="1594">
        <v>0.7</v>
      </c>
      <c r="AD733" s="1595"/>
      <c r="AE733" s="1595"/>
      <c r="AF733" s="1595"/>
      <c r="AG733" s="1596"/>
      <c r="AH733" s="1386">
        <f t="shared" si="38"/>
        <v>0.70000000000000007</v>
      </c>
      <c r="AI733" s="1387"/>
      <c r="AJ733" s="1388"/>
      <c r="AK733" s="1362" t="s">
        <v>591</v>
      </c>
      <c r="AL733" s="1363"/>
      <c r="AM733" s="1363"/>
      <c r="AN733" s="1363"/>
      <c r="AO733" s="1364"/>
      <c r="AP733" s="3"/>
      <c r="AQ733" s="3"/>
      <c r="AR733" s="3"/>
      <c r="AS733" s="3"/>
      <c r="AY733" s="1080"/>
      <c r="AZ733" s="118">
        <f t="shared" si="41"/>
        <v>3172</v>
      </c>
      <c r="BA733" s="3"/>
      <c r="BB733" s="3"/>
      <c r="BC733" s="3"/>
      <c r="BD733" s="3"/>
      <c r="BE733" s="204"/>
      <c r="BF733" s="294">
        <f t="shared" si="12"/>
        <v>69</v>
      </c>
      <c r="BG733" s="297">
        <f t="shared" si="13"/>
        <v>0.36702127659574468</v>
      </c>
      <c r="BH733" s="298">
        <f t="shared" si="14"/>
        <v>0.25691489361702124</v>
      </c>
      <c r="BI733" s="3"/>
      <c r="BJ733" s="3"/>
      <c r="BK733" s="3"/>
      <c r="BL733" s="3"/>
      <c r="BM733" s="3"/>
      <c r="BN733" s="3"/>
      <c r="BS733" s="294">
        <f t="shared" si="15"/>
        <v>69</v>
      </c>
      <c r="BT733" s="297">
        <f t="shared" si="16"/>
        <v>0.36702127659574468</v>
      </c>
      <c r="BU733" s="298">
        <f t="shared" si="17"/>
        <v>0.2569148936170213</v>
      </c>
      <c r="BV733" s="292"/>
      <c r="BW733" s="3"/>
      <c r="BX733" s="3"/>
      <c r="BY733" s="3"/>
      <c r="BZ733" s="3"/>
      <c r="CA733" s="3"/>
      <c r="CB733" s="3"/>
      <c r="CC733" s="3"/>
      <c r="CE733" s="3"/>
      <c r="CF733" s="3"/>
      <c r="CG733" s="1359">
        <f t="shared" si="39"/>
        <v>0</v>
      </c>
      <c r="CH733" s="1361"/>
      <c r="CI733" s="1342">
        <f t="shared" si="40"/>
        <v>0</v>
      </c>
      <c r="CJ733" s="1344"/>
      <c r="CK733" s="1359">
        <f t="shared" si="18"/>
        <v>0</v>
      </c>
      <c r="CL733" s="1361"/>
      <c r="CM733" s="1342">
        <f t="shared" si="19"/>
        <v>0</v>
      </c>
      <c r="CN733" s="1344"/>
      <c r="CO733" s="3"/>
      <c r="CP733" s="1339">
        <f t="shared" si="42"/>
        <v>0</v>
      </c>
      <c r="CQ733" s="1340"/>
      <c r="CR733" s="1340"/>
      <c r="CS733" s="1340"/>
      <c r="CT733" s="1341"/>
      <c r="CU733" s="1347">
        <f t="shared" si="43"/>
        <v>69</v>
      </c>
      <c r="CV733" s="1347"/>
      <c r="CW733" s="1347"/>
      <c r="CX733" s="1347"/>
      <c r="CY733" s="1347"/>
      <c r="CZ733" s="1347">
        <f t="shared" si="44"/>
        <v>0</v>
      </c>
      <c r="DA733" s="1347"/>
      <c r="DB733" s="1347"/>
      <c r="DC733" s="1347"/>
      <c r="DD733" s="1347"/>
      <c r="DE733" s="1347">
        <f t="shared" si="45"/>
        <v>0</v>
      </c>
      <c r="DF733" s="1347"/>
      <c r="DG733" s="1347"/>
      <c r="DH733" s="1347"/>
      <c r="DI733" s="1347"/>
      <c r="DJ733" s="1347">
        <f t="shared" si="46"/>
        <v>0</v>
      </c>
      <c r="DK733" s="1347"/>
      <c r="DL733" s="1347"/>
      <c r="DM733" s="1347"/>
      <c r="DN733" s="1347"/>
      <c r="DO733" s="1347">
        <f t="shared" si="47"/>
        <v>0</v>
      </c>
      <c r="DP733" s="1347"/>
      <c r="DQ733" s="1347"/>
      <c r="DR733" s="1347"/>
      <c r="DS733" s="1347"/>
      <c r="DT733" s="6"/>
      <c r="DU733" s="1366">
        <f t="shared" si="48"/>
        <v>0</v>
      </c>
      <c r="DV733" s="1366"/>
      <c r="DW733" s="1366"/>
      <c r="DX733" s="1366"/>
      <c r="DY733" s="1366"/>
      <c r="DZ733" s="1366">
        <f t="shared" si="49"/>
        <v>0</v>
      </c>
      <c r="EA733" s="1366"/>
      <c r="EB733" s="1366"/>
      <c r="EC733" s="1366"/>
      <c r="ED733" s="1366"/>
      <c r="EE733" s="1366">
        <f t="shared" si="50"/>
        <v>0</v>
      </c>
      <c r="EF733" s="1366"/>
      <c r="EG733" s="1366"/>
      <c r="EH733" s="1366"/>
      <c r="EI733" s="1366"/>
      <c r="EJ733" s="1366">
        <f t="shared" si="51"/>
        <v>0</v>
      </c>
      <c r="EK733" s="1366"/>
      <c r="EL733" s="1366"/>
      <c r="EM733" s="1366"/>
      <c r="EN733" s="1366"/>
      <c r="EO733" s="1366">
        <f t="shared" si="52"/>
        <v>0</v>
      </c>
      <c r="EP733" s="1366"/>
      <c r="EQ733" s="1366"/>
      <c r="ER733" s="1366"/>
      <c r="ES733" s="1366"/>
      <c r="ET733" s="1366">
        <f t="shared" si="53"/>
        <v>0</v>
      </c>
      <c r="EU733" s="1366"/>
      <c r="EV733" s="1366"/>
      <c r="EW733" s="1366"/>
      <c r="EX733" s="1366"/>
      <c r="EZ733" s="1359" t="str">
        <f t="shared" si="32"/>
        <v/>
      </c>
      <c r="FA733" s="1360"/>
      <c r="FB733" s="1360"/>
      <c r="FC733" s="1360"/>
      <c r="FD733" s="1361"/>
      <c r="FE733" s="1359">
        <f t="shared" si="33"/>
        <v>2137.4</v>
      </c>
      <c r="FF733" s="1360"/>
      <c r="FG733" s="1360"/>
      <c r="FH733" s="1360"/>
      <c r="FI733" s="1361"/>
      <c r="FJ733" s="1359" t="str">
        <f t="shared" si="34"/>
        <v/>
      </c>
      <c r="FK733" s="1360"/>
      <c r="FL733" s="1360"/>
      <c r="FM733" s="1360"/>
      <c r="FN733" s="1361"/>
      <c r="FO733" s="1359" t="str">
        <f t="shared" si="35"/>
        <v/>
      </c>
      <c r="FP733" s="1360"/>
      <c r="FQ733" s="1360"/>
      <c r="FR733" s="1360"/>
      <c r="FS733" s="1361"/>
      <c r="FT733" s="1359" t="str">
        <f t="shared" si="36"/>
        <v/>
      </c>
      <c r="FU733" s="1360"/>
      <c r="FV733" s="1360"/>
      <c r="FW733" s="1360"/>
      <c r="FX733" s="1361"/>
      <c r="FY733" s="1359" t="str">
        <f t="shared" si="37"/>
        <v/>
      </c>
      <c r="FZ733" s="1360"/>
      <c r="GA733" s="1360"/>
      <c r="GB733" s="1360"/>
      <c r="GC733" s="1361"/>
    </row>
    <row r="734" spans="1:185" ht="12.95" customHeight="1">
      <c r="B734" s="1362" t="s">
        <v>163</v>
      </c>
      <c r="C734" s="1363"/>
      <c r="D734" s="1363"/>
      <c r="E734" s="1363"/>
      <c r="F734" s="1364"/>
      <c r="G734" s="1587">
        <v>1</v>
      </c>
      <c r="H734" s="1588"/>
      <c r="I734" s="1588"/>
      <c r="J734" s="1589"/>
      <c r="K734" s="1591">
        <v>797</v>
      </c>
      <c r="L734" s="1592"/>
      <c r="M734" s="1592"/>
      <c r="N734" s="1593"/>
      <c r="O734" s="1653">
        <f>1141.8-T734</f>
        <v>1025.8</v>
      </c>
      <c r="P734" s="1483"/>
      <c r="Q734" s="1483"/>
      <c r="R734" s="1483"/>
      <c r="S734" s="1484"/>
      <c r="T734" s="1482">
        <v>116</v>
      </c>
      <c r="U734" s="1483"/>
      <c r="V734" s="1483"/>
      <c r="W734" s="1484"/>
      <c r="X734" s="1404">
        <f t="shared" si="10"/>
        <v>1141.8</v>
      </c>
      <c r="Y734" s="1405"/>
      <c r="Z734" s="1405"/>
      <c r="AA734" s="1405"/>
      <c r="AB734" s="1406"/>
      <c r="AC734" s="1594">
        <v>0.3</v>
      </c>
      <c r="AD734" s="1595"/>
      <c r="AE734" s="1595"/>
      <c r="AF734" s="1595"/>
      <c r="AG734" s="1596"/>
      <c r="AH734" s="1386">
        <f t="shared" si="38"/>
        <v>0.3</v>
      </c>
      <c r="AI734" s="1387"/>
      <c r="AJ734" s="1388"/>
      <c r="AK734" s="1362" t="s">
        <v>591</v>
      </c>
      <c r="AL734" s="1363"/>
      <c r="AM734" s="1363"/>
      <c r="AN734" s="1363"/>
      <c r="AO734" s="1364"/>
      <c r="AP734" s="3"/>
      <c r="AQ734" s="3"/>
      <c r="AR734" s="3"/>
      <c r="AS734" s="3"/>
      <c r="AY734" s="1080"/>
      <c r="AZ734" s="118">
        <f t="shared" si="41"/>
        <v>3806</v>
      </c>
      <c r="BA734" s="3"/>
      <c r="BB734" s="3"/>
      <c r="BC734" s="3"/>
      <c r="BD734" s="3"/>
      <c r="BE734" s="204"/>
      <c r="BF734" s="294">
        <f t="shared" si="12"/>
        <v>1</v>
      </c>
      <c r="BG734" s="297">
        <f t="shared" si="13"/>
        <v>5.3191489361702126E-3</v>
      </c>
      <c r="BH734" s="298">
        <f t="shared" si="14"/>
        <v>1.5957446808510637E-3</v>
      </c>
      <c r="BI734" s="3"/>
      <c r="BJ734" s="3"/>
      <c r="BK734" s="3"/>
      <c r="BL734" s="3"/>
      <c r="BM734" s="3"/>
      <c r="BN734" s="3"/>
      <c r="BS734" s="294">
        <f t="shared" si="15"/>
        <v>1</v>
      </c>
      <c r="BT734" s="297">
        <f t="shared" si="16"/>
        <v>5.3191489361702126E-3</v>
      </c>
      <c r="BU734" s="298">
        <f t="shared" si="17"/>
        <v>1.5957446808510637E-3</v>
      </c>
      <c r="BV734" s="3"/>
      <c r="BW734" s="3"/>
      <c r="BX734" s="3"/>
      <c r="BY734" s="3"/>
      <c r="BZ734" s="3"/>
      <c r="CA734" s="3"/>
      <c r="CB734" s="3"/>
      <c r="CC734" s="3"/>
      <c r="CE734" s="3"/>
      <c r="CF734" s="3"/>
      <c r="CG734" s="1359">
        <f t="shared" si="39"/>
        <v>0</v>
      </c>
      <c r="CH734" s="1361"/>
      <c r="CI734" s="1342">
        <f t="shared" si="40"/>
        <v>0</v>
      </c>
      <c r="CJ734" s="1344"/>
      <c r="CK734" s="1359">
        <f t="shared" si="18"/>
        <v>1</v>
      </c>
      <c r="CL734" s="1361"/>
      <c r="CM734" s="1342">
        <f t="shared" si="19"/>
        <v>1</v>
      </c>
      <c r="CN734" s="1344"/>
      <c r="CO734" s="3"/>
      <c r="CP734" s="1339">
        <f t="shared" si="42"/>
        <v>0</v>
      </c>
      <c r="CQ734" s="1340"/>
      <c r="CR734" s="1340"/>
      <c r="CS734" s="1340"/>
      <c r="CT734" s="1341"/>
      <c r="CU734" s="1347">
        <f t="shared" si="43"/>
        <v>0</v>
      </c>
      <c r="CV734" s="1347"/>
      <c r="CW734" s="1347"/>
      <c r="CX734" s="1347"/>
      <c r="CY734" s="1347"/>
      <c r="CZ734" s="1347">
        <f t="shared" si="44"/>
        <v>1</v>
      </c>
      <c r="DA734" s="1347"/>
      <c r="DB734" s="1347"/>
      <c r="DC734" s="1347"/>
      <c r="DD734" s="1347"/>
      <c r="DE734" s="1347">
        <f t="shared" si="45"/>
        <v>0</v>
      </c>
      <c r="DF734" s="1347"/>
      <c r="DG734" s="1347"/>
      <c r="DH734" s="1347"/>
      <c r="DI734" s="1347"/>
      <c r="DJ734" s="1347">
        <f t="shared" si="46"/>
        <v>0</v>
      </c>
      <c r="DK734" s="1347"/>
      <c r="DL734" s="1347"/>
      <c r="DM734" s="1347"/>
      <c r="DN734" s="1347"/>
      <c r="DO734" s="1347">
        <f t="shared" si="47"/>
        <v>0</v>
      </c>
      <c r="DP734" s="1347"/>
      <c r="DQ734" s="1347"/>
      <c r="DR734" s="1347"/>
      <c r="DS734" s="1347"/>
      <c r="DT734" s="6"/>
      <c r="DU734" s="1366">
        <f t="shared" si="48"/>
        <v>0</v>
      </c>
      <c r="DV734" s="1366"/>
      <c r="DW734" s="1366"/>
      <c r="DX734" s="1366"/>
      <c r="DY734" s="1366"/>
      <c r="DZ734" s="1366">
        <f t="shared" si="49"/>
        <v>0</v>
      </c>
      <c r="EA734" s="1366"/>
      <c r="EB734" s="1366"/>
      <c r="EC734" s="1366"/>
      <c r="ED734" s="1366"/>
      <c r="EE734" s="1366">
        <f t="shared" si="50"/>
        <v>1</v>
      </c>
      <c r="EF734" s="1366"/>
      <c r="EG734" s="1366"/>
      <c r="EH734" s="1366"/>
      <c r="EI734" s="1366"/>
      <c r="EJ734" s="1366">
        <f t="shared" si="51"/>
        <v>0</v>
      </c>
      <c r="EK734" s="1366"/>
      <c r="EL734" s="1366"/>
      <c r="EM734" s="1366"/>
      <c r="EN734" s="1366"/>
      <c r="EO734" s="1366">
        <f t="shared" si="52"/>
        <v>0</v>
      </c>
      <c r="EP734" s="1366"/>
      <c r="EQ734" s="1366"/>
      <c r="ER734" s="1366"/>
      <c r="ES734" s="1366"/>
      <c r="ET734" s="1366">
        <f t="shared" si="53"/>
        <v>0</v>
      </c>
      <c r="EU734" s="1366"/>
      <c r="EV734" s="1366"/>
      <c r="EW734" s="1366"/>
      <c r="EX734" s="1366"/>
      <c r="EY734" s="4"/>
      <c r="EZ734" s="1359" t="str">
        <f t="shared" si="32"/>
        <v/>
      </c>
      <c r="FA734" s="1360"/>
      <c r="FB734" s="1360"/>
      <c r="FC734" s="1360"/>
      <c r="FD734" s="1361"/>
      <c r="FE734" s="1359" t="str">
        <f t="shared" si="33"/>
        <v/>
      </c>
      <c r="FF734" s="1360"/>
      <c r="FG734" s="1360"/>
      <c r="FH734" s="1360"/>
      <c r="FI734" s="1361"/>
      <c r="FJ734" s="1359">
        <f t="shared" si="34"/>
        <v>1025.8</v>
      </c>
      <c r="FK734" s="1360"/>
      <c r="FL734" s="1360"/>
      <c r="FM734" s="1360"/>
      <c r="FN734" s="1361"/>
      <c r="FO734" s="1359" t="str">
        <f t="shared" si="35"/>
        <v/>
      </c>
      <c r="FP734" s="1360"/>
      <c r="FQ734" s="1360"/>
      <c r="FR734" s="1360"/>
      <c r="FS734" s="1361"/>
      <c r="FT734" s="1359" t="str">
        <f t="shared" si="36"/>
        <v/>
      </c>
      <c r="FU734" s="1360"/>
      <c r="FV734" s="1360"/>
      <c r="FW734" s="1360"/>
      <c r="FX734" s="1361"/>
      <c r="FY734" s="1359" t="str">
        <f t="shared" si="37"/>
        <v/>
      </c>
      <c r="FZ734" s="1360"/>
      <c r="GA734" s="1360"/>
      <c r="GB734" s="1360"/>
      <c r="GC734" s="1361"/>
    </row>
    <row r="735" spans="1:185" ht="12.95" customHeight="1">
      <c r="A735" s="4"/>
      <c r="B735" s="1362" t="s">
        <v>163</v>
      </c>
      <c r="C735" s="1363"/>
      <c r="D735" s="1363"/>
      <c r="E735" s="1363"/>
      <c r="F735" s="1364"/>
      <c r="G735" s="1587">
        <v>2</v>
      </c>
      <c r="H735" s="1588"/>
      <c r="I735" s="1588"/>
      <c r="J735" s="1589"/>
      <c r="K735" s="1591">
        <v>797</v>
      </c>
      <c r="L735" s="1592"/>
      <c r="M735" s="1592"/>
      <c r="N735" s="1593"/>
      <c r="O735" s="1482">
        <f>2283.6-T735</f>
        <v>2167.6</v>
      </c>
      <c r="P735" s="1483"/>
      <c r="Q735" s="1483"/>
      <c r="R735" s="1483"/>
      <c r="S735" s="1484"/>
      <c r="T735" s="1482">
        <v>116</v>
      </c>
      <c r="U735" s="1483"/>
      <c r="V735" s="1483"/>
      <c r="W735" s="1484"/>
      <c r="X735" s="1404">
        <f t="shared" si="10"/>
        <v>2283.6</v>
      </c>
      <c r="Y735" s="1405"/>
      <c r="Z735" s="1405"/>
      <c r="AA735" s="1405"/>
      <c r="AB735" s="1406"/>
      <c r="AC735" s="1594">
        <v>0.6</v>
      </c>
      <c r="AD735" s="1595"/>
      <c r="AE735" s="1595"/>
      <c r="AF735" s="1595"/>
      <c r="AG735" s="1596"/>
      <c r="AH735" s="1386">
        <f t="shared" si="38"/>
        <v>0.6</v>
      </c>
      <c r="AI735" s="1387"/>
      <c r="AJ735" s="1388"/>
      <c r="AK735" s="1362" t="s">
        <v>591</v>
      </c>
      <c r="AL735" s="1363"/>
      <c r="AM735" s="1363"/>
      <c r="AN735" s="1363"/>
      <c r="AO735" s="1364"/>
      <c r="AP735" s="3"/>
      <c r="AQ735" s="3"/>
      <c r="AR735" s="3"/>
      <c r="AS735" s="3"/>
      <c r="AY735" s="1080"/>
      <c r="AZ735" s="118">
        <f t="shared" si="41"/>
        <v>3806</v>
      </c>
      <c r="BA735" s="3"/>
      <c r="BB735" s="3"/>
      <c r="BC735" s="3"/>
      <c r="BD735" s="3"/>
      <c r="BE735" s="204"/>
      <c r="BF735" s="294">
        <f t="shared" si="12"/>
        <v>2</v>
      </c>
      <c r="BG735" s="297">
        <f t="shared" si="13"/>
        <v>1.0638297872340425E-2</v>
      </c>
      <c r="BH735" s="298">
        <f t="shared" si="14"/>
        <v>6.382978723404255E-3</v>
      </c>
      <c r="BI735" s="3"/>
      <c r="BJ735" s="3"/>
      <c r="BK735" s="3"/>
      <c r="BL735" s="3"/>
      <c r="BM735" s="3"/>
      <c r="BN735" s="3"/>
      <c r="BS735" s="294">
        <f t="shared" si="15"/>
        <v>2</v>
      </c>
      <c r="BT735" s="297">
        <f t="shared" si="16"/>
        <v>1.0638297872340425E-2</v>
      </c>
      <c r="BU735" s="298">
        <f t="shared" si="17"/>
        <v>6.382978723404255E-3</v>
      </c>
      <c r="BV735" s="3"/>
      <c r="BW735" s="3"/>
      <c r="BX735" s="3"/>
      <c r="BY735" s="3"/>
      <c r="BZ735" s="3"/>
      <c r="CA735" s="3"/>
      <c r="CB735" s="3"/>
      <c r="CC735" s="3"/>
      <c r="CE735" s="3"/>
      <c r="CF735" s="3"/>
      <c r="CG735" s="1359">
        <f t="shared" si="39"/>
        <v>0</v>
      </c>
      <c r="CH735" s="1361"/>
      <c r="CI735" s="1342">
        <f t="shared" si="40"/>
        <v>0</v>
      </c>
      <c r="CJ735" s="1344"/>
      <c r="CK735" s="1359">
        <f t="shared" si="18"/>
        <v>0</v>
      </c>
      <c r="CL735" s="1361"/>
      <c r="CM735" s="1342">
        <f t="shared" si="19"/>
        <v>0</v>
      </c>
      <c r="CN735" s="1344"/>
      <c r="CO735" s="3"/>
      <c r="CP735" s="1339">
        <f t="shared" si="42"/>
        <v>0</v>
      </c>
      <c r="CQ735" s="1340"/>
      <c r="CR735" s="1340"/>
      <c r="CS735" s="1340"/>
      <c r="CT735" s="1341"/>
      <c r="CU735" s="1347">
        <f t="shared" si="43"/>
        <v>0</v>
      </c>
      <c r="CV735" s="1347"/>
      <c r="CW735" s="1347"/>
      <c r="CX735" s="1347"/>
      <c r="CY735" s="1347"/>
      <c r="CZ735" s="1347">
        <f t="shared" si="44"/>
        <v>2</v>
      </c>
      <c r="DA735" s="1347"/>
      <c r="DB735" s="1347"/>
      <c r="DC735" s="1347"/>
      <c r="DD735" s="1347"/>
      <c r="DE735" s="1347">
        <f t="shared" si="45"/>
        <v>0</v>
      </c>
      <c r="DF735" s="1347"/>
      <c r="DG735" s="1347"/>
      <c r="DH735" s="1347"/>
      <c r="DI735" s="1347"/>
      <c r="DJ735" s="1347">
        <f t="shared" si="46"/>
        <v>0</v>
      </c>
      <c r="DK735" s="1347"/>
      <c r="DL735" s="1347"/>
      <c r="DM735" s="1347"/>
      <c r="DN735" s="1347"/>
      <c r="DO735" s="1347">
        <f t="shared" si="47"/>
        <v>0</v>
      </c>
      <c r="DP735" s="1347"/>
      <c r="DQ735" s="1347"/>
      <c r="DR735" s="1347"/>
      <c r="DS735" s="1347"/>
      <c r="DT735" s="6"/>
      <c r="DU735" s="1366">
        <f t="shared" si="48"/>
        <v>0</v>
      </c>
      <c r="DV735" s="1366"/>
      <c r="DW735" s="1366"/>
      <c r="DX735" s="1366"/>
      <c r="DY735" s="1366"/>
      <c r="DZ735" s="1366">
        <f t="shared" si="49"/>
        <v>0</v>
      </c>
      <c r="EA735" s="1366"/>
      <c r="EB735" s="1366"/>
      <c r="EC735" s="1366"/>
      <c r="ED735" s="1366"/>
      <c r="EE735" s="1366">
        <f t="shared" si="50"/>
        <v>0</v>
      </c>
      <c r="EF735" s="1366"/>
      <c r="EG735" s="1366"/>
      <c r="EH735" s="1366"/>
      <c r="EI735" s="1366"/>
      <c r="EJ735" s="1366">
        <f t="shared" si="51"/>
        <v>0</v>
      </c>
      <c r="EK735" s="1366"/>
      <c r="EL735" s="1366"/>
      <c r="EM735" s="1366"/>
      <c r="EN735" s="1366"/>
      <c r="EO735" s="1366">
        <f t="shared" si="52"/>
        <v>0</v>
      </c>
      <c r="EP735" s="1366"/>
      <c r="EQ735" s="1366"/>
      <c r="ER735" s="1366"/>
      <c r="ES735" s="1366"/>
      <c r="ET735" s="1366">
        <f t="shared" si="53"/>
        <v>0</v>
      </c>
      <c r="EU735" s="1366"/>
      <c r="EV735" s="1366"/>
      <c r="EW735" s="1366"/>
      <c r="EX735" s="1366"/>
      <c r="EY735" s="4"/>
      <c r="EZ735" s="1359" t="str">
        <f t="shared" si="32"/>
        <v/>
      </c>
      <c r="FA735" s="1360"/>
      <c r="FB735" s="1360"/>
      <c r="FC735" s="1360"/>
      <c r="FD735" s="1361"/>
      <c r="FE735" s="1359" t="str">
        <f t="shared" si="33"/>
        <v/>
      </c>
      <c r="FF735" s="1360"/>
      <c r="FG735" s="1360"/>
      <c r="FH735" s="1360"/>
      <c r="FI735" s="1361"/>
      <c r="FJ735" s="1359">
        <f t="shared" si="34"/>
        <v>2167.6</v>
      </c>
      <c r="FK735" s="1360"/>
      <c r="FL735" s="1360"/>
      <c r="FM735" s="1360"/>
      <c r="FN735" s="1361"/>
      <c r="FO735" s="1359" t="str">
        <f t="shared" si="35"/>
        <v/>
      </c>
      <c r="FP735" s="1360"/>
      <c r="FQ735" s="1360"/>
      <c r="FR735" s="1360"/>
      <c r="FS735" s="1361"/>
      <c r="FT735" s="1359" t="str">
        <f t="shared" si="36"/>
        <v/>
      </c>
      <c r="FU735" s="1360"/>
      <c r="FV735" s="1360"/>
      <c r="FW735" s="1360"/>
      <c r="FX735" s="1361"/>
      <c r="FY735" s="1359" t="str">
        <f t="shared" si="37"/>
        <v/>
      </c>
      <c r="FZ735" s="1360"/>
      <c r="GA735" s="1360"/>
      <c r="GB735" s="1360"/>
      <c r="GC735" s="1361"/>
    </row>
    <row r="736" spans="1:185" ht="12.95" customHeight="1">
      <c r="A736" s="4"/>
      <c r="B736" s="1362" t="s">
        <v>163</v>
      </c>
      <c r="C736" s="1363"/>
      <c r="D736" s="1363"/>
      <c r="E736" s="1363"/>
      <c r="F736" s="1364"/>
      <c r="G736" s="1587">
        <v>3</v>
      </c>
      <c r="H736" s="1588"/>
      <c r="I736" s="1588"/>
      <c r="J736" s="1589"/>
      <c r="K736" s="1591">
        <v>797</v>
      </c>
      <c r="L736" s="1592"/>
      <c r="M736" s="1592"/>
      <c r="N736" s="1593"/>
      <c r="O736" s="1482">
        <f>2664.2-T736</f>
        <v>2548.1999999999998</v>
      </c>
      <c r="P736" s="1483"/>
      <c r="Q736" s="1483"/>
      <c r="R736" s="1483"/>
      <c r="S736" s="1484"/>
      <c r="T736" s="1482">
        <v>116</v>
      </c>
      <c r="U736" s="1483"/>
      <c r="V736" s="1483"/>
      <c r="W736" s="1484"/>
      <c r="X736" s="1404">
        <f t="shared" si="10"/>
        <v>2664.2</v>
      </c>
      <c r="Y736" s="1405"/>
      <c r="Z736" s="1405"/>
      <c r="AA736" s="1405"/>
      <c r="AB736" s="1406"/>
      <c r="AC736" s="1594">
        <v>0.7</v>
      </c>
      <c r="AD736" s="1595"/>
      <c r="AE736" s="1595"/>
      <c r="AF736" s="1595"/>
      <c r="AG736" s="1596"/>
      <c r="AH736" s="1386">
        <f t="shared" si="38"/>
        <v>0.7</v>
      </c>
      <c r="AI736" s="1387"/>
      <c r="AJ736" s="1388"/>
      <c r="AK736" s="1362" t="s">
        <v>591</v>
      </c>
      <c r="AL736" s="1363"/>
      <c r="AM736" s="1363"/>
      <c r="AN736" s="1363"/>
      <c r="AO736" s="1364"/>
      <c r="AP736" s="3"/>
      <c r="AQ736" s="3"/>
      <c r="AR736" s="3"/>
      <c r="AS736" s="3"/>
      <c r="AY736" s="1080"/>
      <c r="AZ736" s="118">
        <f t="shared" si="41"/>
        <v>3806</v>
      </c>
      <c r="BA736" s="3"/>
      <c r="BB736" s="3"/>
      <c r="BC736" s="3"/>
      <c r="BD736" s="3"/>
      <c r="BE736" s="204"/>
      <c r="BF736" s="294">
        <f t="shared" si="12"/>
        <v>3</v>
      </c>
      <c r="BG736" s="297">
        <f t="shared" si="13"/>
        <v>1.5957446808510637E-2</v>
      </c>
      <c r="BH736" s="298">
        <f t="shared" si="14"/>
        <v>1.1170212765957446E-2</v>
      </c>
      <c r="BI736" s="3"/>
      <c r="BJ736" s="3"/>
      <c r="BK736" s="3"/>
      <c r="BL736" s="3"/>
      <c r="BM736" s="3"/>
      <c r="BN736" s="3"/>
      <c r="BS736" s="294">
        <f t="shared" si="15"/>
        <v>3</v>
      </c>
      <c r="BT736" s="297">
        <f t="shared" si="16"/>
        <v>1.5957446808510637E-2</v>
      </c>
      <c r="BU736" s="298">
        <f t="shared" si="17"/>
        <v>1.1170212765957446E-2</v>
      </c>
      <c r="BV736" s="3"/>
      <c r="BW736" s="3"/>
      <c r="BX736" s="3"/>
      <c r="BY736" s="3"/>
      <c r="BZ736" s="3"/>
      <c r="CA736" s="3"/>
      <c r="CB736" s="3"/>
      <c r="CC736" s="3"/>
      <c r="CE736" s="3"/>
      <c r="CF736" s="3"/>
      <c r="CG736" s="1359">
        <f t="shared" si="39"/>
        <v>0</v>
      </c>
      <c r="CH736" s="1361"/>
      <c r="CI736" s="1342">
        <f t="shared" si="40"/>
        <v>0</v>
      </c>
      <c r="CJ736" s="1344"/>
      <c r="CK736" s="1359">
        <f t="shared" si="18"/>
        <v>0</v>
      </c>
      <c r="CL736" s="1361"/>
      <c r="CM736" s="1342">
        <f t="shared" si="19"/>
        <v>0</v>
      </c>
      <c r="CN736" s="1344"/>
      <c r="CO736" s="3"/>
      <c r="CP736" s="1339">
        <f t="shared" si="42"/>
        <v>0</v>
      </c>
      <c r="CQ736" s="1340"/>
      <c r="CR736" s="1340"/>
      <c r="CS736" s="1340"/>
      <c r="CT736" s="1341"/>
      <c r="CU736" s="1347">
        <f t="shared" si="43"/>
        <v>0</v>
      </c>
      <c r="CV736" s="1347"/>
      <c r="CW736" s="1347"/>
      <c r="CX736" s="1347"/>
      <c r="CY736" s="1347"/>
      <c r="CZ736" s="1347">
        <f t="shared" si="44"/>
        <v>3</v>
      </c>
      <c r="DA736" s="1347"/>
      <c r="DB736" s="1347"/>
      <c r="DC736" s="1347"/>
      <c r="DD736" s="1347"/>
      <c r="DE736" s="1347">
        <f t="shared" si="45"/>
        <v>0</v>
      </c>
      <c r="DF736" s="1347"/>
      <c r="DG736" s="1347"/>
      <c r="DH736" s="1347"/>
      <c r="DI736" s="1347"/>
      <c r="DJ736" s="1347">
        <f t="shared" si="46"/>
        <v>0</v>
      </c>
      <c r="DK736" s="1347"/>
      <c r="DL736" s="1347"/>
      <c r="DM736" s="1347"/>
      <c r="DN736" s="1347"/>
      <c r="DO736" s="1347">
        <f t="shared" si="47"/>
        <v>0</v>
      </c>
      <c r="DP736" s="1347"/>
      <c r="DQ736" s="1347"/>
      <c r="DR736" s="1347"/>
      <c r="DS736" s="1347"/>
      <c r="DT736" s="6"/>
      <c r="DU736" s="1366">
        <f t="shared" si="48"/>
        <v>0</v>
      </c>
      <c r="DV736" s="1366"/>
      <c r="DW736" s="1366"/>
      <c r="DX736" s="1366"/>
      <c r="DY736" s="1366"/>
      <c r="DZ736" s="1366">
        <f t="shared" si="49"/>
        <v>0</v>
      </c>
      <c r="EA736" s="1366"/>
      <c r="EB736" s="1366"/>
      <c r="EC736" s="1366"/>
      <c r="ED736" s="1366"/>
      <c r="EE736" s="1366">
        <f t="shared" si="50"/>
        <v>0</v>
      </c>
      <c r="EF736" s="1366"/>
      <c r="EG736" s="1366"/>
      <c r="EH736" s="1366"/>
      <c r="EI736" s="1366"/>
      <c r="EJ736" s="1366">
        <f t="shared" si="51"/>
        <v>0</v>
      </c>
      <c r="EK736" s="1366"/>
      <c r="EL736" s="1366"/>
      <c r="EM736" s="1366"/>
      <c r="EN736" s="1366"/>
      <c r="EO736" s="1366">
        <f t="shared" si="52"/>
        <v>0</v>
      </c>
      <c r="EP736" s="1366"/>
      <c r="EQ736" s="1366"/>
      <c r="ER736" s="1366"/>
      <c r="ES736" s="1366"/>
      <c r="ET736" s="1366">
        <f t="shared" si="53"/>
        <v>0</v>
      </c>
      <c r="EU736" s="1366"/>
      <c r="EV736" s="1366"/>
      <c r="EW736" s="1366"/>
      <c r="EX736" s="1366"/>
      <c r="EY736" s="4"/>
      <c r="EZ736" s="1359" t="str">
        <f t="shared" si="32"/>
        <v/>
      </c>
      <c r="FA736" s="1360"/>
      <c r="FB736" s="1360"/>
      <c r="FC736" s="1360"/>
      <c r="FD736" s="1361"/>
      <c r="FE736" s="1359" t="str">
        <f t="shared" si="33"/>
        <v/>
      </c>
      <c r="FF736" s="1360"/>
      <c r="FG736" s="1360"/>
      <c r="FH736" s="1360"/>
      <c r="FI736" s="1361"/>
      <c r="FJ736" s="1359">
        <f t="shared" si="34"/>
        <v>2548.1999999999998</v>
      </c>
      <c r="FK736" s="1360"/>
      <c r="FL736" s="1360"/>
      <c r="FM736" s="1360"/>
      <c r="FN736" s="1361"/>
      <c r="FO736" s="1359" t="str">
        <f t="shared" si="35"/>
        <v/>
      </c>
      <c r="FP736" s="1360"/>
      <c r="FQ736" s="1360"/>
      <c r="FR736" s="1360"/>
      <c r="FS736" s="1361"/>
      <c r="FT736" s="1359" t="str">
        <f t="shared" si="36"/>
        <v/>
      </c>
      <c r="FU736" s="1360"/>
      <c r="FV736" s="1360"/>
      <c r="FW736" s="1360"/>
      <c r="FX736" s="1361"/>
      <c r="FY736" s="1359" t="str">
        <f t="shared" si="37"/>
        <v/>
      </c>
      <c r="FZ736" s="1360"/>
      <c r="GA736" s="1360"/>
      <c r="GB736" s="1360"/>
      <c r="GC736" s="1361"/>
    </row>
    <row r="737" spans="1:185" ht="12.95" customHeight="1">
      <c r="A737" s="4"/>
      <c r="B737" s="1362"/>
      <c r="C737" s="1363"/>
      <c r="D737" s="1363"/>
      <c r="E737" s="1363"/>
      <c r="F737" s="1364"/>
      <c r="G737" s="1587"/>
      <c r="H737" s="1588"/>
      <c r="I737" s="1588"/>
      <c r="J737" s="1589"/>
      <c r="K737" s="1591"/>
      <c r="L737" s="1592"/>
      <c r="M737" s="1592"/>
      <c r="N737" s="1593"/>
      <c r="O737" s="1482"/>
      <c r="P737" s="1483"/>
      <c r="Q737" s="1483"/>
      <c r="R737" s="1483"/>
      <c r="S737" s="1484"/>
      <c r="T737" s="1482"/>
      <c r="U737" s="1483"/>
      <c r="V737" s="1483"/>
      <c r="W737" s="1484"/>
      <c r="X737" s="1404">
        <f t="shared" si="10"/>
        <v>0</v>
      </c>
      <c r="Y737" s="1405"/>
      <c r="Z737" s="1405"/>
      <c r="AA737" s="1405"/>
      <c r="AB737" s="1406"/>
      <c r="AC737" s="1594"/>
      <c r="AD737" s="1595"/>
      <c r="AE737" s="1595"/>
      <c r="AF737" s="1595"/>
      <c r="AG737" s="1596"/>
      <c r="AH737" s="1386" t="str">
        <f t="shared" si="38"/>
        <v/>
      </c>
      <c r="AI737" s="1387"/>
      <c r="AJ737" s="1388"/>
      <c r="AK737" s="1362" t="s">
        <v>591</v>
      </c>
      <c r="AL737" s="1363"/>
      <c r="AM737" s="1363"/>
      <c r="AN737" s="1363"/>
      <c r="AO737" s="1364"/>
      <c r="AP737" s="3"/>
      <c r="AQ737" s="3"/>
      <c r="AR737" s="3"/>
      <c r="AS737" s="3"/>
      <c r="AY737" s="1080"/>
      <c r="AZ737" s="118" t="str">
        <f t="shared" si="4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359">
        <f t="shared" si="39"/>
        <v>0</v>
      </c>
      <c r="CH737" s="1361"/>
      <c r="CI737" s="1342">
        <f t="shared" si="40"/>
        <v>0</v>
      </c>
      <c r="CJ737" s="1344"/>
      <c r="CK737" s="1359">
        <f t="shared" si="18"/>
        <v>0</v>
      </c>
      <c r="CL737" s="1361"/>
      <c r="CM737" s="1342">
        <f t="shared" si="19"/>
        <v>0</v>
      </c>
      <c r="CN737" s="1344"/>
      <c r="CO737" s="3"/>
      <c r="CP737" s="1339">
        <f t="shared" si="42"/>
        <v>0</v>
      </c>
      <c r="CQ737" s="1340"/>
      <c r="CR737" s="1340"/>
      <c r="CS737" s="1340"/>
      <c r="CT737" s="1341"/>
      <c r="CU737" s="1347">
        <f t="shared" si="43"/>
        <v>0</v>
      </c>
      <c r="CV737" s="1347"/>
      <c r="CW737" s="1347"/>
      <c r="CX737" s="1347"/>
      <c r="CY737" s="1347"/>
      <c r="CZ737" s="1347">
        <f t="shared" si="44"/>
        <v>0</v>
      </c>
      <c r="DA737" s="1347"/>
      <c r="DB737" s="1347"/>
      <c r="DC737" s="1347"/>
      <c r="DD737" s="1347"/>
      <c r="DE737" s="1347">
        <f t="shared" si="45"/>
        <v>0</v>
      </c>
      <c r="DF737" s="1347"/>
      <c r="DG737" s="1347"/>
      <c r="DH737" s="1347"/>
      <c r="DI737" s="1347"/>
      <c r="DJ737" s="1347">
        <f t="shared" si="46"/>
        <v>0</v>
      </c>
      <c r="DK737" s="1347"/>
      <c r="DL737" s="1347"/>
      <c r="DM737" s="1347"/>
      <c r="DN737" s="1347"/>
      <c r="DO737" s="1347">
        <f t="shared" si="47"/>
        <v>0</v>
      </c>
      <c r="DP737" s="1347"/>
      <c r="DQ737" s="1347"/>
      <c r="DR737" s="1347"/>
      <c r="DS737" s="1347"/>
      <c r="DT737" s="6"/>
      <c r="DU737" s="1366">
        <f t="shared" si="48"/>
        <v>0</v>
      </c>
      <c r="DV737" s="1366"/>
      <c r="DW737" s="1366"/>
      <c r="DX737" s="1366"/>
      <c r="DY737" s="1366"/>
      <c r="DZ737" s="1366">
        <f t="shared" si="49"/>
        <v>0</v>
      </c>
      <c r="EA737" s="1366"/>
      <c r="EB737" s="1366"/>
      <c r="EC737" s="1366"/>
      <c r="ED737" s="1366"/>
      <c r="EE737" s="1366">
        <f t="shared" si="50"/>
        <v>0</v>
      </c>
      <c r="EF737" s="1366"/>
      <c r="EG737" s="1366"/>
      <c r="EH737" s="1366"/>
      <c r="EI737" s="1366"/>
      <c r="EJ737" s="1366">
        <f t="shared" si="51"/>
        <v>0</v>
      </c>
      <c r="EK737" s="1366"/>
      <c r="EL737" s="1366"/>
      <c r="EM737" s="1366"/>
      <c r="EN737" s="1366"/>
      <c r="EO737" s="1366">
        <f t="shared" si="52"/>
        <v>0</v>
      </c>
      <c r="EP737" s="1366"/>
      <c r="EQ737" s="1366"/>
      <c r="ER737" s="1366"/>
      <c r="ES737" s="1366"/>
      <c r="ET737" s="1366">
        <f t="shared" si="53"/>
        <v>0</v>
      </c>
      <c r="EU737" s="1366"/>
      <c r="EV737" s="1366"/>
      <c r="EW737" s="1366"/>
      <c r="EX737" s="1366"/>
      <c r="EZ737" s="1359" t="str">
        <f t="shared" si="32"/>
        <v/>
      </c>
      <c r="FA737" s="1360"/>
      <c r="FB737" s="1360"/>
      <c r="FC737" s="1360"/>
      <c r="FD737" s="1361"/>
      <c r="FE737" s="1359" t="str">
        <f t="shared" si="33"/>
        <v/>
      </c>
      <c r="FF737" s="1360"/>
      <c r="FG737" s="1360"/>
      <c r="FH737" s="1360"/>
      <c r="FI737" s="1361"/>
      <c r="FJ737" s="1359" t="str">
        <f t="shared" si="34"/>
        <v/>
      </c>
      <c r="FK737" s="1360"/>
      <c r="FL737" s="1360"/>
      <c r="FM737" s="1360"/>
      <c r="FN737" s="1361"/>
      <c r="FO737" s="1359" t="str">
        <f t="shared" si="35"/>
        <v/>
      </c>
      <c r="FP737" s="1360"/>
      <c r="FQ737" s="1360"/>
      <c r="FR737" s="1360"/>
      <c r="FS737" s="1361"/>
      <c r="FT737" s="1359" t="str">
        <f t="shared" si="36"/>
        <v/>
      </c>
      <c r="FU737" s="1360"/>
      <c r="FV737" s="1360"/>
      <c r="FW737" s="1360"/>
      <c r="FX737" s="1361"/>
      <c r="FY737" s="1359" t="str">
        <f t="shared" si="37"/>
        <v/>
      </c>
      <c r="FZ737" s="1360"/>
      <c r="GA737" s="1360"/>
      <c r="GB737" s="1360"/>
      <c r="GC737" s="1361"/>
    </row>
    <row r="738" spans="1:185" ht="12.95" customHeight="1">
      <c r="B738" s="1362"/>
      <c r="C738" s="1363"/>
      <c r="D738" s="1363"/>
      <c r="E738" s="1363"/>
      <c r="F738" s="1364"/>
      <c r="G738" s="1587"/>
      <c r="H738" s="1588"/>
      <c r="I738" s="1588"/>
      <c r="J738" s="1589"/>
      <c r="K738" s="1591"/>
      <c r="L738" s="1592"/>
      <c r="M738" s="1592"/>
      <c r="N738" s="1593"/>
      <c r="O738" s="1482"/>
      <c r="P738" s="1483"/>
      <c r="Q738" s="1483"/>
      <c r="R738" s="1483"/>
      <c r="S738" s="1484"/>
      <c r="T738" s="1482"/>
      <c r="U738" s="1483"/>
      <c r="V738" s="1483"/>
      <c r="W738" s="1484"/>
      <c r="X738" s="1404">
        <f t="shared" si="10"/>
        <v>0</v>
      </c>
      <c r="Y738" s="1405"/>
      <c r="Z738" s="1405"/>
      <c r="AA738" s="1405"/>
      <c r="AB738" s="1406"/>
      <c r="AC738" s="1594"/>
      <c r="AD738" s="1595"/>
      <c r="AE738" s="1595"/>
      <c r="AF738" s="1595"/>
      <c r="AG738" s="1596"/>
      <c r="AH738" s="1386" t="str">
        <f t="shared" si="38"/>
        <v/>
      </c>
      <c r="AI738" s="1387"/>
      <c r="AJ738" s="1388"/>
      <c r="AK738" s="1362" t="s">
        <v>591</v>
      </c>
      <c r="AL738" s="1363"/>
      <c r="AM738" s="1363"/>
      <c r="AN738" s="1363"/>
      <c r="AO738" s="1364"/>
      <c r="AP738" s="3"/>
      <c r="AQ738" s="3"/>
      <c r="AR738" s="3"/>
      <c r="AS738" s="3"/>
      <c r="AY738" s="1080"/>
      <c r="AZ738" s="118" t="str">
        <f t="shared" si="4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359">
        <f t="shared" si="39"/>
        <v>0</v>
      </c>
      <c r="CH738" s="1361"/>
      <c r="CI738" s="1342">
        <f t="shared" si="40"/>
        <v>0</v>
      </c>
      <c r="CJ738" s="1344"/>
      <c r="CK738" s="1359">
        <f t="shared" si="18"/>
        <v>0</v>
      </c>
      <c r="CL738" s="1361"/>
      <c r="CM738" s="1342">
        <f t="shared" si="19"/>
        <v>0</v>
      </c>
      <c r="CN738" s="1344"/>
      <c r="CO738" s="3"/>
      <c r="CP738" s="1339">
        <f t="shared" si="42"/>
        <v>0</v>
      </c>
      <c r="CQ738" s="1340"/>
      <c r="CR738" s="1340"/>
      <c r="CS738" s="1340"/>
      <c r="CT738" s="1341"/>
      <c r="CU738" s="1347">
        <f t="shared" si="43"/>
        <v>0</v>
      </c>
      <c r="CV738" s="1347"/>
      <c r="CW738" s="1347"/>
      <c r="CX738" s="1347"/>
      <c r="CY738" s="1347"/>
      <c r="CZ738" s="1347">
        <f t="shared" si="44"/>
        <v>0</v>
      </c>
      <c r="DA738" s="1347"/>
      <c r="DB738" s="1347"/>
      <c r="DC738" s="1347"/>
      <c r="DD738" s="1347"/>
      <c r="DE738" s="1347">
        <f t="shared" si="45"/>
        <v>0</v>
      </c>
      <c r="DF738" s="1347"/>
      <c r="DG738" s="1347"/>
      <c r="DH738" s="1347"/>
      <c r="DI738" s="1347"/>
      <c r="DJ738" s="1347">
        <f t="shared" si="46"/>
        <v>0</v>
      </c>
      <c r="DK738" s="1347"/>
      <c r="DL738" s="1347"/>
      <c r="DM738" s="1347"/>
      <c r="DN738" s="1347"/>
      <c r="DO738" s="1347">
        <f t="shared" si="47"/>
        <v>0</v>
      </c>
      <c r="DP738" s="1347"/>
      <c r="DQ738" s="1347"/>
      <c r="DR738" s="1347"/>
      <c r="DS738" s="1347"/>
      <c r="DT738" s="6"/>
      <c r="DU738" s="1366">
        <f t="shared" si="48"/>
        <v>0</v>
      </c>
      <c r="DV738" s="1366"/>
      <c r="DW738" s="1366"/>
      <c r="DX738" s="1366"/>
      <c r="DY738" s="1366"/>
      <c r="DZ738" s="1366">
        <f t="shared" si="49"/>
        <v>0</v>
      </c>
      <c r="EA738" s="1366"/>
      <c r="EB738" s="1366"/>
      <c r="EC738" s="1366"/>
      <c r="ED738" s="1366"/>
      <c r="EE738" s="1366">
        <f t="shared" si="50"/>
        <v>0</v>
      </c>
      <c r="EF738" s="1366"/>
      <c r="EG738" s="1366"/>
      <c r="EH738" s="1366"/>
      <c r="EI738" s="1366"/>
      <c r="EJ738" s="1366">
        <f t="shared" si="51"/>
        <v>0</v>
      </c>
      <c r="EK738" s="1366"/>
      <c r="EL738" s="1366"/>
      <c r="EM738" s="1366"/>
      <c r="EN738" s="1366"/>
      <c r="EO738" s="1366">
        <f t="shared" si="52"/>
        <v>0</v>
      </c>
      <c r="EP738" s="1366"/>
      <c r="EQ738" s="1366"/>
      <c r="ER738" s="1366"/>
      <c r="ES738" s="1366"/>
      <c r="ET738" s="1366">
        <f t="shared" si="53"/>
        <v>0</v>
      </c>
      <c r="EU738" s="1366"/>
      <c r="EV738" s="1366"/>
      <c r="EW738" s="1366"/>
      <c r="EX738" s="1366"/>
      <c r="EZ738" s="1359" t="str">
        <f t="shared" si="32"/>
        <v/>
      </c>
      <c r="FA738" s="1360"/>
      <c r="FB738" s="1360"/>
      <c r="FC738" s="1360"/>
      <c r="FD738" s="1361"/>
      <c r="FE738" s="1359" t="str">
        <f t="shared" si="33"/>
        <v/>
      </c>
      <c r="FF738" s="1360"/>
      <c r="FG738" s="1360"/>
      <c r="FH738" s="1360"/>
      <c r="FI738" s="1361"/>
      <c r="FJ738" s="1359" t="str">
        <f t="shared" si="34"/>
        <v/>
      </c>
      <c r="FK738" s="1360"/>
      <c r="FL738" s="1360"/>
      <c r="FM738" s="1360"/>
      <c r="FN738" s="1361"/>
      <c r="FO738" s="1359" t="str">
        <f t="shared" si="35"/>
        <v/>
      </c>
      <c r="FP738" s="1360"/>
      <c r="FQ738" s="1360"/>
      <c r="FR738" s="1360"/>
      <c r="FS738" s="1361"/>
      <c r="FT738" s="1359" t="str">
        <f t="shared" si="36"/>
        <v/>
      </c>
      <c r="FU738" s="1360"/>
      <c r="FV738" s="1360"/>
      <c r="FW738" s="1360"/>
      <c r="FX738" s="1361"/>
      <c r="FY738" s="1359" t="str">
        <f t="shared" si="37"/>
        <v/>
      </c>
      <c r="FZ738" s="1360"/>
      <c r="GA738" s="1360"/>
      <c r="GB738" s="1360"/>
      <c r="GC738" s="1361"/>
    </row>
    <row r="739" spans="1:185" ht="12.95" customHeight="1">
      <c r="B739" s="1362"/>
      <c r="C739" s="1363"/>
      <c r="D739" s="1363"/>
      <c r="E739" s="1363"/>
      <c r="F739" s="1364"/>
      <c r="G739" s="1587"/>
      <c r="H739" s="1588"/>
      <c r="I739" s="1588"/>
      <c r="J739" s="1589"/>
      <c r="K739" s="1591"/>
      <c r="L739" s="1592"/>
      <c r="M739" s="1592"/>
      <c r="N739" s="1593"/>
      <c r="O739" s="1482"/>
      <c r="P739" s="1483"/>
      <c r="Q739" s="1483"/>
      <c r="R739" s="1483"/>
      <c r="S739" s="1484"/>
      <c r="T739" s="1482"/>
      <c r="U739" s="1483"/>
      <c r="V739" s="1483"/>
      <c r="W739" s="1484"/>
      <c r="X739" s="1404">
        <f t="shared" si="10"/>
        <v>0</v>
      </c>
      <c r="Y739" s="1405"/>
      <c r="Z739" s="1405"/>
      <c r="AA739" s="1405"/>
      <c r="AB739" s="1406"/>
      <c r="AC739" s="1594"/>
      <c r="AD739" s="1595"/>
      <c r="AE739" s="1595"/>
      <c r="AF739" s="1595"/>
      <c r="AG739" s="1596"/>
      <c r="AH739" s="1386" t="str">
        <f t="shared" si="38"/>
        <v/>
      </c>
      <c r="AI739" s="1387"/>
      <c r="AJ739" s="1388"/>
      <c r="AK739" s="1362" t="s">
        <v>591</v>
      </c>
      <c r="AL739" s="1363"/>
      <c r="AM739" s="1363"/>
      <c r="AN739" s="1363"/>
      <c r="AO739" s="1364"/>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359">
        <f t="shared" si="39"/>
        <v>0</v>
      </c>
      <c r="CH739" s="1361"/>
      <c r="CI739" s="1342">
        <f t="shared" si="40"/>
        <v>0</v>
      </c>
      <c r="CJ739" s="1344"/>
      <c r="CK739" s="1359">
        <f t="shared" si="18"/>
        <v>0</v>
      </c>
      <c r="CL739" s="1361"/>
      <c r="CM739" s="1342">
        <f t="shared" si="19"/>
        <v>0</v>
      </c>
      <c r="CN739" s="1344"/>
      <c r="CO739" s="3"/>
      <c r="CP739" s="1339">
        <f t="shared" si="20"/>
        <v>0</v>
      </c>
      <c r="CQ739" s="1340"/>
      <c r="CR739" s="1340"/>
      <c r="CS739" s="1340"/>
      <c r="CT739" s="1341"/>
      <c r="CU739" s="1347">
        <f t="shared" si="21"/>
        <v>0</v>
      </c>
      <c r="CV739" s="1347"/>
      <c r="CW739" s="1347"/>
      <c r="CX739" s="1347"/>
      <c r="CY739" s="1347"/>
      <c r="CZ739" s="1347">
        <f t="shared" si="22"/>
        <v>0</v>
      </c>
      <c r="DA739" s="1347"/>
      <c r="DB739" s="1347"/>
      <c r="DC739" s="1347"/>
      <c r="DD739" s="1347"/>
      <c r="DE739" s="1347">
        <f t="shared" si="23"/>
        <v>0</v>
      </c>
      <c r="DF739" s="1347"/>
      <c r="DG739" s="1347"/>
      <c r="DH739" s="1347"/>
      <c r="DI739" s="1347"/>
      <c r="DJ739" s="1347">
        <f t="shared" si="24"/>
        <v>0</v>
      </c>
      <c r="DK739" s="1347"/>
      <c r="DL739" s="1347"/>
      <c r="DM739" s="1347"/>
      <c r="DN739" s="1347"/>
      <c r="DO739" s="1347">
        <f t="shared" si="25"/>
        <v>0</v>
      </c>
      <c r="DP739" s="1347"/>
      <c r="DQ739" s="1347"/>
      <c r="DR739" s="1347"/>
      <c r="DS739" s="1347"/>
      <c r="DT739" s="6"/>
      <c r="DU739" s="1366">
        <f t="shared" si="26"/>
        <v>0</v>
      </c>
      <c r="DV739" s="1366"/>
      <c r="DW739" s="1366"/>
      <c r="DX739" s="1366"/>
      <c r="DY739" s="1366"/>
      <c r="DZ739" s="1366">
        <f t="shared" si="27"/>
        <v>0</v>
      </c>
      <c r="EA739" s="1366"/>
      <c r="EB739" s="1366"/>
      <c r="EC739" s="1366"/>
      <c r="ED739" s="1366"/>
      <c r="EE739" s="1366">
        <f t="shared" si="28"/>
        <v>0</v>
      </c>
      <c r="EF739" s="1366"/>
      <c r="EG739" s="1366"/>
      <c r="EH739" s="1366"/>
      <c r="EI739" s="1366"/>
      <c r="EJ739" s="1366">
        <f t="shared" si="29"/>
        <v>0</v>
      </c>
      <c r="EK739" s="1366"/>
      <c r="EL739" s="1366"/>
      <c r="EM739" s="1366"/>
      <c r="EN739" s="1366"/>
      <c r="EO739" s="1366">
        <f t="shared" si="30"/>
        <v>0</v>
      </c>
      <c r="EP739" s="1366"/>
      <c r="EQ739" s="1366"/>
      <c r="ER739" s="1366"/>
      <c r="ES739" s="1366"/>
      <c r="ET739" s="1366">
        <f t="shared" si="31"/>
        <v>0</v>
      </c>
      <c r="EU739" s="1366"/>
      <c r="EV739" s="1366"/>
      <c r="EW739" s="1366"/>
      <c r="EX739" s="1366"/>
      <c r="EZ739" s="1359" t="str">
        <f t="shared" si="32"/>
        <v/>
      </c>
      <c r="FA739" s="1360"/>
      <c r="FB739" s="1360"/>
      <c r="FC739" s="1360"/>
      <c r="FD739" s="1361"/>
      <c r="FE739" s="1359" t="str">
        <f t="shared" si="33"/>
        <v/>
      </c>
      <c r="FF739" s="1360"/>
      <c r="FG739" s="1360"/>
      <c r="FH739" s="1360"/>
      <c r="FI739" s="1361"/>
      <c r="FJ739" s="1359" t="str">
        <f t="shared" si="34"/>
        <v/>
      </c>
      <c r="FK739" s="1360"/>
      <c r="FL739" s="1360"/>
      <c r="FM739" s="1360"/>
      <c r="FN739" s="1361"/>
      <c r="FO739" s="1359" t="str">
        <f t="shared" si="35"/>
        <v/>
      </c>
      <c r="FP739" s="1360"/>
      <c r="FQ739" s="1360"/>
      <c r="FR739" s="1360"/>
      <c r="FS739" s="1361"/>
      <c r="FT739" s="1359" t="str">
        <f t="shared" si="36"/>
        <v/>
      </c>
      <c r="FU739" s="1360"/>
      <c r="FV739" s="1360"/>
      <c r="FW739" s="1360"/>
      <c r="FX739" s="1361"/>
      <c r="FY739" s="1359" t="str">
        <f t="shared" si="37"/>
        <v/>
      </c>
      <c r="FZ739" s="1360"/>
      <c r="GA739" s="1360"/>
      <c r="GB739" s="1360"/>
      <c r="GC739" s="1361"/>
    </row>
    <row r="740" spans="1:185" ht="12.95" customHeight="1">
      <c r="B740" s="1362"/>
      <c r="C740" s="1363"/>
      <c r="D740" s="1363"/>
      <c r="E740" s="1363"/>
      <c r="F740" s="1364"/>
      <c r="G740" s="1587"/>
      <c r="H740" s="1588"/>
      <c r="I740" s="1588"/>
      <c r="J740" s="1589"/>
      <c r="K740" s="1591"/>
      <c r="L740" s="1592"/>
      <c r="M740" s="1592"/>
      <c r="N740" s="1593"/>
      <c r="O740" s="1482"/>
      <c r="P740" s="1483"/>
      <c r="Q740" s="1483"/>
      <c r="R740" s="1483"/>
      <c r="S740" s="1484"/>
      <c r="T740" s="1482"/>
      <c r="U740" s="1483"/>
      <c r="V740" s="1483"/>
      <c r="W740" s="1484"/>
      <c r="X740" s="1404">
        <f t="shared" si="10"/>
        <v>0</v>
      </c>
      <c r="Y740" s="1405"/>
      <c r="Z740" s="1405"/>
      <c r="AA740" s="1405"/>
      <c r="AB740" s="1406"/>
      <c r="AC740" s="1594"/>
      <c r="AD740" s="1595"/>
      <c r="AE740" s="1595"/>
      <c r="AF740" s="1595"/>
      <c r="AG740" s="1596"/>
      <c r="AH740" s="1386" t="str">
        <f t="shared" si="38"/>
        <v/>
      </c>
      <c r="AI740" s="1387"/>
      <c r="AJ740" s="1388"/>
      <c r="AK740" s="1362" t="s">
        <v>591</v>
      </c>
      <c r="AL740" s="1363"/>
      <c r="AM740" s="1363"/>
      <c r="AN740" s="1363"/>
      <c r="AO740" s="1364"/>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359">
        <f t="shared" si="39"/>
        <v>0</v>
      </c>
      <c r="CH740" s="1361"/>
      <c r="CI740" s="1342">
        <f t="shared" si="40"/>
        <v>0</v>
      </c>
      <c r="CJ740" s="1344"/>
      <c r="CK740" s="1359">
        <f t="shared" si="18"/>
        <v>0</v>
      </c>
      <c r="CL740" s="1361"/>
      <c r="CM740" s="1342">
        <f t="shared" si="19"/>
        <v>0</v>
      </c>
      <c r="CN740" s="1344"/>
      <c r="CO740" s="3"/>
      <c r="CP740" s="1339">
        <f t="shared" si="20"/>
        <v>0</v>
      </c>
      <c r="CQ740" s="1340"/>
      <c r="CR740" s="1340"/>
      <c r="CS740" s="1340"/>
      <c r="CT740" s="1341"/>
      <c r="CU740" s="1347">
        <f t="shared" si="21"/>
        <v>0</v>
      </c>
      <c r="CV740" s="1347"/>
      <c r="CW740" s="1347"/>
      <c r="CX740" s="1347"/>
      <c r="CY740" s="1347"/>
      <c r="CZ740" s="1347">
        <f t="shared" si="22"/>
        <v>0</v>
      </c>
      <c r="DA740" s="1347"/>
      <c r="DB740" s="1347"/>
      <c r="DC740" s="1347"/>
      <c r="DD740" s="1347"/>
      <c r="DE740" s="1347">
        <f t="shared" si="23"/>
        <v>0</v>
      </c>
      <c r="DF740" s="1347"/>
      <c r="DG740" s="1347"/>
      <c r="DH740" s="1347"/>
      <c r="DI740" s="1347"/>
      <c r="DJ740" s="1347">
        <f t="shared" si="24"/>
        <v>0</v>
      </c>
      <c r="DK740" s="1347"/>
      <c r="DL740" s="1347"/>
      <c r="DM740" s="1347"/>
      <c r="DN740" s="1347"/>
      <c r="DO740" s="1347">
        <f t="shared" si="25"/>
        <v>0</v>
      </c>
      <c r="DP740" s="1347"/>
      <c r="DQ740" s="1347"/>
      <c r="DR740" s="1347"/>
      <c r="DS740" s="1347"/>
      <c r="DT740" s="6"/>
      <c r="DU740" s="1366">
        <f t="shared" si="26"/>
        <v>0</v>
      </c>
      <c r="DV740" s="1366"/>
      <c r="DW740" s="1366"/>
      <c r="DX740" s="1366"/>
      <c r="DY740" s="1366"/>
      <c r="DZ740" s="1366">
        <f t="shared" si="27"/>
        <v>0</v>
      </c>
      <c r="EA740" s="1366"/>
      <c r="EB740" s="1366"/>
      <c r="EC740" s="1366"/>
      <c r="ED740" s="1366"/>
      <c r="EE740" s="1366">
        <f t="shared" si="28"/>
        <v>0</v>
      </c>
      <c r="EF740" s="1366"/>
      <c r="EG740" s="1366"/>
      <c r="EH740" s="1366"/>
      <c r="EI740" s="1366"/>
      <c r="EJ740" s="1366">
        <f t="shared" si="29"/>
        <v>0</v>
      </c>
      <c r="EK740" s="1366"/>
      <c r="EL740" s="1366"/>
      <c r="EM740" s="1366"/>
      <c r="EN740" s="1366"/>
      <c r="EO740" s="1366">
        <f t="shared" si="30"/>
        <v>0</v>
      </c>
      <c r="EP740" s="1366"/>
      <c r="EQ740" s="1366"/>
      <c r="ER740" s="1366"/>
      <c r="ES740" s="1366"/>
      <c r="ET740" s="1366">
        <f t="shared" si="31"/>
        <v>0</v>
      </c>
      <c r="EU740" s="1366"/>
      <c r="EV740" s="1366"/>
      <c r="EW740" s="1366"/>
      <c r="EX740" s="1366"/>
      <c r="EZ740" s="1359" t="str">
        <f t="shared" si="32"/>
        <v/>
      </c>
      <c r="FA740" s="1360"/>
      <c r="FB740" s="1360"/>
      <c r="FC740" s="1360"/>
      <c r="FD740" s="1361"/>
      <c r="FE740" s="1359" t="str">
        <f t="shared" si="33"/>
        <v/>
      </c>
      <c r="FF740" s="1360"/>
      <c r="FG740" s="1360"/>
      <c r="FH740" s="1360"/>
      <c r="FI740" s="1361"/>
      <c r="FJ740" s="1359" t="str">
        <f t="shared" si="34"/>
        <v/>
      </c>
      <c r="FK740" s="1360"/>
      <c r="FL740" s="1360"/>
      <c r="FM740" s="1360"/>
      <c r="FN740" s="1361"/>
      <c r="FO740" s="1359" t="str">
        <f t="shared" si="35"/>
        <v/>
      </c>
      <c r="FP740" s="1360"/>
      <c r="FQ740" s="1360"/>
      <c r="FR740" s="1360"/>
      <c r="FS740" s="1361"/>
      <c r="FT740" s="1359" t="str">
        <f t="shared" si="36"/>
        <v/>
      </c>
      <c r="FU740" s="1360"/>
      <c r="FV740" s="1360"/>
      <c r="FW740" s="1360"/>
      <c r="FX740" s="1361"/>
      <c r="FY740" s="1359" t="str">
        <f t="shared" si="37"/>
        <v/>
      </c>
      <c r="FZ740" s="1360"/>
      <c r="GA740" s="1360"/>
      <c r="GB740" s="1360"/>
      <c r="GC740" s="1361"/>
    </row>
    <row r="741" spans="1:185" ht="12.95" customHeight="1">
      <c r="B741" s="1362"/>
      <c r="C741" s="1363"/>
      <c r="D741" s="1363"/>
      <c r="E741" s="1363"/>
      <c r="F741" s="1364"/>
      <c r="G741" s="1587"/>
      <c r="H741" s="1588"/>
      <c r="I741" s="1588"/>
      <c r="J741" s="1589"/>
      <c r="K741" s="1591"/>
      <c r="L741" s="1592"/>
      <c r="M741" s="1592"/>
      <c r="N741" s="1593"/>
      <c r="O741" s="1482"/>
      <c r="P741" s="1483"/>
      <c r="Q741" s="1483"/>
      <c r="R741" s="1483"/>
      <c r="S741" s="1484"/>
      <c r="T741" s="1482"/>
      <c r="U741" s="1483"/>
      <c r="V741" s="1483"/>
      <c r="W741" s="1484"/>
      <c r="X741" s="1404">
        <f t="shared" si="10"/>
        <v>0</v>
      </c>
      <c r="Y741" s="1405"/>
      <c r="Z741" s="1405"/>
      <c r="AA741" s="1405"/>
      <c r="AB741" s="1406"/>
      <c r="AC741" s="1594"/>
      <c r="AD741" s="1595"/>
      <c r="AE741" s="1595"/>
      <c r="AF741" s="1595"/>
      <c r="AG741" s="1596"/>
      <c r="AH741" s="1386" t="str">
        <f t="shared" si="38"/>
        <v/>
      </c>
      <c r="AI741" s="1387"/>
      <c r="AJ741" s="1388"/>
      <c r="AK741" s="1362" t="s">
        <v>591</v>
      </c>
      <c r="AL741" s="1363"/>
      <c r="AM741" s="1363"/>
      <c r="AN741" s="1363"/>
      <c r="AO741" s="1364"/>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359">
        <f t="shared" si="39"/>
        <v>0</v>
      </c>
      <c r="CH741" s="1361"/>
      <c r="CI741" s="1342">
        <f t="shared" si="40"/>
        <v>0</v>
      </c>
      <c r="CJ741" s="1344"/>
      <c r="CK741" s="1359">
        <f t="shared" si="18"/>
        <v>0</v>
      </c>
      <c r="CL741" s="1361"/>
      <c r="CM741" s="1342">
        <f t="shared" si="19"/>
        <v>0</v>
      </c>
      <c r="CN741" s="1344"/>
      <c r="CO741" s="3"/>
      <c r="CP741" s="1339">
        <f t="shared" si="20"/>
        <v>0</v>
      </c>
      <c r="CQ741" s="1340"/>
      <c r="CR741" s="1340"/>
      <c r="CS741" s="1340"/>
      <c r="CT741" s="1341"/>
      <c r="CU741" s="1347">
        <f t="shared" si="21"/>
        <v>0</v>
      </c>
      <c r="CV741" s="1347"/>
      <c r="CW741" s="1347"/>
      <c r="CX741" s="1347"/>
      <c r="CY741" s="1347"/>
      <c r="CZ741" s="1347">
        <f t="shared" si="22"/>
        <v>0</v>
      </c>
      <c r="DA741" s="1347"/>
      <c r="DB741" s="1347"/>
      <c r="DC741" s="1347"/>
      <c r="DD741" s="1347"/>
      <c r="DE741" s="1347">
        <f t="shared" si="23"/>
        <v>0</v>
      </c>
      <c r="DF741" s="1347"/>
      <c r="DG741" s="1347"/>
      <c r="DH741" s="1347"/>
      <c r="DI741" s="1347"/>
      <c r="DJ741" s="1347">
        <f t="shared" si="24"/>
        <v>0</v>
      </c>
      <c r="DK741" s="1347"/>
      <c r="DL741" s="1347"/>
      <c r="DM741" s="1347"/>
      <c r="DN741" s="1347"/>
      <c r="DO741" s="1347">
        <f t="shared" si="25"/>
        <v>0</v>
      </c>
      <c r="DP741" s="1347"/>
      <c r="DQ741" s="1347"/>
      <c r="DR741" s="1347"/>
      <c r="DS741" s="1347"/>
      <c r="DT741" s="6"/>
      <c r="DU741" s="1366">
        <f t="shared" si="26"/>
        <v>0</v>
      </c>
      <c r="DV741" s="1366"/>
      <c r="DW741" s="1366"/>
      <c r="DX741" s="1366"/>
      <c r="DY741" s="1366"/>
      <c r="DZ741" s="1366">
        <f t="shared" si="27"/>
        <v>0</v>
      </c>
      <c r="EA741" s="1366"/>
      <c r="EB741" s="1366"/>
      <c r="EC741" s="1366"/>
      <c r="ED741" s="1366"/>
      <c r="EE741" s="1366">
        <f t="shared" si="28"/>
        <v>0</v>
      </c>
      <c r="EF741" s="1366"/>
      <c r="EG741" s="1366"/>
      <c r="EH741" s="1366"/>
      <c r="EI741" s="1366"/>
      <c r="EJ741" s="1366">
        <f t="shared" si="29"/>
        <v>0</v>
      </c>
      <c r="EK741" s="1366"/>
      <c r="EL741" s="1366"/>
      <c r="EM741" s="1366"/>
      <c r="EN741" s="1366"/>
      <c r="EO741" s="1366">
        <f t="shared" si="30"/>
        <v>0</v>
      </c>
      <c r="EP741" s="1366"/>
      <c r="EQ741" s="1366"/>
      <c r="ER741" s="1366"/>
      <c r="ES741" s="1366"/>
      <c r="ET741" s="1366">
        <f t="shared" si="31"/>
        <v>0</v>
      </c>
      <c r="EU741" s="1366"/>
      <c r="EV741" s="1366"/>
      <c r="EW741" s="1366"/>
      <c r="EX741" s="1366"/>
      <c r="EZ741" s="1359" t="str">
        <f t="shared" si="32"/>
        <v/>
      </c>
      <c r="FA741" s="1360"/>
      <c r="FB741" s="1360"/>
      <c r="FC741" s="1360"/>
      <c r="FD741" s="1361"/>
      <c r="FE741" s="1359" t="str">
        <f t="shared" si="33"/>
        <v/>
      </c>
      <c r="FF741" s="1360"/>
      <c r="FG741" s="1360"/>
      <c r="FH741" s="1360"/>
      <c r="FI741" s="1361"/>
      <c r="FJ741" s="1359" t="str">
        <f t="shared" si="34"/>
        <v/>
      </c>
      <c r="FK741" s="1360"/>
      <c r="FL741" s="1360"/>
      <c r="FM741" s="1360"/>
      <c r="FN741" s="1361"/>
      <c r="FO741" s="1359" t="str">
        <f t="shared" si="35"/>
        <v/>
      </c>
      <c r="FP741" s="1360"/>
      <c r="FQ741" s="1360"/>
      <c r="FR741" s="1360"/>
      <c r="FS741" s="1361"/>
      <c r="FT741" s="1359" t="str">
        <f t="shared" si="36"/>
        <v/>
      </c>
      <c r="FU741" s="1360"/>
      <c r="FV741" s="1360"/>
      <c r="FW741" s="1360"/>
      <c r="FX741" s="1361"/>
      <c r="FY741" s="1359" t="str">
        <f t="shared" si="37"/>
        <v/>
      </c>
      <c r="FZ741" s="1360"/>
      <c r="GA741" s="1360"/>
      <c r="GB741" s="1360"/>
      <c r="GC741" s="1361"/>
    </row>
    <row r="742" spans="1:185" ht="12.95" customHeight="1">
      <c r="B742" s="1362"/>
      <c r="C742" s="1363"/>
      <c r="D742" s="1363"/>
      <c r="E742" s="1363"/>
      <c r="F742" s="1364"/>
      <c r="G742" s="1587"/>
      <c r="H742" s="1588"/>
      <c r="I742" s="1588"/>
      <c r="J742" s="1589"/>
      <c r="K742" s="1591"/>
      <c r="L742" s="1592"/>
      <c r="M742" s="1592"/>
      <c r="N742" s="1593"/>
      <c r="O742" s="1482"/>
      <c r="P742" s="1483"/>
      <c r="Q742" s="1483"/>
      <c r="R742" s="1483"/>
      <c r="S742" s="1484"/>
      <c r="T742" s="1482"/>
      <c r="U742" s="1483"/>
      <c r="V742" s="1483"/>
      <c r="W742" s="1484"/>
      <c r="X742" s="1404">
        <f t="shared" si="10"/>
        <v>0</v>
      </c>
      <c r="Y742" s="1405"/>
      <c r="Z742" s="1405"/>
      <c r="AA742" s="1405"/>
      <c r="AB742" s="1406"/>
      <c r="AC742" s="1594"/>
      <c r="AD742" s="1595"/>
      <c r="AE742" s="1595"/>
      <c r="AF742" s="1595"/>
      <c r="AG742" s="1596"/>
      <c r="AH742" s="1386" t="str">
        <f t="shared" si="38"/>
        <v/>
      </c>
      <c r="AI742" s="1387"/>
      <c r="AJ742" s="1388"/>
      <c r="AK742" s="1362" t="s">
        <v>591</v>
      </c>
      <c r="AL742" s="1363"/>
      <c r="AM742" s="1363"/>
      <c r="AN742" s="1363"/>
      <c r="AO742" s="1364"/>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359">
        <f t="shared" si="39"/>
        <v>0</v>
      </c>
      <c r="CH742" s="1361"/>
      <c r="CI742" s="1342">
        <f t="shared" si="40"/>
        <v>0</v>
      </c>
      <c r="CJ742" s="1344"/>
      <c r="CK742" s="1359">
        <f t="shared" si="18"/>
        <v>0</v>
      </c>
      <c r="CL742" s="1361"/>
      <c r="CM742" s="1342">
        <f t="shared" si="19"/>
        <v>0</v>
      </c>
      <c r="CN742" s="1344"/>
      <c r="CO742" s="3"/>
      <c r="CP742" s="1339">
        <f t="shared" si="20"/>
        <v>0</v>
      </c>
      <c r="CQ742" s="1340"/>
      <c r="CR742" s="1340"/>
      <c r="CS742" s="1340"/>
      <c r="CT742" s="1341"/>
      <c r="CU742" s="1347">
        <f t="shared" si="21"/>
        <v>0</v>
      </c>
      <c r="CV742" s="1347"/>
      <c r="CW742" s="1347"/>
      <c r="CX742" s="1347"/>
      <c r="CY742" s="1347"/>
      <c r="CZ742" s="1347">
        <f t="shared" si="22"/>
        <v>0</v>
      </c>
      <c r="DA742" s="1347"/>
      <c r="DB742" s="1347"/>
      <c r="DC742" s="1347"/>
      <c r="DD742" s="1347"/>
      <c r="DE742" s="1347">
        <f t="shared" si="23"/>
        <v>0</v>
      </c>
      <c r="DF742" s="1347"/>
      <c r="DG742" s="1347"/>
      <c r="DH742" s="1347"/>
      <c r="DI742" s="1347"/>
      <c r="DJ742" s="1347">
        <f t="shared" si="24"/>
        <v>0</v>
      </c>
      <c r="DK742" s="1347"/>
      <c r="DL742" s="1347"/>
      <c r="DM742" s="1347"/>
      <c r="DN742" s="1347"/>
      <c r="DO742" s="1347">
        <f t="shared" si="25"/>
        <v>0</v>
      </c>
      <c r="DP742" s="1347"/>
      <c r="DQ742" s="1347"/>
      <c r="DR742" s="1347"/>
      <c r="DS742" s="1347"/>
      <c r="DT742" s="6"/>
      <c r="DU742" s="1366">
        <f t="shared" si="26"/>
        <v>0</v>
      </c>
      <c r="DV742" s="1366"/>
      <c r="DW742" s="1366"/>
      <c r="DX742" s="1366"/>
      <c r="DY742" s="1366"/>
      <c r="DZ742" s="1366">
        <f t="shared" si="27"/>
        <v>0</v>
      </c>
      <c r="EA742" s="1366"/>
      <c r="EB742" s="1366"/>
      <c r="EC742" s="1366"/>
      <c r="ED742" s="1366"/>
      <c r="EE742" s="1366">
        <f t="shared" si="28"/>
        <v>0</v>
      </c>
      <c r="EF742" s="1366"/>
      <c r="EG742" s="1366"/>
      <c r="EH742" s="1366"/>
      <c r="EI742" s="1366"/>
      <c r="EJ742" s="1366">
        <f t="shared" si="29"/>
        <v>0</v>
      </c>
      <c r="EK742" s="1366"/>
      <c r="EL742" s="1366"/>
      <c r="EM742" s="1366"/>
      <c r="EN742" s="1366"/>
      <c r="EO742" s="1366">
        <f t="shared" si="30"/>
        <v>0</v>
      </c>
      <c r="EP742" s="1366"/>
      <c r="EQ742" s="1366"/>
      <c r="ER742" s="1366"/>
      <c r="ES742" s="1366"/>
      <c r="ET742" s="1366">
        <f t="shared" si="31"/>
        <v>0</v>
      </c>
      <c r="EU742" s="1366"/>
      <c r="EV742" s="1366"/>
      <c r="EW742" s="1366"/>
      <c r="EX742" s="1366"/>
      <c r="EZ742" s="1359" t="str">
        <f t="shared" si="32"/>
        <v/>
      </c>
      <c r="FA742" s="1360"/>
      <c r="FB742" s="1360"/>
      <c r="FC742" s="1360"/>
      <c r="FD742" s="1361"/>
      <c r="FE742" s="1359" t="str">
        <f t="shared" si="33"/>
        <v/>
      </c>
      <c r="FF742" s="1360"/>
      <c r="FG742" s="1360"/>
      <c r="FH742" s="1360"/>
      <c r="FI742" s="1361"/>
      <c r="FJ742" s="1359" t="str">
        <f t="shared" si="34"/>
        <v/>
      </c>
      <c r="FK742" s="1360"/>
      <c r="FL742" s="1360"/>
      <c r="FM742" s="1360"/>
      <c r="FN742" s="1361"/>
      <c r="FO742" s="1359" t="str">
        <f t="shared" si="35"/>
        <v/>
      </c>
      <c r="FP742" s="1360"/>
      <c r="FQ742" s="1360"/>
      <c r="FR742" s="1360"/>
      <c r="FS742" s="1361"/>
      <c r="FT742" s="1359" t="str">
        <f t="shared" si="36"/>
        <v/>
      </c>
      <c r="FU742" s="1360"/>
      <c r="FV742" s="1360"/>
      <c r="FW742" s="1360"/>
      <c r="FX742" s="1361"/>
      <c r="FY742" s="1359" t="str">
        <f t="shared" si="37"/>
        <v/>
      </c>
      <c r="FZ742" s="1360"/>
      <c r="GA742" s="1360"/>
      <c r="GB742" s="1360"/>
      <c r="GC742" s="1361"/>
    </row>
    <row r="743" spans="1:185" ht="12.95" customHeight="1">
      <c r="B743" s="1362"/>
      <c r="C743" s="1363"/>
      <c r="D743" s="1363"/>
      <c r="E743" s="1363"/>
      <c r="F743" s="1364"/>
      <c r="G743" s="1587"/>
      <c r="H743" s="1588"/>
      <c r="I743" s="1588"/>
      <c r="J743" s="1589"/>
      <c r="K743" s="1591"/>
      <c r="L743" s="1592"/>
      <c r="M743" s="1592"/>
      <c r="N743" s="1593"/>
      <c r="O743" s="1482"/>
      <c r="P743" s="1483"/>
      <c r="Q743" s="1483"/>
      <c r="R743" s="1483"/>
      <c r="S743" s="1484"/>
      <c r="T743" s="1482"/>
      <c r="U743" s="1483"/>
      <c r="V743" s="1483"/>
      <c r="W743" s="1484"/>
      <c r="X743" s="1404">
        <f t="shared" si="10"/>
        <v>0</v>
      </c>
      <c r="Y743" s="1405"/>
      <c r="Z743" s="1405"/>
      <c r="AA743" s="1405"/>
      <c r="AB743" s="1406"/>
      <c r="AC743" s="1594"/>
      <c r="AD743" s="1595"/>
      <c r="AE743" s="1595"/>
      <c r="AF743" s="1595"/>
      <c r="AG743" s="1596"/>
      <c r="AH743" s="1386" t="str">
        <f t="shared" si="38"/>
        <v/>
      </c>
      <c r="AI743" s="1387"/>
      <c r="AJ743" s="1388"/>
      <c r="AK743" s="1362" t="s">
        <v>591</v>
      </c>
      <c r="AL743" s="1363"/>
      <c r="AM743" s="1363"/>
      <c r="AN743" s="1363"/>
      <c r="AO743" s="1364"/>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359">
        <f t="shared" si="39"/>
        <v>0</v>
      </c>
      <c r="CH743" s="1361"/>
      <c r="CI743" s="1342">
        <f t="shared" si="40"/>
        <v>0</v>
      </c>
      <c r="CJ743" s="1344"/>
      <c r="CK743" s="1359">
        <f t="shared" si="18"/>
        <v>0</v>
      </c>
      <c r="CL743" s="1361"/>
      <c r="CM743" s="1342">
        <f t="shared" si="19"/>
        <v>0</v>
      </c>
      <c r="CN743" s="1344"/>
      <c r="CO743" s="3"/>
      <c r="CP743" s="1339">
        <f t="shared" si="20"/>
        <v>0</v>
      </c>
      <c r="CQ743" s="1340"/>
      <c r="CR743" s="1340"/>
      <c r="CS743" s="1340"/>
      <c r="CT743" s="1341"/>
      <c r="CU743" s="1347">
        <f t="shared" si="21"/>
        <v>0</v>
      </c>
      <c r="CV743" s="1347"/>
      <c r="CW743" s="1347"/>
      <c r="CX743" s="1347"/>
      <c r="CY743" s="1347"/>
      <c r="CZ743" s="1347">
        <f t="shared" si="22"/>
        <v>0</v>
      </c>
      <c r="DA743" s="1347"/>
      <c r="DB743" s="1347"/>
      <c r="DC743" s="1347"/>
      <c r="DD743" s="1347"/>
      <c r="DE743" s="1347">
        <f t="shared" si="23"/>
        <v>0</v>
      </c>
      <c r="DF743" s="1347"/>
      <c r="DG743" s="1347"/>
      <c r="DH743" s="1347"/>
      <c r="DI743" s="1347"/>
      <c r="DJ743" s="1347">
        <f t="shared" si="24"/>
        <v>0</v>
      </c>
      <c r="DK743" s="1347"/>
      <c r="DL743" s="1347"/>
      <c r="DM743" s="1347"/>
      <c r="DN743" s="1347"/>
      <c r="DO743" s="1347">
        <f t="shared" si="25"/>
        <v>0</v>
      </c>
      <c r="DP743" s="1347"/>
      <c r="DQ743" s="1347"/>
      <c r="DR743" s="1347"/>
      <c r="DS743" s="1347"/>
      <c r="DT743" s="6"/>
      <c r="DU743" s="1366">
        <f t="shared" si="26"/>
        <v>0</v>
      </c>
      <c r="DV743" s="1366"/>
      <c r="DW743" s="1366"/>
      <c r="DX743" s="1366"/>
      <c r="DY743" s="1366"/>
      <c r="DZ743" s="1366">
        <f t="shared" si="27"/>
        <v>0</v>
      </c>
      <c r="EA743" s="1366"/>
      <c r="EB743" s="1366"/>
      <c r="EC743" s="1366"/>
      <c r="ED743" s="1366"/>
      <c r="EE743" s="1366">
        <f t="shared" si="28"/>
        <v>0</v>
      </c>
      <c r="EF743" s="1366"/>
      <c r="EG743" s="1366"/>
      <c r="EH743" s="1366"/>
      <c r="EI743" s="1366"/>
      <c r="EJ743" s="1366">
        <f t="shared" si="29"/>
        <v>0</v>
      </c>
      <c r="EK743" s="1366"/>
      <c r="EL743" s="1366"/>
      <c r="EM743" s="1366"/>
      <c r="EN743" s="1366"/>
      <c r="EO743" s="1366">
        <f t="shared" si="30"/>
        <v>0</v>
      </c>
      <c r="EP743" s="1366"/>
      <c r="EQ743" s="1366"/>
      <c r="ER743" s="1366"/>
      <c r="ES743" s="1366"/>
      <c r="ET743" s="1366">
        <f t="shared" si="31"/>
        <v>0</v>
      </c>
      <c r="EU743" s="1366"/>
      <c r="EV743" s="1366"/>
      <c r="EW743" s="1366"/>
      <c r="EX743" s="1366"/>
      <c r="EZ743" s="1359" t="str">
        <f t="shared" si="32"/>
        <v/>
      </c>
      <c r="FA743" s="1360"/>
      <c r="FB743" s="1360"/>
      <c r="FC743" s="1360"/>
      <c r="FD743" s="1361"/>
      <c r="FE743" s="1359" t="str">
        <f t="shared" si="33"/>
        <v/>
      </c>
      <c r="FF743" s="1360"/>
      <c r="FG743" s="1360"/>
      <c r="FH743" s="1360"/>
      <c r="FI743" s="1361"/>
      <c r="FJ743" s="1359" t="str">
        <f t="shared" si="34"/>
        <v/>
      </c>
      <c r="FK743" s="1360"/>
      <c r="FL743" s="1360"/>
      <c r="FM743" s="1360"/>
      <c r="FN743" s="1361"/>
      <c r="FO743" s="1359" t="str">
        <f t="shared" si="35"/>
        <v/>
      </c>
      <c r="FP743" s="1360"/>
      <c r="FQ743" s="1360"/>
      <c r="FR743" s="1360"/>
      <c r="FS743" s="1361"/>
      <c r="FT743" s="1359" t="str">
        <f t="shared" si="36"/>
        <v/>
      </c>
      <c r="FU743" s="1360"/>
      <c r="FV743" s="1360"/>
      <c r="FW743" s="1360"/>
      <c r="FX743" s="1361"/>
      <c r="FY743" s="1359" t="str">
        <f t="shared" si="37"/>
        <v/>
      </c>
      <c r="FZ743" s="1360"/>
      <c r="GA743" s="1360"/>
      <c r="GB743" s="1360"/>
      <c r="GC743" s="1361"/>
    </row>
    <row r="744" spans="1:185" ht="12.95" customHeight="1">
      <c r="B744" s="1362"/>
      <c r="C744" s="1363"/>
      <c r="D744" s="1363"/>
      <c r="E744" s="1363"/>
      <c r="F744" s="1364"/>
      <c r="G744" s="1587"/>
      <c r="H744" s="1588"/>
      <c r="I744" s="1588"/>
      <c r="J744" s="1589"/>
      <c r="K744" s="1591"/>
      <c r="L744" s="1592"/>
      <c r="M744" s="1592"/>
      <c r="N744" s="1593"/>
      <c r="O744" s="1482"/>
      <c r="P744" s="1483"/>
      <c r="Q744" s="1483"/>
      <c r="R744" s="1483"/>
      <c r="S744" s="1484"/>
      <c r="T744" s="1482"/>
      <c r="U744" s="1483"/>
      <c r="V744" s="1483"/>
      <c r="W744" s="1484"/>
      <c r="X744" s="1404">
        <f t="shared" si="10"/>
        <v>0</v>
      </c>
      <c r="Y744" s="1405"/>
      <c r="Z744" s="1405"/>
      <c r="AA744" s="1405"/>
      <c r="AB744" s="1406"/>
      <c r="AC744" s="1594"/>
      <c r="AD744" s="1595"/>
      <c r="AE744" s="1595"/>
      <c r="AF744" s="1595"/>
      <c r="AG744" s="1596"/>
      <c r="AH744" s="1386" t="str">
        <f t="shared" si="38"/>
        <v/>
      </c>
      <c r="AI744" s="1387"/>
      <c r="AJ744" s="1388"/>
      <c r="AK744" s="1362" t="s">
        <v>591</v>
      </c>
      <c r="AL744" s="1363"/>
      <c r="AM744" s="1363"/>
      <c r="AN744" s="1363"/>
      <c r="AO744" s="1364"/>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359">
        <f t="shared" si="39"/>
        <v>0</v>
      </c>
      <c r="CH744" s="1361"/>
      <c r="CI744" s="1342">
        <f t="shared" si="40"/>
        <v>0</v>
      </c>
      <c r="CJ744" s="1344"/>
      <c r="CK744" s="1359">
        <f t="shared" si="18"/>
        <v>0</v>
      </c>
      <c r="CL744" s="1361"/>
      <c r="CM744" s="1342">
        <f t="shared" si="19"/>
        <v>0</v>
      </c>
      <c r="CN744" s="1344"/>
      <c r="CO744" s="3"/>
      <c r="CP744" s="1339">
        <f t="shared" si="20"/>
        <v>0</v>
      </c>
      <c r="CQ744" s="1340"/>
      <c r="CR744" s="1340"/>
      <c r="CS744" s="1340"/>
      <c r="CT744" s="1341"/>
      <c r="CU744" s="1347">
        <f t="shared" si="21"/>
        <v>0</v>
      </c>
      <c r="CV744" s="1347"/>
      <c r="CW744" s="1347"/>
      <c r="CX744" s="1347"/>
      <c r="CY744" s="1347"/>
      <c r="CZ744" s="1347">
        <f t="shared" si="22"/>
        <v>0</v>
      </c>
      <c r="DA744" s="1347"/>
      <c r="DB744" s="1347"/>
      <c r="DC744" s="1347"/>
      <c r="DD744" s="1347"/>
      <c r="DE744" s="1347">
        <f t="shared" si="23"/>
        <v>0</v>
      </c>
      <c r="DF744" s="1347"/>
      <c r="DG744" s="1347"/>
      <c r="DH744" s="1347"/>
      <c r="DI744" s="1347"/>
      <c r="DJ744" s="1347">
        <f t="shared" si="24"/>
        <v>0</v>
      </c>
      <c r="DK744" s="1347"/>
      <c r="DL744" s="1347"/>
      <c r="DM744" s="1347"/>
      <c r="DN744" s="1347"/>
      <c r="DO744" s="1347">
        <f t="shared" si="25"/>
        <v>0</v>
      </c>
      <c r="DP744" s="1347"/>
      <c r="DQ744" s="1347"/>
      <c r="DR744" s="1347"/>
      <c r="DS744" s="1347"/>
      <c r="DT744" s="6"/>
      <c r="DU744" s="1366">
        <f t="shared" si="26"/>
        <v>0</v>
      </c>
      <c r="DV744" s="1366"/>
      <c r="DW744" s="1366"/>
      <c r="DX744" s="1366"/>
      <c r="DY744" s="1366"/>
      <c r="DZ744" s="1366">
        <f t="shared" si="27"/>
        <v>0</v>
      </c>
      <c r="EA744" s="1366"/>
      <c r="EB744" s="1366"/>
      <c r="EC744" s="1366"/>
      <c r="ED744" s="1366"/>
      <c r="EE744" s="1366">
        <f t="shared" si="28"/>
        <v>0</v>
      </c>
      <c r="EF744" s="1366"/>
      <c r="EG744" s="1366"/>
      <c r="EH744" s="1366"/>
      <c r="EI744" s="1366"/>
      <c r="EJ744" s="1366">
        <f t="shared" si="29"/>
        <v>0</v>
      </c>
      <c r="EK744" s="1366"/>
      <c r="EL744" s="1366"/>
      <c r="EM744" s="1366"/>
      <c r="EN744" s="1366"/>
      <c r="EO744" s="1366">
        <f t="shared" si="30"/>
        <v>0</v>
      </c>
      <c r="EP744" s="1366"/>
      <c r="EQ744" s="1366"/>
      <c r="ER744" s="1366"/>
      <c r="ES744" s="1366"/>
      <c r="ET744" s="1366">
        <f t="shared" si="31"/>
        <v>0</v>
      </c>
      <c r="EU744" s="1366"/>
      <c r="EV744" s="1366"/>
      <c r="EW744" s="1366"/>
      <c r="EX744" s="1366"/>
      <c r="EZ744" s="1359" t="str">
        <f t="shared" si="32"/>
        <v/>
      </c>
      <c r="FA744" s="1360"/>
      <c r="FB744" s="1360"/>
      <c r="FC744" s="1360"/>
      <c r="FD744" s="1361"/>
      <c r="FE744" s="1359" t="str">
        <f t="shared" si="33"/>
        <v/>
      </c>
      <c r="FF744" s="1360"/>
      <c r="FG744" s="1360"/>
      <c r="FH744" s="1360"/>
      <c r="FI744" s="1361"/>
      <c r="FJ744" s="1359" t="str">
        <f t="shared" si="34"/>
        <v/>
      </c>
      <c r="FK744" s="1360"/>
      <c r="FL744" s="1360"/>
      <c r="FM744" s="1360"/>
      <c r="FN744" s="1361"/>
      <c r="FO744" s="1359" t="str">
        <f t="shared" si="35"/>
        <v/>
      </c>
      <c r="FP744" s="1360"/>
      <c r="FQ744" s="1360"/>
      <c r="FR744" s="1360"/>
      <c r="FS744" s="1361"/>
      <c r="FT744" s="1359" t="str">
        <f t="shared" si="36"/>
        <v/>
      </c>
      <c r="FU744" s="1360"/>
      <c r="FV744" s="1360"/>
      <c r="FW744" s="1360"/>
      <c r="FX744" s="1361"/>
      <c r="FY744" s="1359" t="str">
        <f t="shared" si="37"/>
        <v/>
      </c>
      <c r="FZ744" s="1360"/>
      <c r="GA744" s="1360"/>
      <c r="GB744" s="1360"/>
      <c r="GC744" s="1361"/>
    </row>
    <row r="745" spans="1:185" ht="12.95" customHeight="1">
      <c r="B745" s="1362"/>
      <c r="C745" s="1363"/>
      <c r="D745" s="1363"/>
      <c r="E745" s="1363"/>
      <c r="F745" s="1364"/>
      <c r="G745" s="1587"/>
      <c r="H745" s="1588"/>
      <c r="I745" s="1588"/>
      <c r="J745" s="1589"/>
      <c r="K745" s="1591"/>
      <c r="L745" s="1592"/>
      <c r="M745" s="1592"/>
      <c r="N745" s="1593"/>
      <c r="O745" s="1482"/>
      <c r="P745" s="1483"/>
      <c r="Q745" s="1483"/>
      <c r="R745" s="1483"/>
      <c r="S745" s="1484"/>
      <c r="T745" s="1482"/>
      <c r="U745" s="1483"/>
      <c r="V745" s="1483"/>
      <c r="W745" s="1484"/>
      <c r="X745" s="1404">
        <f t="shared" si="10"/>
        <v>0</v>
      </c>
      <c r="Y745" s="1405"/>
      <c r="Z745" s="1405"/>
      <c r="AA745" s="1405"/>
      <c r="AB745" s="1406"/>
      <c r="AC745" s="1594"/>
      <c r="AD745" s="1595"/>
      <c r="AE745" s="1595"/>
      <c r="AF745" s="1595"/>
      <c r="AG745" s="1596"/>
      <c r="AH745" s="1386" t="str">
        <f t="shared" si="38"/>
        <v/>
      </c>
      <c r="AI745" s="1387"/>
      <c r="AJ745" s="1388"/>
      <c r="AK745" s="1362" t="s">
        <v>591</v>
      </c>
      <c r="AL745" s="1363"/>
      <c r="AM745" s="1363"/>
      <c r="AN745" s="1363"/>
      <c r="AO745" s="1364"/>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359">
        <f t="shared" si="39"/>
        <v>0</v>
      </c>
      <c r="CH745" s="1361"/>
      <c r="CI745" s="1342">
        <f t="shared" si="40"/>
        <v>0</v>
      </c>
      <c r="CJ745" s="1344"/>
      <c r="CK745" s="1359">
        <f t="shared" si="18"/>
        <v>0</v>
      </c>
      <c r="CL745" s="1361"/>
      <c r="CM745" s="1342">
        <f t="shared" si="19"/>
        <v>0</v>
      </c>
      <c r="CN745" s="1344"/>
      <c r="CO745" s="3"/>
      <c r="CP745" s="1339">
        <f t="shared" si="20"/>
        <v>0</v>
      </c>
      <c r="CQ745" s="1340"/>
      <c r="CR745" s="1340"/>
      <c r="CS745" s="1340"/>
      <c r="CT745" s="1341"/>
      <c r="CU745" s="1347">
        <f t="shared" si="21"/>
        <v>0</v>
      </c>
      <c r="CV745" s="1347"/>
      <c r="CW745" s="1347"/>
      <c r="CX745" s="1347"/>
      <c r="CY745" s="1347"/>
      <c r="CZ745" s="1347">
        <f t="shared" si="22"/>
        <v>0</v>
      </c>
      <c r="DA745" s="1347"/>
      <c r="DB745" s="1347"/>
      <c r="DC745" s="1347"/>
      <c r="DD745" s="1347"/>
      <c r="DE745" s="1347">
        <f t="shared" si="23"/>
        <v>0</v>
      </c>
      <c r="DF745" s="1347"/>
      <c r="DG745" s="1347"/>
      <c r="DH745" s="1347"/>
      <c r="DI745" s="1347"/>
      <c r="DJ745" s="1347">
        <f t="shared" si="24"/>
        <v>0</v>
      </c>
      <c r="DK745" s="1347"/>
      <c r="DL745" s="1347"/>
      <c r="DM745" s="1347"/>
      <c r="DN745" s="1347"/>
      <c r="DO745" s="1347">
        <f t="shared" si="25"/>
        <v>0</v>
      </c>
      <c r="DP745" s="1347"/>
      <c r="DQ745" s="1347"/>
      <c r="DR745" s="1347"/>
      <c r="DS745" s="1347"/>
      <c r="DT745" s="6"/>
      <c r="DU745" s="1366">
        <f t="shared" si="26"/>
        <v>0</v>
      </c>
      <c r="DV745" s="1366"/>
      <c r="DW745" s="1366"/>
      <c r="DX745" s="1366"/>
      <c r="DY745" s="1366"/>
      <c r="DZ745" s="1366">
        <f t="shared" si="27"/>
        <v>0</v>
      </c>
      <c r="EA745" s="1366"/>
      <c r="EB745" s="1366"/>
      <c r="EC745" s="1366"/>
      <c r="ED745" s="1366"/>
      <c r="EE745" s="1366">
        <f t="shared" si="28"/>
        <v>0</v>
      </c>
      <c r="EF745" s="1366"/>
      <c r="EG745" s="1366"/>
      <c r="EH745" s="1366"/>
      <c r="EI745" s="1366"/>
      <c r="EJ745" s="1366">
        <f t="shared" si="29"/>
        <v>0</v>
      </c>
      <c r="EK745" s="1366"/>
      <c r="EL745" s="1366"/>
      <c r="EM745" s="1366"/>
      <c r="EN745" s="1366"/>
      <c r="EO745" s="1366">
        <f t="shared" si="30"/>
        <v>0</v>
      </c>
      <c r="EP745" s="1366"/>
      <c r="EQ745" s="1366"/>
      <c r="ER745" s="1366"/>
      <c r="ES745" s="1366"/>
      <c r="ET745" s="1366">
        <f t="shared" si="31"/>
        <v>0</v>
      </c>
      <c r="EU745" s="1366"/>
      <c r="EV745" s="1366"/>
      <c r="EW745" s="1366"/>
      <c r="EX745" s="1366"/>
      <c r="EZ745" s="1359" t="str">
        <f t="shared" si="32"/>
        <v/>
      </c>
      <c r="FA745" s="1360"/>
      <c r="FB745" s="1360"/>
      <c r="FC745" s="1360"/>
      <c r="FD745" s="1361"/>
      <c r="FE745" s="1359" t="str">
        <f t="shared" si="33"/>
        <v/>
      </c>
      <c r="FF745" s="1360"/>
      <c r="FG745" s="1360"/>
      <c r="FH745" s="1360"/>
      <c r="FI745" s="1361"/>
      <c r="FJ745" s="1359" t="str">
        <f t="shared" si="34"/>
        <v/>
      </c>
      <c r="FK745" s="1360"/>
      <c r="FL745" s="1360"/>
      <c r="FM745" s="1360"/>
      <c r="FN745" s="1361"/>
      <c r="FO745" s="1359" t="str">
        <f t="shared" si="35"/>
        <v/>
      </c>
      <c r="FP745" s="1360"/>
      <c r="FQ745" s="1360"/>
      <c r="FR745" s="1360"/>
      <c r="FS745" s="1361"/>
      <c r="FT745" s="1359" t="str">
        <f t="shared" si="36"/>
        <v/>
      </c>
      <c r="FU745" s="1360"/>
      <c r="FV745" s="1360"/>
      <c r="FW745" s="1360"/>
      <c r="FX745" s="1361"/>
      <c r="FY745" s="1359" t="str">
        <f t="shared" si="37"/>
        <v/>
      </c>
      <c r="FZ745" s="1360"/>
      <c r="GA745" s="1360"/>
      <c r="GB745" s="1360"/>
      <c r="GC745" s="1361"/>
    </row>
    <row r="746" spans="1:185" ht="12.95" customHeight="1">
      <c r="B746" s="1362"/>
      <c r="C746" s="1363"/>
      <c r="D746" s="1363"/>
      <c r="E746" s="1363"/>
      <c r="F746" s="1364"/>
      <c r="G746" s="1587"/>
      <c r="H746" s="1588"/>
      <c r="I746" s="1588"/>
      <c r="J746" s="1589"/>
      <c r="K746" s="1591"/>
      <c r="L746" s="1592"/>
      <c r="M746" s="1592"/>
      <c r="N746" s="1593"/>
      <c r="O746" s="1482"/>
      <c r="P746" s="1483"/>
      <c r="Q746" s="1483"/>
      <c r="R746" s="1483"/>
      <c r="S746" s="1484"/>
      <c r="T746" s="1482"/>
      <c r="U746" s="1483"/>
      <c r="V746" s="1483"/>
      <c r="W746" s="1484"/>
      <c r="X746" s="1404">
        <f t="shared" si="10"/>
        <v>0</v>
      </c>
      <c r="Y746" s="1405"/>
      <c r="Z746" s="1405"/>
      <c r="AA746" s="1405"/>
      <c r="AB746" s="1406"/>
      <c r="AC746" s="1594"/>
      <c r="AD746" s="1595"/>
      <c r="AE746" s="1595"/>
      <c r="AF746" s="1595"/>
      <c r="AG746" s="1596"/>
      <c r="AH746" s="1386" t="str">
        <f t="shared" si="38"/>
        <v/>
      </c>
      <c r="AI746" s="1387"/>
      <c r="AJ746" s="1388"/>
      <c r="AK746" s="1362" t="s">
        <v>591</v>
      </c>
      <c r="AL746" s="1363"/>
      <c r="AM746" s="1363"/>
      <c r="AN746" s="1363"/>
      <c r="AO746" s="1364"/>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359">
        <f t="shared" si="39"/>
        <v>0</v>
      </c>
      <c r="CH746" s="1361"/>
      <c r="CI746" s="1342">
        <f t="shared" si="40"/>
        <v>0</v>
      </c>
      <c r="CJ746" s="1344"/>
      <c r="CK746" s="1359">
        <f t="shared" si="18"/>
        <v>0</v>
      </c>
      <c r="CL746" s="1361"/>
      <c r="CM746" s="1342">
        <f t="shared" si="19"/>
        <v>0</v>
      </c>
      <c r="CN746" s="1344"/>
      <c r="CO746" s="3"/>
      <c r="CP746" s="1339">
        <f t="shared" si="20"/>
        <v>0</v>
      </c>
      <c r="CQ746" s="1340"/>
      <c r="CR746" s="1340"/>
      <c r="CS746" s="1340"/>
      <c r="CT746" s="1341"/>
      <c r="CU746" s="1347">
        <f t="shared" si="21"/>
        <v>0</v>
      </c>
      <c r="CV746" s="1347"/>
      <c r="CW746" s="1347"/>
      <c r="CX746" s="1347"/>
      <c r="CY746" s="1347"/>
      <c r="CZ746" s="1347">
        <f t="shared" si="22"/>
        <v>0</v>
      </c>
      <c r="DA746" s="1347"/>
      <c r="DB746" s="1347"/>
      <c r="DC746" s="1347"/>
      <c r="DD746" s="1347"/>
      <c r="DE746" s="1347">
        <f t="shared" si="23"/>
        <v>0</v>
      </c>
      <c r="DF746" s="1347"/>
      <c r="DG746" s="1347"/>
      <c r="DH746" s="1347"/>
      <c r="DI746" s="1347"/>
      <c r="DJ746" s="1347">
        <f t="shared" si="24"/>
        <v>0</v>
      </c>
      <c r="DK746" s="1347"/>
      <c r="DL746" s="1347"/>
      <c r="DM746" s="1347"/>
      <c r="DN746" s="1347"/>
      <c r="DO746" s="1347">
        <f t="shared" si="25"/>
        <v>0</v>
      </c>
      <c r="DP746" s="1347"/>
      <c r="DQ746" s="1347"/>
      <c r="DR746" s="1347"/>
      <c r="DS746" s="1347"/>
      <c r="DT746" s="6"/>
      <c r="DU746" s="1366">
        <f t="shared" si="26"/>
        <v>0</v>
      </c>
      <c r="DV746" s="1366"/>
      <c r="DW746" s="1366"/>
      <c r="DX746" s="1366"/>
      <c r="DY746" s="1366"/>
      <c r="DZ746" s="1366">
        <f t="shared" si="27"/>
        <v>0</v>
      </c>
      <c r="EA746" s="1366"/>
      <c r="EB746" s="1366"/>
      <c r="EC746" s="1366"/>
      <c r="ED746" s="1366"/>
      <c r="EE746" s="1366">
        <f t="shared" si="28"/>
        <v>0</v>
      </c>
      <c r="EF746" s="1366"/>
      <c r="EG746" s="1366"/>
      <c r="EH746" s="1366"/>
      <c r="EI746" s="1366"/>
      <c r="EJ746" s="1366">
        <f t="shared" si="29"/>
        <v>0</v>
      </c>
      <c r="EK746" s="1366"/>
      <c r="EL746" s="1366"/>
      <c r="EM746" s="1366"/>
      <c r="EN746" s="1366"/>
      <c r="EO746" s="1366">
        <f t="shared" si="30"/>
        <v>0</v>
      </c>
      <c r="EP746" s="1366"/>
      <c r="EQ746" s="1366"/>
      <c r="ER746" s="1366"/>
      <c r="ES746" s="1366"/>
      <c r="ET746" s="1366">
        <f t="shared" si="31"/>
        <v>0</v>
      </c>
      <c r="EU746" s="1366"/>
      <c r="EV746" s="1366"/>
      <c r="EW746" s="1366"/>
      <c r="EX746" s="1366"/>
      <c r="EZ746" s="1359" t="str">
        <f t="shared" si="32"/>
        <v/>
      </c>
      <c r="FA746" s="1360"/>
      <c r="FB746" s="1360"/>
      <c r="FC746" s="1360"/>
      <c r="FD746" s="1361"/>
      <c r="FE746" s="1359" t="str">
        <f t="shared" si="33"/>
        <v/>
      </c>
      <c r="FF746" s="1360"/>
      <c r="FG746" s="1360"/>
      <c r="FH746" s="1360"/>
      <c r="FI746" s="1361"/>
      <c r="FJ746" s="1359" t="str">
        <f t="shared" si="34"/>
        <v/>
      </c>
      <c r="FK746" s="1360"/>
      <c r="FL746" s="1360"/>
      <c r="FM746" s="1360"/>
      <c r="FN746" s="1361"/>
      <c r="FO746" s="1359" t="str">
        <f t="shared" si="35"/>
        <v/>
      </c>
      <c r="FP746" s="1360"/>
      <c r="FQ746" s="1360"/>
      <c r="FR746" s="1360"/>
      <c r="FS746" s="1361"/>
      <c r="FT746" s="1359" t="str">
        <f t="shared" si="36"/>
        <v/>
      </c>
      <c r="FU746" s="1360"/>
      <c r="FV746" s="1360"/>
      <c r="FW746" s="1360"/>
      <c r="FX746" s="1361"/>
      <c r="FY746" s="1359" t="str">
        <f t="shared" si="37"/>
        <v/>
      </c>
      <c r="FZ746" s="1360"/>
      <c r="GA746" s="1360"/>
      <c r="GB746" s="1360"/>
      <c r="GC746" s="1361"/>
    </row>
    <row r="747" spans="1:185" ht="12.95" customHeight="1">
      <c r="B747" s="1362"/>
      <c r="C747" s="1363"/>
      <c r="D747" s="1363"/>
      <c r="E747" s="1363"/>
      <c r="F747" s="1364"/>
      <c r="G747" s="1587"/>
      <c r="H747" s="1588"/>
      <c r="I747" s="1588"/>
      <c r="J747" s="1589"/>
      <c r="K747" s="1591"/>
      <c r="L747" s="1592"/>
      <c r="M747" s="1592"/>
      <c r="N747" s="1593"/>
      <c r="O747" s="1482"/>
      <c r="P747" s="1483"/>
      <c r="Q747" s="1483"/>
      <c r="R747" s="1483"/>
      <c r="S747" s="1484"/>
      <c r="T747" s="1482"/>
      <c r="U747" s="1483"/>
      <c r="V747" s="1483"/>
      <c r="W747" s="1484"/>
      <c r="X747" s="1404">
        <f t="shared" si="10"/>
        <v>0</v>
      </c>
      <c r="Y747" s="1405"/>
      <c r="Z747" s="1405"/>
      <c r="AA747" s="1405"/>
      <c r="AB747" s="1406"/>
      <c r="AC747" s="1594"/>
      <c r="AD747" s="1595"/>
      <c r="AE747" s="1595"/>
      <c r="AF747" s="1595"/>
      <c r="AG747" s="1596"/>
      <c r="AH747" s="1386" t="str">
        <f t="shared" si="38"/>
        <v/>
      </c>
      <c r="AI747" s="1387"/>
      <c r="AJ747" s="1388"/>
      <c r="AK747" s="1362" t="s">
        <v>591</v>
      </c>
      <c r="AL747" s="1363"/>
      <c r="AM747" s="1363"/>
      <c r="AN747" s="1363"/>
      <c r="AO747" s="1364"/>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359">
        <f t="shared" si="39"/>
        <v>0</v>
      </c>
      <c r="CH747" s="1361"/>
      <c r="CI747" s="1342">
        <f t="shared" si="40"/>
        <v>0</v>
      </c>
      <c r="CJ747" s="1344"/>
      <c r="CK747" s="1359">
        <f t="shared" si="18"/>
        <v>0</v>
      </c>
      <c r="CL747" s="1361"/>
      <c r="CM747" s="1342">
        <f t="shared" si="19"/>
        <v>0</v>
      </c>
      <c r="CN747" s="1344"/>
      <c r="CO747" s="3"/>
      <c r="CP747" s="1339">
        <f t="shared" si="20"/>
        <v>0</v>
      </c>
      <c r="CQ747" s="1340"/>
      <c r="CR747" s="1340"/>
      <c r="CS747" s="1340"/>
      <c r="CT747" s="1341"/>
      <c r="CU747" s="1347">
        <f t="shared" si="21"/>
        <v>0</v>
      </c>
      <c r="CV747" s="1347"/>
      <c r="CW747" s="1347"/>
      <c r="CX747" s="1347"/>
      <c r="CY747" s="1347"/>
      <c r="CZ747" s="1347">
        <f t="shared" si="22"/>
        <v>0</v>
      </c>
      <c r="DA747" s="1347"/>
      <c r="DB747" s="1347"/>
      <c r="DC747" s="1347"/>
      <c r="DD747" s="1347"/>
      <c r="DE747" s="1347">
        <f t="shared" si="23"/>
        <v>0</v>
      </c>
      <c r="DF747" s="1347"/>
      <c r="DG747" s="1347"/>
      <c r="DH747" s="1347"/>
      <c r="DI747" s="1347"/>
      <c r="DJ747" s="1347">
        <f t="shared" si="24"/>
        <v>0</v>
      </c>
      <c r="DK747" s="1347"/>
      <c r="DL747" s="1347"/>
      <c r="DM747" s="1347"/>
      <c r="DN747" s="1347"/>
      <c r="DO747" s="1347">
        <f t="shared" si="25"/>
        <v>0</v>
      </c>
      <c r="DP747" s="1347"/>
      <c r="DQ747" s="1347"/>
      <c r="DR747" s="1347"/>
      <c r="DS747" s="1347"/>
      <c r="DT747" s="6"/>
      <c r="DU747" s="1366">
        <f t="shared" si="26"/>
        <v>0</v>
      </c>
      <c r="DV747" s="1366"/>
      <c r="DW747" s="1366"/>
      <c r="DX747" s="1366"/>
      <c r="DY747" s="1366"/>
      <c r="DZ747" s="1366">
        <f t="shared" si="27"/>
        <v>0</v>
      </c>
      <c r="EA747" s="1366"/>
      <c r="EB747" s="1366"/>
      <c r="EC747" s="1366"/>
      <c r="ED747" s="1366"/>
      <c r="EE747" s="1366">
        <f t="shared" si="28"/>
        <v>0</v>
      </c>
      <c r="EF747" s="1366"/>
      <c r="EG747" s="1366"/>
      <c r="EH747" s="1366"/>
      <c r="EI747" s="1366"/>
      <c r="EJ747" s="1366">
        <f t="shared" si="29"/>
        <v>0</v>
      </c>
      <c r="EK747" s="1366"/>
      <c r="EL747" s="1366"/>
      <c r="EM747" s="1366"/>
      <c r="EN747" s="1366"/>
      <c r="EO747" s="1366">
        <f t="shared" si="30"/>
        <v>0</v>
      </c>
      <c r="EP747" s="1366"/>
      <c r="EQ747" s="1366"/>
      <c r="ER747" s="1366"/>
      <c r="ES747" s="1366"/>
      <c r="ET747" s="1366">
        <f t="shared" si="31"/>
        <v>0</v>
      </c>
      <c r="EU747" s="1366"/>
      <c r="EV747" s="1366"/>
      <c r="EW747" s="1366"/>
      <c r="EX747" s="1366"/>
      <c r="EZ747" s="1359" t="str">
        <f t="shared" si="32"/>
        <v/>
      </c>
      <c r="FA747" s="1360"/>
      <c r="FB747" s="1360"/>
      <c r="FC747" s="1360"/>
      <c r="FD747" s="1361"/>
      <c r="FE747" s="1359" t="str">
        <f t="shared" si="33"/>
        <v/>
      </c>
      <c r="FF747" s="1360"/>
      <c r="FG747" s="1360"/>
      <c r="FH747" s="1360"/>
      <c r="FI747" s="1361"/>
      <c r="FJ747" s="1359" t="str">
        <f t="shared" si="34"/>
        <v/>
      </c>
      <c r="FK747" s="1360"/>
      <c r="FL747" s="1360"/>
      <c r="FM747" s="1360"/>
      <c r="FN747" s="1361"/>
      <c r="FO747" s="1359" t="str">
        <f t="shared" si="35"/>
        <v/>
      </c>
      <c r="FP747" s="1360"/>
      <c r="FQ747" s="1360"/>
      <c r="FR747" s="1360"/>
      <c r="FS747" s="1361"/>
      <c r="FT747" s="1359" t="str">
        <f t="shared" si="36"/>
        <v/>
      </c>
      <c r="FU747" s="1360"/>
      <c r="FV747" s="1360"/>
      <c r="FW747" s="1360"/>
      <c r="FX747" s="1361"/>
      <c r="FY747" s="1359" t="str">
        <f t="shared" si="37"/>
        <v/>
      </c>
      <c r="FZ747" s="1360"/>
      <c r="GA747" s="1360"/>
      <c r="GB747" s="1360"/>
      <c r="GC747" s="1361"/>
    </row>
    <row r="748" spans="1:185" ht="12.95" customHeight="1">
      <c r="B748" s="1362"/>
      <c r="C748" s="1363"/>
      <c r="D748" s="1363"/>
      <c r="E748" s="1363"/>
      <c r="F748" s="1364"/>
      <c r="G748" s="1587"/>
      <c r="H748" s="1588"/>
      <c r="I748" s="1588"/>
      <c r="J748" s="1589"/>
      <c r="K748" s="1591"/>
      <c r="L748" s="1592"/>
      <c r="M748" s="1592"/>
      <c r="N748" s="1593"/>
      <c r="O748" s="1482"/>
      <c r="P748" s="1483"/>
      <c r="Q748" s="1483"/>
      <c r="R748" s="1483"/>
      <c r="S748" s="1484"/>
      <c r="T748" s="1482"/>
      <c r="U748" s="1483"/>
      <c r="V748" s="1483"/>
      <c r="W748" s="1484"/>
      <c r="X748" s="1404">
        <f t="shared" si="10"/>
        <v>0</v>
      </c>
      <c r="Y748" s="1405"/>
      <c r="Z748" s="1405"/>
      <c r="AA748" s="1405"/>
      <c r="AB748" s="1406"/>
      <c r="AC748" s="1594"/>
      <c r="AD748" s="1595"/>
      <c r="AE748" s="1595"/>
      <c r="AF748" s="1595"/>
      <c r="AG748" s="1596"/>
      <c r="AH748" s="1386" t="str">
        <f t="shared" si="38"/>
        <v/>
      </c>
      <c r="AI748" s="1387"/>
      <c r="AJ748" s="1388"/>
      <c r="AK748" s="1362" t="s">
        <v>591</v>
      </c>
      <c r="AL748" s="1363"/>
      <c r="AM748" s="1363"/>
      <c r="AN748" s="1363"/>
      <c r="AO748" s="1364"/>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359">
        <f t="shared" si="39"/>
        <v>0</v>
      </c>
      <c r="CH748" s="1361"/>
      <c r="CI748" s="1342">
        <f t="shared" si="40"/>
        <v>0</v>
      </c>
      <c r="CJ748" s="1344"/>
      <c r="CK748" s="1359">
        <f t="shared" si="18"/>
        <v>0</v>
      </c>
      <c r="CL748" s="1361"/>
      <c r="CM748" s="1342">
        <f t="shared" si="19"/>
        <v>0</v>
      </c>
      <c r="CN748" s="1344"/>
      <c r="CO748" s="3"/>
      <c r="CP748" s="1339">
        <f t="shared" si="20"/>
        <v>0</v>
      </c>
      <c r="CQ748" s="1340"/>
      <c r="CR748" s="1340"/>
      <c r="CS748" s="1340"/>
      <c r="CT748" s="1341"/>
      <c r="CU748" s="1347">
        <f t="shared" si="21"/>
        <v>0</v>
      </c>
      <c r="CV748" s="1347"/>
      <c r="CW748" s="1347"/>
      <c r="CX748" s="1347"/>
      <c r="CY748" s="1347"/>
      <c r="CZ748" s="1347">
        <f t="shared" si="22"/>
        <v>0</v>
      </c>
      <c r="DA748" s="1347"/>
      <c r="DB748" s="1347"/>
      <c r="DC748" s="1347"/>
      <c r="DD748" s="1347"/>
      <c r="DE748" s="1347">
        <f t="shared" si="23"/>
        <v>0</v>
      </c>
      <c r="DF748" s="1347"/>
      <c r="DG748" s="1347"/>
      <c r="DH748" s="1347"/>
      <c r="DI748" s="1347"/>
      <c r="DJ748" s="1347">
        <f t="shared" si="24"/>
        <v>0</v>
      </c>
      <c r="DK748" s="1347"/>
      <c r="DL748" s="1347"/>
      <c r="DM748" s="1347"/>
      <c r="DN748" s="1347"/>
      <c r="DO748" s="1347">
        <f t="shared" si="25"/>
        <v>0</v>
      </c>
      <c r="DP748" s="1347"/>
      <c r="DQ748" s="1347"/>
      <c r="DR748" s="1347"/>
      <c r="DS748" s="1347"/>
      <c r="DT748" s="6"/>
      <c r="DU748" s="1366">
        <f t="shared" si="26"/>
        <v>0</v>
      </c>
      <c r="DV748" s="1366"/>
      <c r="DW748" s="1366"/>
      <c r="DX748" s="1366"/>
      <c r="DY748" s="1366"/>
      <c r="DZ748" s="1366">
        <f t="shared" si="27"/>
        <v>0</v>
      </c>
      <c r="EA748" s="1366"/>
      <c r="EB748" s="1366"/>
      <c r="EC748" s="1366"/>
      <c r="ED748" s="1366"/>
      <c r="EE748" s="1366">
        <f t="shared" si="28"/>
        <v>0</v>
      </c>
      <c r="EF748" s="1366"/>
      <c r="EG748" s="1366"/>
      <c r="EH748" s="1366"/>
      <c r="EI748" s="1366"/>
      <c r="EJ748" s="1366">
        <f t="shared" si="29"/>
        <v>0</v>
      </c>
      <c r="EK748" s="1366"/>
      <c r="EL748" s="1366"/>
      <c r="EM748" s="1366"/>
      <c r="EN748" s="1366"/>
      <c r="EO748" s="1366">
        <f t="shared" si="30"/>
        <v>0</v>
      </c>
      <c r="EP748" s="1366"/>
      <c r="EQ748" s="1366"/>
      <c r="ER748" s="1366"/>
      <c r="ES748" s="1366"/>
      <c r="ET748" s="1366">
        <f t="shared" si="31"/>
        <v>0</v>
      </c>
      <c r="EU748" s="1366"/>
      <c r="EV748" s="1366"/>
      <c r="EW748" s="1366"/>
      <c r="EX748" s="1366"/>
      <c r="EZ748" s="1359" t="str">
        <f t="shared" si="32"/>
        <v/>
      </c>
      <c r="FA748" s="1360"/>
      <c r="FB748" s="1360"/>
      <c r="FC748" s="1360"/>
      <c r="FD748" s="1361"/>
      <c r="FE748" s="1359" t="str">
        <f t="shared" si="33"/>
        <v/>
      </c>
      <c r="FF748" s="1360"/>
      <c r="FG748" s="1360"/>
      <c r="FH748" s="1360"/>
      <c r="FI748" s="1361"/>
      <c r="FJ748" s="1359" t="str">
        <f t="shared" si="34"/>
        <v/>
      </c>
      <c r="FK748" s="1360"/>
      <c r="FL748" s="1360"/>
      <c r="FM748" s="1360"/>
      <c r="FN748" s="1361"/>
      <c r="FO748" s="1359" t="str">
        <f t="shared" si="35"/>
        <v/>
      </c>
      <c r="FP748" s="1360"/>
      <c r="FQ748" s="1360"/>
      <c r="FR748" s="1360"/>
      <c r="FS748" s="1361"/>
      <c r="FT748" s="1359" t="str">
        <f t="shared" si="36"/>
        <v/>
      </c>
      <c r="FU748" s="1360"/>
      <c r="FV748" s="1360"/>
      <c r="FW748" s="1360"/>
      <c r="FX748" s="1361"/>
      <c r="FY748" s="1359" t="str">
        <f t="shared" si="37"/>
        <v/>
      </c>
      <c r="FZ748" s="1360"/>
      <c r="GA748" s="1360"/>
      <c r="GB748" s="1360"/>
      <c r="GC748" s="1361"/>
    </row>
    <row r="749" spans="1:185" ht="12.95" customHeight="1">
      <c r="B749" s="1362"/>
      <c r="C749" s="1363"/>
      <c r="D749" s="1363"/>
      <c r="E749" s="1363"/>
      <c r="F749" s="1364"/>
      <c r="G749" s="1587"/>
      <c r="H749" s="1588"/>
      <c r="I749" s="1588"/>
      <c r="J749" s="1589"/>
      <c r="K749" s="1591"/>
      <c r="L749" s="1592"/>
      <c r="M749" s="1592"/>
      <c r="N749" s="1593"/>
      <c r="O749" s="1482"/>
      <c r="P749" s="1483"/>
      <c r="Q749" s="1483"/>
      <c r="R749" s="1483"/>
      <c r="S749" s="1484"/>
      <c r="T749" s="1482"/>
      <c r="U749" s="1483"/>
      <c r="V749" s="1483"/>
      <c r="W749" s="1484"/>
      <c r="X749" s="1404">
        <f t="shared" si="10"/>
        <v>0</v>
      </c>
      <c r="Y749" s="1405"/>
      <c r="Z749" s="1405"/>
      <c r="AA749" s="1405"/>
      <c r="AB749" s="1406"/>
      <c r="AC749" s="1594"/>
      <c r="AD749" s="1595"/>
      <c r="AE749" s="1595"/>
      <c r="AF749" s="1595"/>
      <c r="AG749" s="1596"/>
      <c r="AH749" s="1386" t="str">
        <f t="shared" si="38"/>
        <v/>
      </c>
      <c r="AI749" s="1387"/>
      <c r="AJ749" s="1388"/>
      <c r="AK749" s="1362" t="s">
        <v>591</v>
      </c>
      <c r="AL749" s="1363"/>
      <c r="AM749" s="1363"/>
      <c r="AN749" s="1363"/>
      <c r="AO749" s="1364"/>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359">
        <f t="shared" si="39"/>
        <v>0</v>
      </c>
      <c r="CH749" s="1361"/>
      <c r="CI749" s="1342">
        <f t="shared" si="40"/>
        <v>0</v>
      </c>
      <c r="CJ749" s="1344"/>
      <c r="CK749" s="1359">
        <f t="shared" si="18"/>
        <v>0</v>
      </c>
      <c r="CL749" s="1361"/>
      <c r="CM749" s="1342">
        <f t="shared" si="19"/>
        <v>0</v>
      </c>
      <c r="CN749" s="1344"/>
      <c r="CO749" s="3"/>
      <c r="CP749" s="1339">
        <f t="shared" si="20"/>
        <v>0</v>
      </c>
      <c r="CQ749" s="1340"/>
      <c r="CR749" s="1340"/>
      <c r="CS749" s="1340"/>
      <c r="CT749" s="1341"/>
      <c r="CU749" s="1347">
        <f t="shared" si="21"/>
        <v>0</v>
      </c>
      <c r="CV749" s="1347"/>
      <c r="CW749" s="1347"/>
      <c r="CX749" s="1347"/>
      <c r="CY749" s="1347"/>
      <c r="CZ749" s="1347">
        <f t="shared" si="22"/>
        <v>0</v>
      </c>
      <c r="DA749" s="1347"/>
      <c r="DB749" s="1347"/>
      <c r="DC749" s="1347"/>
      <c r="DD749" s="1347"/>
      <c r="DE749" s="1347">
        <f t="shared" si="23"/>
        <v>0</v>
      </c>
      <c r="DF749" s="1347"/>
      <c r="DG749" s="1347"/>
      <c r="DH749" s="1347"/>
      <c r="DI749" s="1347"/>
      <c r="DJ749" s="1347">
        <f t="shared" si="24"/>
        <v>0</v>
      </c>
      <c r="DK749" s="1347"/>
      <c r="DL749" s="1347"/>
      <c r="DM749" s="1347"/>
      <c r="DN749" s="1347"/>
      <c r="DO749" s="1347">
        <f t="shared" si="25"/>
        <v>0</v>
      </c>
      <c r="DP749" s="1347"/>
      <c r="DQ749" s="1347"/>
      <c r="DR749" s="1347"/>
      <c r="DS749" s="1347"/>
      <c r="DT749" s="6"/>
      <c r="DU749" s="1366">
        <f t="shared" si="26"/>
        <v>0</v>
      </c>
      <c r="DV749" s="1366"/>
      <c r="DW749" s="1366"/>
      <c r="DX749" s="1366"/>
      <c r="DY749" s="1366"/>
      <c r="DZ749" s="1366">
        <f t="shared" si="27"/>
        <v>0</v>
      </c>
      <c r="EA749" s="1366"/>
      <c r="EB749" s="1366"/>
      <c r="EC749" s="1366"/>
      <c r="ED749" s="1366"/>
      <c r="EE749" s="1366">
        <f t="shared" si="28"/>
        <v>0</v>
      </c>
      <c r="EF749" s="1366"/>
      <c r="EG749" s="1366"/>
      <c r="EH749" s="1366"/>
      <c r="EI749" s="1366"/>
      <c r="EJ749" s="1366">
        <f t="shared" si="29"/>
        <v>0</v>
      </c>
      <c r="EK749" s="1366"/>
      <c r="EL749" s="1366"/>
      <c r="EM749" s="1366"/>
      <c r="EN749" s="1366"/>
      <c r="EO749" s="1366">
        <f t="shared" si="30"/>
        <v>0</v>
      </c>
      <c r="EP749" s="1366"/>
      <c r="EQ749" s="1366"/>
      <c r="ER749" s="1366"/>
      <c r="ES749" s="1366"/>
      <c r="ET749" s="1366">
        <f t="shared" si="31"/>
        <v>0</v>
      </c>
      <c r="EU749" s="1366"/>
      <c r="EV749" s="1366"/>
      <c r="EW749" s="1366"/>
      <c r="EX749" s="1366"/>
      <c r="EZ749" s="1359" t="str">
        <f t="shared" si="32"/>
        <v/>
      </c>
      <c r="FA749" s="1360"/>
      <c r="FB749" s="1360"/>
      <c r="FC749" s="1360"/>
      <c r="FD749" s="1361"/>
      <c r="FE749" s="1359" t="str">
        <f t="shared" si="33"/>
        <v/>
      </c>
      <c r="FF749" s="1360"/>
      <c r="FG749" s="1360"/>
      <c r="FH749" s="1360"/>
      <c r="FI749" s="1361"/>
      <c r="FJ749" s="1359" t="str">
        <f t="shared" si="34"/>
        <v/>
      </c>
      <c r="FK749" s="1360"/>
      <c r="FL749" s="1360"/>
      <c r="FM749" s="1360"/>
      <c r="FN749" s="1361"/>
      <c r="FO749" s="1359" t="str">
        <f t="shared" si="35"/>
        <v/>
      </c>
      <c r="FP749" s="1360"/>
      <c r="FQ749" s="1360"/>
      <c r="FR749" s="1360"/>
      <c r="FS749" s="1361"/>
      <c r="FT749" s="1359" t="str">
        <f t="shared" si="36"/>
        <v/>
      </c>
      <c r="FU749" s="1360"/>
      <c r="FV749" s="1360"/>
      <c r="FW749" s="1360"/>
      <c r="FX749" s="1361"/>
      <c r="FY749" s="1359" t="str">
        <f t="shared" si="37"/>
        <v/>
      </c>
      <c r="FZ749" s="1360"/>
      <c r="GA749" s="1360"/>
      <c r="GB749" s="1360"/>
      <c r="GC749" s="1361"/>
    </row>
    <row r="750" spans="1:185" ht="12.95" customHeight="1">
      <c r="B750" s="1362"/>
      <c r="C750" s="1363"/>
      <c r="D750" s="1363"/>
      <c r="E750" s="1363"/>
      <c r="F750" s="1364"/>
      <c r="G750" s="1587"/>
      <c r="H750" s="1588"/>
      <c r="I750" s="1588"/>
      <c r="J750" s="1589"/>
      <c r="K750" s="1591"/>
      <c r="L750" s="1592"/>
      <c r="M750" s="1592"/>
      <c r="N750" s="1593"/>
      <c r="O750" s="1482"/>
      <c r="P750" s="1483"/>
      <c r="Q750" s="1483"/>
      <c r="R750" s="1483"/>
      <c r="S750" s="1484"/>
      <c r="T750" s="1482"/>
      <c r="U750" s="1483"/>
      <c r="V750" s="1483"/>
      <c r="W750" s="1484"/>
      <c r="X750" s="1404">
        <f t="shared" ref="X750:X759" si="54">O750+T750</f>
        <v>0</v>
      </c>
      <c r="Y750" s="1405"/>
      <c r="Z750" s="1405"/>
      <c r="AA750" s="1405"/>
      <c r="AB750" s="1406"/>
      <c r="AC750" s="1594"/>
      <c r="AD750" s="1595"/>
      <c r="AE750" s="1595"/>
      <c r="AF750" s="1595"/>
      <c r="AG750" s="1596"/>
      <c r="AH750" s="1386" t="str">
        <f t="shared" si="38"/>
        <v/>
      </c>
      <c r="AI750" s="1387"/>
      <c r="AJ750" s="1388"/>
      <c r="AK750" s="1362" t="s">
        <v>591</v>
      </c>
      <c r="AL750" s="1363"/>
      <c r="AM750" s="1363"/>
      <c r="AN750" s="1363"/>
      <c r="AO750" s="1364"/>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359">
        <f t="shared" si="39"/>
        <v>0</v>
      </c>
      <c r="CH750" s="1361"/>
      <c r="CI750" s="1342">
        <f t="shared" si="40"/>
        <v>0</v>
      </c>
      <c r="CJ750" s="1344"/>
      <c r="CK750" s="1359">
        <f t="shared" si="18"/>
        <v>0</v>
      </c>
      <c r="CL750" s="1361"/>
      <c r="CM750" s="1342">
        <f t="shared" si="19"/>
        <v>0</v>
      </c>
      <c r="CN750" s="1344"/>
      <c r="CO750" s="3"/>
      <c r="CP750" s="1339">
        <f t="shared" si="20"/>
        <v>0</v>
      </c>
      <c r="CQ750" s="1340"/>
      <c r="CR750" s="1340"/>
      <c r="CS750" s="1340"/>
      <c r="CT750" s="1341"/>
      <c r="CU750" s="1347">
        <f t="shared" si="21"/>
        <v>0</v>
      </c>
      <c r="CV750" s="1347"/>
      <c r="CW750" s="1347"/>
      <c r="CX750" s="1347"/>
      <c r="CY750" s="1347"/>
      <c r="CZ750" s="1347">
        <f t="shared" si="22"/>
        <v>0</v>
      </c>
      <c r="DA750" s="1347"/>
      <c r="DB750" s="1347"/>
      <c r="DC750" s="1347"/>
      <c r="DD750" s="1347"/>
      <c r="DE750" s="1347">
        <f t="shared" si="23"/>
        <v>0</v>
      </c>
      <c r="DF750" s="1347"/>
      <c r="DG750" s="1347"/>
      <c r="DH750" s="1347"/>
      <c r="DI750" s="1347"/>
      <c r="DJ750" s="1347">
        <f t="shared" si="24"/>
        <v>0</v>
      </c>
      <c r="DK750" s="1347"/>
      <c r="DL750" s="1347"/>
      <c r="DM750" s="1347"/>
      <c r="DN750" s="1347"/>
      <c r="DO750" s="1347">
        <f t="shared" si="25"/>
        <v>0</v>
      </c>
      <c r="DP750" s="1347"/>
      <c r="DQ750" s="1347"/>
      <c r="DR750" s="1347"/>
      <c r="DS750" s="1347"/>
      <c r="DT750" s="6"/>
      <c r="DU750" s="1366">
        <f t="shared" si="26"/>
        <v>0</v>
      </c>
      <c r="DV750" s="1366"/>
      <c r="DW750" s="1366"/>
      <c r="DX750" s="1366"/>
      <c r="DY750" s="1366"/>
      <c r="DZ750" s="1366">
        <f t="shared" si="27"/>
        <v>0</v>
      </c>
      <c r="EA750" s="1366"/>
      <c r="EB750" s="1366"/>
      <c r="EC750" s="1366"/>
      <c r="ED750" s="1366"/>
      <c r="EE750" s="1366">
        <f t="shared" si="28"/>
        <v>0</v>
      </c>
      <c r="EF750" s="1366"/>
      <c r="EG750" s="1366"/>
      <c r="EH750" s="1366"/>
      <c r="EI750" s="1366"/>
      <c r="EJ750" s="1366">
        <f t="shared" si="29"/>
        <v>0</v>
      </c>
      <c r="EK750" s="1366"/>
      <c r="EL750" s="1366"/>
      <c r="EM750" s="1366"/>
      <c r="EN750" s="1366"/>
      <c r="EO750" s="1366">
        <f t="shared" si="30"/>
        <v>0</v>
      </c>
      <c r="EP750" s="1366"/>
      <c r="EQ750" s="1366"/>
      <c r="ER750" s="1366"/>
      <c r="ES750" s="1366"/>
      <c r="ET750" s="1366">
        <f t="shared" si="31"/>
        <v>0</v>
      </c>
      <c r="EU750" s="1366"/>
      <c r="EV750" s="1366"/>
      <c r="EW750" s="1366"/>
      <c r="EX750" s="1366"/>
      <c r="EZ750" s="1359" t="str">
        <f t="shared" si="32"/>
        <v/>
      </c>
      <c r="FA750" s="1360"/>
      <c r="FB750" s="1360"/>
      <c r="FC750" s="1360"/>
      <c r="FD750" s="1361"/>
      <c r="FE750" s="1359" t="str">
        <f t="shared" si="33"/>
        <v/>
      </c>
      <c r="FF750" s="1360"/>
      <c r="FG750" s="1360"/>
      <c r="FH750" s="1360"/>
      <c r="FI750" s="1361"/>
      <c r="FJ750" s="1359" t="str">
        <f t="shared" si="34"/>
        <v/>
      </c>
      <c r="FK750" s="1360"/>
      <c r="FL750" s="1360"/>
      <c r="FM750" s="1360"/>
      <c r="FN750" s="1361"/>
      <c r="FO750" s="1359" t="str">
        <f t="shared" si="35"/>
        <v/>
      </c>
      <c r="FP750" s="1360"/>
      <c r="FQ750" s="1360"/>
      <c r="FR750" s="1360"/>
      <c r="FS750" s="1361"/>
      <c r="FT750" s="1359" t="str">
        <f t="shared" si="36"/>
        <v/>
      </c>
      <c r="FU750" s="1360"/>
      <c r="FV750" s="1360"/>
      <c r="FW750" s="1360"/>
      <c r="FX750" s="1361"/>
      <c r="FY750" s="1359" t="str">
        <f t="shared" si="37"/>
        <v/>
      </c>
      <c r="FZ750" s="1360"/>
      <c r="GA750" s="1360"/>
      <c r="GB750" s="1360"/>
      <c r="GC750" s="1361"/>
    </row>
    <row r="751" spans="1:185" s="3" customFormat="1" ht="12.95" customHeight="1">
      <c r="A751"/>
      <c r="B751" s="1362"/>
      <c r="C751" s="1363"/>
      <c r="D751" s="1363"/>
      <c r="E751" s="1363"/>
      <c r="F751" s="1364"/>
      <c r="G751" s="1587"/>
      <c r="H751" s="1588"/>
      <c r="I751" s="1588"/>
      <c r="J751" s="1589"/>
      <c r="K751" s="1591"/>
      <c r="L751" s="1592"/>
      <c r="M751" s="1592"/>
      <c r="N751" s="1593"/>
      <c r="O751" s="1482"/>
      <c r="P751" s="1483"/>
      <c r="Q751" s="1483"/>
      <c r="R751" s="1483"/>
      <c r="S751" s="1484"/>
      <c r="T751" s="1482"/>
      <c r="U751" s="1483"/>
      <c r="V751" s="1483"/>
      <c r="W751" s="1484"/>
      <c r="X751" s="1404">
        <f t="shared" si="54"/>
        <v>0</v>
      </c>
      <c r="Y751" s="1405"/>
      <c r="Z751" s="1405"/>
      <c r="AA751" s="1405"/>
      <c r="AB751" s="1406"/>
      <c r="AC751" s="1594"/>
      <c r="AD751" s="1595"/>
      <c r="AE751" s="1595"/>
      <c r="AF751" s="1595"/>
      <c r="AG751" s="1596"/>
      <c r="AH751" s="1386" t="str">
        <f t="shared" si="38"/>
        <v/>
      </c>
      <c r="AI751" s="1387"/>
      <c r="AJ751" s="1388"/>
      <c r="AK751" s="1362" t="s">
        <v>591</v>
      </c>
      <c r="AL751" s="1363"/>
      <c r="AM751" s="1363"/>
      <c r="AN751" s="1363"/>
      <c r="AO751" s="1364"/>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359">
        <f t="shared" si="39"/>
        <v>0</v>
      </c>
      <c r="CH751" s="1361"/>
      <c r="CI751" s="1342">
        <f t="shared" si="40"/>
        <v>0</v>
      </c>
      <c r="CJ751" s="1344"/>
      <c r="CK751" s="1359">
        <f t="shared" si="18"/>
        <v>0</v>
      </c>
      <c r="CL751" s="1361"/>
      <c r="CM751" s="1342">
        <f t="shared" si="19"/>
        <v>0</v>
      </c>
      <c r="CN751" s="1344"/>
      <c r="CP751" s="1339">
        <f t="shared" si="20"/>
        <v>0</v>
      </c>
      <c r="CQ751" s="1340"/>
      <c r="CR751" s="1340"/>
      <c r="CS751" s="1340"/>
      <c r="CT751" s="1341"/>
      <c r="CU751" s="1347">
        <f t="shared" si="21"/>
        <v>0</v>
      </c>
      <c r="CV751" s="1347"/>
      <c r="CW751" s="1347"/>
      <c r="CX751" s="1347"/>
      <c r="CY751" s="1347"/>
      <c r="CZ751" s="1347">
        <f t="shared" si="22"/>
        <v>0</v>
      </c>
      <c r="DA751" s="1347"/>
      <c r="DB751" s="1347"/>
      <c r="DC751" s="1347"/>
      <c r="DD751" s="1347"/>
      <c r="DE751" s="1347">
        <f t="shared" si="23"/>
        <v>0</v>
      </c>
      <c r="DF751" s="1347"/>
      <c r="DG751" s="1347"/>
      <c r="DH751" s="1347"/>
      <c r="DI751" s="1347"/>
      <c r="DJ751" s="1347">
        <f t="shared" si="24"/>
        <v>0</v>
      </c>
      <c r="DK751" s="1347"/>
      <c r="DL751" s="1347"/>
      <c r="DM751" s="1347"/>
      <c r="DN751" s="1347"/>
      <c r="DO751" s="1347">
        <f t="shared" si="25"/>
        <v>0</v>
      </c>
      <c r="DP751" s="1347"/>
      <c r="DQ751" s="1347"/>
      <c r="DR751" s="1347"/>
      <c r="DS751" s="1347"/>
      <c r="DT751" s="6"/>
      <c r="DU751" s="1366">
        <f t="shared" si="26"/>
        <v>0</v>
      </c>
      <c r="DV751" s="1366"/>
      <c r="DW751" s="1366"/>
      <c r="DX751" s="1366"/>
      <c r="DY751" s="1366"/>
      <c r="DZ751" s="1366">
        <f t="shared" si="27"/>
        <v>0</v>
      </c>
      <c r="EA751" s="1366"/>
      <c r="EB751" s="1366"/>
      <c r="EC751" s="1366"/>
      <c r="ED751" s="1366"/>
      <c r="EE751" s="1366">
        <f t="shared" si="28"/>
        <v>0</v>
      </c>
      <c r="EF751" s="1366"/>
      <c r="EG751" s="1366"/>
      <c r="EH751" s="1366"/>
      <c r="EI751" s="1366"/>
      <c r="EJ751" s="1366">
        <f t="shared" si="29"/>
        <v>0</v>
      </c>
      <c r="EK751" s="1366"/>
      <c r="EL751" s="1366"/>
      <c r="EM751" s="1366"/>
      <c r="EN751" s="1366"/>
      <c r="EO751" s="1366">
        <f t="shared" si="30"/>
        <v>0</v>
      </c>
      <c r="EP751" s="1366"/>
      <c r="EQ751" s="1366"/>
      <c r="ER751" s="1366"/>
      <c r="ES751" s="1366"/>
      <c r="ET751" s="1366">
        <f t="shared" si="31"/>
        <v>0</v>
      </c>
      <c r="EU751" s="1366"/>
      <c r="EV751" s="1366"/>
      <c r="EW751" s="1366"/>
      <c r="EX751" s="1366"/>
      <c r="EY751"/>
      <c r="EZ751" s="1359" t="str">
        <f t="shared" si="32"/>
        <v/>
      </c>
      <c r="FA751" s="1360"/>
      <c r="FB751" s="1360"/>
      <c r="FC751" s="1360"/>
      <c r="FD751" s="1361"/>
      <c r="FE751" s="1359" t="str">
        <f t="shared" si="33"/>
        <v/>
      </c>
      <c r="FF751" s="1360"/>
      <c r="FG751" s="1360"/>
      <c r="FH751" s="1360"/>
      <c r="FI751" s="1361"/>
      <c r="FJ751" s="1359" t="str">
        <f t="shared" si="34"/>
        <v/>
      </c>
      <c r="FK751" s="1360"/>
      <c r="FL751" s="1360"/>
      <c r="FM751" s="1360"/>
      <c r="FN751" s="1361"/>
      <c r="FO751" s="1359" t="str">
        <f t="shared" si="35"/>
        <v/>
      </c>
      <c r="FP751" s="1360"/>
      <c r="FQ751" s="1360"/>
      <c r="FR751" s="1360"/>
      <c r="FS751" s="1361"/>
      <c r="FT751" s="1359" t="str">
        <f t="shared" si="36"/>
        <v/>
      </c>
      <c r="FU751" s="1360"/>
      <c r="FV751" s="1360"/>
      <c r="FW751" s="1360"/>
      <c r="FX751" s="1361"/>
      <c r="FY751" s="1359" t="str">
        <f t="shared" si="37"/>
        <v/>
      </c>
      <c r="FZ751" s="1360"/>
      <c r="GA751" s="1360"/>
      <c r="GB751" s="1360"/>
      <c r="GC751" s="1361"/>
    </row>
    <row r="752" spans="1:185" ht="12.95" customHeight="1">
      <c r="B752" s="1362"/>
      <c r="C752" s="1363"/>
      <c r="D752" s="1363"/>
      <c r="E752" s="1363"/>
      <c r="F752" s="1364"/>
      <c r="G752" s="1587"/>
      <c r="H752" s="1588"/>
      <c r="I752" s="1588"/>
      <c r="J752" s="1589"/>
      <c r="K752" s="1591"/>
      <c r="L752" s="1592"/>
      <c r="M752" s="1592"/>
      <c r="N752" s="1593"/>
      <c r="O752" s="1482"/>
      <c r="P752" s="1483"/>
      <c r="Q752" s="1483"/>
      <c r="R752" s="1483"/>
      <c r="S752" s="1484"/>
      <c r="T752" s="1482"/>
      <c r="U752" s="1483"/>
      <c r="V752" s="1483"/>
      <c r="W752" s="1484"/>
      <c r="X752" s="1404">
        <f t="shared" si="54"/>
        <v>0</v>
      </c>
      <c r="Y752" s="1405"/>
      <c r="Z752" s="1405"/>
      <c r="AA752" s="1405"/>
      <c r="AB752" s="1406"/>
      <c r="AC752" s="1594"/>
      <c r="AD752" s="1595"/>
      <c r="AE752" s="1595"/>
      <c r="AF752" s="1595"/>
      <c r="AG752" s="1596"/>
      <c r="AH752" s="1386" t="str">
        <f t="shared" si="38"/>
        <v/>
      </c>
      <c r="AI752" s="1387"/>
      <c r="AJ752" s="1388"/>
      <c r="AK752" s="1362" t="s">
        <v>591</v>
      </c>
      <c r="AL752" s="1363"/>
      <c r="AM752" s="1363"/>
      <c r="AN752" s="1363"/>
      <c r="AO752" s="1364"/>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359">
        <f t="shared" si="39"/>
        <v>0</v>
      </c>
      <c r="CH752" s="1361"/>
      <c r="CI752" s="1342">
        <f t="shared" si="40"/>
        <v>0</v>
      </c>
      <c r="CJ752" s="1344"/>
      <c r="CK752" s="1359">
        <f t="shared" si="18"/>
        <v>0</v>
      </c>
      <c r="CL752" s="1361"/>
      <c r="CM752" s="1342">
        <f t="shared" si="19"/>
        <v>0</v>
      </c>
      <c r="CN752" s="1344"/>
      <c r="CO752" s="3"/>
      <c r="CP752" s="1339">
        <f t="shared" si="20"/>
        <v>0</v>
      </c>
      <c r="CQ752" s="1340"/>
      <c r="CR752" s="1340"/>
      <c r="CS752" s="1340"/>
      <c r="CT752" s="1341"/>
      <c r="CU752" s="1347">
        <f t="shared" si="21"/>
        <v>0</v>
      </c>
      <c r="CV752" s="1347"/>
      <c r="CW752" s="1347"/>
      <c r="CX752" s="1347"/>
      <c r="CY752" s="1347"/>
      <c r="CZ752" s="1347">
        <f t="shared" si="22"/>
        <v>0</v>
      </c>
      <c r="DA752" s="1347"/>
      <c r="DB752" s="1347"/>
      <c r="DC752" s="1347"/>
      <c r="DD752" s="1347"/>
      <c r="DE752" s="1347">
        <f t="shared" si="23"/>
        <v>0</v>
      </c>
      <c r="DF752" s="1347"/>
      <c r="DG752" s="1347"/>
      <c r="DH752" s="1347"/>
      <c r="DI752" s="1347"/>
      <c r="DJ752" s="1347">
        <f t="shared" si="24"/>
        <v>0</v>
      </c>
      <c r="DK752" s="1347"/>
      <c r="DL752" s="1347"/>
      <c r="DM752" s="1347"/>
      <c r="DN752" s="1347"/>
      <c r="DO752" s="1347">
        <f t="shared" si="25"/>
        <v>0</v>
      </c>
      <c r="DP752" s="1347"/>
      <c r="DQ752" s="1347"/>
      <c r="DR752" s="1347"/>
      <c r="DS752" s="1347"/>
      <c r="DT752" s="6"/>
      <c r="DU752" s="1366">
        <f t="shared" si="26"/>
        <v>0</v>
      </c>
      <c r="DV752" s="1366"/>
      <c r="DW752" s="1366"/>
      <c r="DX752" s="1366"/>
      <c r="DY752" s="1366"/>
      <c r="DZ752" s="1366">
        <f t="shared" si="27"/>
        <v>0</v>
      </c>
      <c r="EA752" s="1366"/>
      <c r="EB752" s="1366"/>
      <c r="EC752" s="1366"/>
      <c r="ED752" s="1366"/>
      <c r="EE752" s="1366">
        <f t="shared" si="28"/>
        <v>0</v>
      </c>
      <c r="EF752" s="1366"/>
      <c r="EG752" s="1366"/>
      <c r="EH752" s="1366"/>
      <c r="EI752" s="1366"/>
      <c r="EJ752" s="1366">
        <f t="shared" si="29"/>
        <v>0</v>
      </c>
      <c r="EK752" s="1366"/>
      <c r="EL752" s="1366"/>
      <c r="EM752" s="1366"/>
      <c r="EN752" s="1366"/>
      <c r="EO752" s="1366">
        <f t="shared" si="30"/>
        <v>0</v>
      </c>
      <c r="EP752" s="1366"/>
      <c r="EQ752" s="1366"/>
      <c r="ER752" s="1366"/>
      <c r="ES752" s="1366"/>
      <c r="ET752" s="1366">
        <f t="shared" si="31"/>
        <v>0</v>
      </c>
      <c r="EU752" s="1366"/>
      <c r="EV752" s="1366"/>
      <c r="EW752" s="1366"/>
      <c r="EX752" s="1366"/>
      <c r="EZ752" s="1359" t="str">
        <f t="shared" si="32"/>
        <v/>
      </c>
      <c r="FA752" s="1360"/>
      <c r="FB752" s="1360"/>
      <c r="FC752" s="1360"/>
      <c r="FD752" s="1361"/>
      <c r="FE752" s="1359" t="str">
        <f t="shared" si="33"/>
        <v/>
      </c>
      <c r="FF752" s="1360"/>
      <c r="FG752" s="1360"/>
      <c r="FH752" s="1360"/>
      <c r="FI752" s="1361"/>
      <c r="FJ752" s="1359" t="str">
        <f t="shared" si="34"/>
        <v/>
      </c>
      <c r="FK752" s="1360"/>
      <c r="FL752" s="1360"/>
      <c r="FM752" s="1360"/>
      <c r="FN752" s="1361"/>
      <c r="FO752" s="1359" t="str">
        <f t="shared" si="35"/>
        <v/>
      </c>
      <c r="FP752" s="1360"/>
      <c r="FQ752" s="1360"/>
      <c r="FR752" s="1360"/>
      <c r="FS752" s="1361"/>
      <c r="FT752" s="1359" t="str">
        <f t="shared" si="36"/>
        <v/>
      </c>
      <c r="FU752" s="1360"/>
      <c r="FV752" s="1360"/>
      <c r="FW752" s="1360"/>
      <c r="FX752" s="1361"/>
      <c r="FY752" s="1359" t="str">
        <f t="shared" si="37"/>
        <v/>
      </c>
      <c r="FZ752" s="1360"/>
      <c r="GA752" s="1360"/>
      <c r="GB752" s="1360"/>
      <c r="GC752" s="1361"/>
    </row>
    <row r="753" spans="1:185" ht="12.95" customHeight="1">
      <c r="B753" s="1362"/>
      <c r="C753" s="1363"/>
      <c r="D753" s="1363"/>
      <c r="E753" s="1363"/>
      <c r="F753" s="1364"/>
      <c r="G753" s="1587"/>
      <c r="H753" s="1588"/>
      <c r="I753" s="1588"/>
      <c r="J753" s="1589"/>
      <c r="K753" s="1591"/>
      <c r="L753" s="1592"/>
      <c r="M753" s="1592"/>
      <c r="N753" s="1593"/>
      <c r="O753" s="1482"/>
      <c r="P753" s="1483"/>
      <c r="Q753" s="1483"/>
      <c r="R753" s="1483"/>
      <c r="S753" s="1484"/>
      <c r="T753" s="1482"/>
      <c r="U753" s="1483"/>
      <c r="V753" s="1483"/>
      <c r="W753" s="1484"/>
      <c r="X753" s="1404">
        <f t="shared" si="54"/>
        <v>0</v>
      </c>
      <c r="Y753" s="1405"/>
      <c r="Z753" s="1405"/>
      <c r="AA753" s="1405"/>
      <c r="AB753" s="1406"/>
      <c r="AC753" s="1594"/>
      <c r="AD753" s="1595"/>
      <c r="AE753" s="1595"/>
      <c r="AF753" s="1595"/>
      <c r="AG753" s="1596"/>
      <c r="AH753" s="1386" t="str">
        <f t="shared" si="38"/>
        <v/>
      </c>
      <c r="AI753" s="1387"/>
      <c r="AJ753" s="1388"/>
      <c r="AK753" s="1362" t="s">
        <v>591</v>
      </c>
      <c r="AL753" s="1363"/>
      <c r="AM753" s="1363"/>
      <c r="AN753" s="1363"/>
      <c r="AO753" s="1364"/>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359">
        <f t="shared" si="39"/>
        <v>0</v>
      </c>
      <c r="CH753" s="1361"/>
      <c r="CI753" s="1342">
        <f t="shared" si="40"/>
        <v>0</v>
      </c>
      <c r="CJ753" s="1344"/>
      <c r="CK753" s="1359">
        <f t="shared" si="18"/>
        <v>0</v>
      </c>
      <c r="CL753" s="1361"/>
      <c r="CM753" s="1342">
        <f t="shared" si="19"/>
        <v>0</v>
      </c>
      <c r="CN753" s="1344"/>
      <c r="CO753" s="3"/>
      <c r="CP753" s="1339">
        <f t="shared" si="20"/>
        <v>0</v>
      </c>
      <c r="CQ753" s="1340"/>
      <c r="CR753" s="1340"/>
      <c r="CS753" s="1340"/>
      <c r="CT753" s="1341"/>
      <c r="CU753" s="1347">
        <f t="shared" si="21"/>
        <v>0</v>
      </c>
      <c r="CV753" s="1347"/>
      <c r="CW753" s="1347"/>
      <c r="CX753" s="1347"/>
      <c r="CY753" s="1347"/>
      <c r="CZ753" s="1347">
        <f t="shared" si="22"/>
        <v>0</v>
      </c>
      <c r="DA753" s="1347"/>
      <c r="DB753" s="1347"/>
      <c r="DC753" s="1347"/>
      <c r="DD753" s="1347"/>
      <c r="DE753" s="1347">
        <f t="shared" si="23"/>
        <v>0</v>
      </c>
      <c r="DF753" s="1347"/>
      <c r="DG753" s="1347"/>
      <c r="DH753" s="1347"/>
      <c r="DI753" s="1347"/>
      <c r="DJ753" s="1347">
        <f t="shared" si="24"/>
        <v>0</v>
      </c>
      <c r="DK753" s="1347"/>
      <c r="DL753" s="1347"/>
      <c r="DM753" s="1347"/>
      <c r="DN753" s="1347"/>
      <c r="DO753" s="1347">
        <f t="shared" si="25"/>
        <v>0</v>
      </c>
      <c r="DP753" s="1347"/>
      <c r="DQ753" s="1347"/>
      <c r="DR753" s="1347"/>
      <c r="DS753" s="1347"/>
      <c r="DT753" s="6"/>
      <c r="DU753" s="1366">
        <f t="shared" si="26"/>
        <v>0</v>
      </c>
      <c r="DV753" s="1366"/>
      <c r="DW753" s="1366"/>
      <c r="DX753" s="1366"/>
      <c r="DY753" s="1366"/>
      <c r="DZ753" s="1366">
        <f t="shared" si="27"/>
        <v>0</v>
      </c>
      <c r="EA753" s="1366"/>
      <c r="EB753" s="1366"/>
      <c r="EC753" s="1366"/>
      <c r="ED753" s="1366"/>
      <c r="EE753" s="1366">
        <f t="shared" si="28"/>
        <v>0</v>
      </c>
      <c r="EF753" s="1366"/>
      <c r="EG753" s="1366"/>
      <c r="EH753" s="1366"/>
      <c r="EI753" s="1366"/>
      <c r="EJ753" s="1366">
        <f t="shared" si="29"/>
        <v>0</v>
      </c>
      <c r="EK753" s="1366"/>
      <c r="EL753" s="1366"/>
      <c r="EM753" s="1366"/>
      <c r="EN753" s="1366"/>
      <c r="EO753" s="1366">
        <f t="shared" si="30"/>
        <v>0</v>
      </c>
      <c r="EP753" s="1366"/>
      <c r="EQ753" s="1366"/>
      <c r="ER753" s="1366"/>
      <c r="ES753" s="1366"/>
      <c r="ET753" s="1366">
        <f t="shared" si="31"/>
        <v>0</v>
      </c>
      <c r="EU753" s="1366"/>
      <c r="EV753" s="1366"/>
      <c r="EW753" s="1366"/>
      <c r="EX753" s="1366"/>
      <c r="EZ753" s="1359" t="str">
        <f t="shared" si="32"/>
        <v/>
      </c>
      <c r="FA753" s="1360"/>
      <c r="FB753" s="1360"/>
      <c r="FC753" s="1360"/>
      <c r="FD753" s="1361"/>
      <c r="FE753" s="1359" t="str">
        <f t="shared" si="33"/>
        <v/>
      </c>
      <c r="FF753" s="1360"/>
      <c r="FG753" s="1360"/>
      <c r="FH753" s="1360"/>
      <c r="FI753" s="1361"/>
      <c r="FJ753" s="1359" t="str">
        <f t="shared" si="34"/>
        <v/>
      </c>
      <c r="FK753" s="1360"/>
      <c r="FL753" s="1360"/>
      <c r="FM753" s="1360"/>
      <c r="FN753" s="1361"/>
      <c r="FO753" s="1359" t="str">
        <f t="shared" si="35"/>
        <v/>
      </c>
      <c r="FP753" s="1360"/>
      <c r="FQ753" s="1360"/>
      <c r="FR753" s="1360"/>
      <c r="FS753" s="1361"/>
      <c r="FT753" s="1359" t="str">
        <f t="shared" si="36"/>
        <v/>
      </c>
      <c r="FU753" s="1360"/>
      <c r="FV753" s="1360"/>
      <c r="FW753" s="1360"/>
      <c r="FX753" s="1361"/>
      <c r="FY753" s="1359" t="str">
        <f t="shared" si="37"/>
        <v/>
      </c>
      <c r="FZ753" s="1360"/>
      <c r="GA753" s="1360"/>
      <c r="GB753" s="1360"/>
      <c r="GC753" s="1361"/>
    </row>
    <row r="754" spans="1:185" ht="12.95" customHeight="1">
      <c r="B754" s="1362"/>
      <c r="C754" s="1363"/>
      <c r="D754" s="1363"/>
      <c r="E754" s="1363"/>
      <c r="F754" s="1364"/>
      <c r="G754" s="1587"/>
      <c r="H754" s="1588"/>
      <c r="I754" s="1588"/>
      <c r="J754" s="1589"/>
      <c r="K754" s="1591"/>
      <c r="L754" s="1592"/>
      <c r="M754" s="1592"/>
      <c r="N754" s="1593"/>
      <c r="O754" s="1482"/>
      <c r="P754" s="1483"/>
      <c r="Q754" s="1483"/>
      <c r="R754" s="1483"/>
      <c r="S754" s="1484"/>
      <c r="T754" s="1482"/>
      <c r="U754" s="1483"/>
      <c r="V754" s="1483"/>
      <c r="W754" s="1484"/>
      <c r="X754" s="1404">
        <f t="shared" si="54"/>
        <v>0</v>
      </c>
      <c r="Y754" s="1405"/>
      <c r="Z754" s="1405"/>
      <c r="AA754" s="1405"/>
      <c r="AB754" s="1406"/>
      <c r="AC754" s="1594"/>
      <c r="AD754" s="1595"/>
      <c r="AE754" s="1595"/>
      <c r="AF754" s="1595"/>
      <c r="AG754" s="1596"/>
      <c r="AH754" s="1386" t="str">
        <f t="shared" si="38"/>
        <v/>
      </c>
      <c r="AI754" s="1387"/>
      <c r="AJ754" s="1388"/>
      <c r="AK754" s="1362" t="s">
        <v>591</v>
      </c>
      <c r="AL754" s="1363"/>
      <c r="AM754" s="1363"/>
      <c r="AN754" s="1363"/>
      <c r="AO754" s="1364"/>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359">
        <f t="shared" si="39"/>
        <v>0</v>
      </c>
      <c r="CH754" s="1361"/>
      <c r="CI754" s="1342">
        <f t="shared" si="40"/>
        <v>0</v>
      </c>
      <c r="CJ754" s="1344"/>
      <c r="CK754" s="1359">
        <f t="shared" si="18"/>
        <v>0</v>
      </c>
      <c r="CL754" s="1361"/>
      <c r="CM754" s="1342">
        <f t="shared" si="19"/>
        <v>0</v>
      </c>
      <c r="CN754" s="1344"/>
      <c r="CO754" s="3"/>
      <c r="CP754" s="1339">
        <f t="shared" si="20"/>
        <v>0</v>
      </c>
      <c r="CQ754" s="1340"/>
      <c r="CR754" s="1340"/>
      <c r="CS754" s="1340"/>
      <c r="CT754" s="1341"/>
      <c r="CU754" s="1347">
        <f t="shared" si="21"/>
        <v>0</v>
      </c>
      <c r="CV754" s="1347"/>
      <c r="CW754" s="1347"/>
      <c r="CX754" s="1347"/>
      <c r="CY754" s="1347"/>
      <c r="CZ754" s="1347">
        <f t="shared" si="22"/>
        <v>0</v>
      </c>
      <c r="DA754" s="1347"/>
      <c r="DB754" s="1347"/>
      <c r="DC754" s="1347"/>
      <c r="DD754" s="1347"/>
      <c r="DE754" s="1347">
        <f t="shared" si="23"/>
        <v>0</v>
      </c>
      <c r="DF754" s="1347"/>
      <c r="DG754" s="1347"/>
      <c r="DH754" s="1347"/>
      <c r="DI754" s="1347"/>
      <c r="DJ754" s="1347">
        <f t="shared" si="24"/>
        <v>0</v>
      </c>
      <c r="DK754" s="1347"/>
      <c r="DL754" s="1347"/>
      <c r="DM754" s="1347"/>
      <c r="DN754" s="1347"/>
      <c r="DO754" s="1347">
        <f t="shared" si="25"/>
        <v>0</v>
      </c>
      <c r="DP754" s="1347"/>
      <c r="DQ754" s="1347"/>
      <c r="DR754" s="1347"/>
      <c r="DS754" s="1347"/>
      <c r="DT754" s="6"/>
      <c r="DU754" s="1366">
        <f t="shared" si="26"/>
        <v>0</v>
      </c>
      <c r="DV754" s="1366"/>
      <c r="DW754" s="1366"/>
      <c r="DX754" s="1366"/>
      <c r="DY754" s="1366"/>
      <c r="DZ754" s="1366">
        <f t="shared" si="27"/>
        <v>0</v>
      </c>
      <c r="EA754" s="1366"/>
      <c r="EB754" s="1366"/>
      <c r="EC754" s="1366"/>
      <c r="ED754" s="1366"/>
      <c r="EE754" s="1366">
        <f t="shared" si="28"/>
        <v>0</v>
      </c>
      <c r="EF754" s="1366"/>
      <c r="EG754" s="1366"/>
      <c r="EH754" s="1366"/>
      <c r="EI754" s="1366"/>
      <c r="EJ754" s="1366">
        <f t="shared" si="29"/>
        <v>0</v>
      </c>
      <c r="EK754" s="1366"/>
      <c r="EL754" s="1366"/>
      <c r="EM754" s="1366"/>
      <c r="EN754" s="1366"/>
      <c r="EO754" s="1366">
        <f t="shared" si="30"/>
        <v>0</v>
      </c>
      <c r="EP754" s="1366"/>
      <c r="EQ754" s="1366"/>
      <c r="ER754" s="1366"/>
      <c r="ES754" s="1366"/>
      <c r="ET754" s="1366">
        <f t="shared" si="31"/>
        <v>0</v>
      </c>
      <c r="EU754" s="1366"/>
      <c r="EV754" s="1366"/>
      <c r="EW754" s="1366"/>
      <c r="EX754" s="1366"/>
      <c r="EZ754" s="1359" t="str">
        <f t="shared" si="32"/>
        <v/>
      </c>
      <c r="FA754" s="1360"/>
      <c r="FB754" s="1360"/>
      <c r="FC754" s="1360"/>
      <c r="FD754" s="1361"/>
      <c r="FE754" s="1359" t="str">
        <f t="shared" si="33"/>
        <v/>
      </c>
      <c r="FF754" s="1360"/>
      <c r="FG754" s="1360"/>
      <c r="FH754" s="1360"/>
      <c r="FI754" s="1361"/>
      <c r="FJ754" s="1359" t="str">
        <f t="shared" si="34"/>
        <v/>
      </c>
      <c r="FK754" s="1360"/>
      <c r="FL754" s="1360"/>
      <c r="FM754" s="1360"/>
      <c r="FN754" s="1361"/>
      <c r="FO754" s="1359" t="str">
        <f t="shared" si="35"/>
        <v/>
      </c>
      <c r="FP754" s="1360"/>
      <c r="FQ754" s="1360"/>
      <c r="FR754" s="1360"/>
      <c r="FS754" s="1361"/>
      <c r="FT754" s="1359" t="str">
        <f t="shared" si="36"/>
        <v/>
      </c>
      <c r="FU754" s="1360"/>
      <c r="FV754" s="1360"/>
      <c r="FW754" s="1360"/>
      <c r="FX754" s="1361"/>
      <c r="FY754" s="1359" t="str">
        <f t="shared" si="37"/>
        <v/>
      </c>
      <c r="FZ754" s="1360"/>
      <c r="GA754" s="1360"/>
      <c r="GB754" s="1360"/>
      <c r="GC754" s="1361"/>
    </row>
    <row r="755" spans="1:185" ht="12.95" customHeight="1">
      <c r="B755" s="1362"/>
      <c r="C755" s="1363"/>
      <c r="D755" s="1363"/>
      <c r="E755" s="1363"/>
      <c r="F755" s="1364"/>
      <c r="G755" s="1587"/>
      <c r="H755" s="1588"/>
      <c r="I755" s="1588"/>
      <c r="J755" s="1589"/>
      <c r="K755" s="1591"/>
      <c r="L755" s="1592"/>
      <c r="M755" s="1592"/>
      <c r="N755" s="1593"/>
      <c r="O755" s="1482"/>
      <c r="P755" s="1483"/>
      <c r="Q755" s="1483"/>
      <c r="R755" s="1483"/>
      <c r="S755" s="1484"/>
      <c r="T755" s="1482"/>
      <c r="U755" s="1483"/>
      <c r="V755" s="1483"/>
      <c r="W755" s="1484"/>
      <c r="X755" s="1404">
        <f t="shared" si="54"/>
        <v>0</v>
      </c>
      <c r="Y755" s="1405"/>
      <c r="Z755" s="1405"/>
      <c r="AA755" s="1405"/>
      <c r="AB755" s="1406"/>
      <c r="AC755" s="1594"/>
      <c r="AD755" s="1595"/>
      <c r="AE755" s="1595"/>
      <c r="AF755" s="1595"/>
      <c r="AG755" s="1596"/>
      <c r="AH755" s="1386" t="str">
        <f t="shared" si="38"/>
        <v/>
      </c>
      <c r="AI755" s="1387"/>
      <c r="AJ755" s="1388"/>
      <c r="AK755" s="1362" t="s">
        <v>591</v>
      </c>
      <c r="AL755" s="1363"/>
      <c r="AM755" s="1363"/>
      <c r="AN755" s="1363"/>
      <c r="AO755" s="1364"/>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359">
        <f t="shared" si="39"/>
        <v>0</v>
      </c>
      <c r="CH755" s="1361"/>
      <c r="CI755" s="1342">
        <f t="shared" si="40"/>
        <v>0</v>
      </c>
      <c r="CJ755" s="1344"/>
      <c r="CK755" s="1359">
        <f t="shared" si="18"/>
        <v>0</v>
      </c>
      <c r="CL755" s="1361"/>
      <c r="CM755" s="1342">
        <f t="shared" si="19"/>
        <v>0</v>
      </c>
      <c r="CN755" s="1344"/>
      <c r="CO755" s="3"/>
      <c r="CP755" s="1339">
        <f t="shared" si="20"/>
        <v>0</v>
      </c>
      <c r="CQ755" s="1340"/>
      <c r="CR755" s="1340"/>
      <c r="CS755" s="1340"/>
      <c r="CT755" s="1341"/>
      <c r="CU755" s="1347">
        <f t="shared" si="21"/>
        <v>0</v>
      </c>
      <c r="CV755" s="1347"/>
      <c r="CW755" s="1347"/>
      <c r="CX755" s="1347"/>
      <c r="CY755" s="1347"/>
      <c r="CZ755" s="1347">
        <f t="shared" si="22"/>
        <v>0</v>
      </c>
      <c r="DA755" s="1347"/>
      <c r="DB755" s="1347"/>
      <c r="DC755" s="1347"/>
      <c r="DD755" s="1347"/>
      <c r="DE755" s="1347">
        <f t="shared" si="23"/>
        <v>0</v>
      </c>
      <c r="DF755" s="1347"/>
      <c r="DG755" s="1347"/>
      <c r="DH755" s="1347"/>
      <c r="DI755" s="1347"/>
      <c r="DJ755" s="1347">
        <f t="shared" si="24"/>
        <v>0</v>
      </c>
      <c r="DK755" s="1347"/>
      <c r="DL755" s="1347"/>
      <c r="DM755" s="1347"/>
      <c r="DN755" s="1347"/>
      <c r="DO755" s="1347">
        <f t="shared" si="25"/>
        <v>0</v>
      </c>
      <c r="DP755" s="1347"/>
      <c r="DQ755" s="1347"/>
      <c r="DR755" s="1347"/>
      <c r="DS755" s="1347"/>
      <c r="DT755" s="6"/>
      <c r="DU755" s="1366">
        <f t="shared" si="26"/>
        <v>0</v>
      </c>
      <c r="DV755" s="1366"/>
      <c r="DW755" s="1366"/>
      <c r="DX755" s="1366"/>
      <c r="DY755" s="1366"/>
      <c r="DZ755" s="1366">
        <f t="shared" si="27"/>
        <v>0</v>
      </c>
      <c r="EA755" s="1366"/>
      <c r="EB755" s="1366"/>
      <c r="EC755" s="1366"/>
      <c r="ED755" s="1366"/>
      <c r="EE755" s="1366">
        <f t="shared" si="28"/>
        <v>0</v>
      </c>
      <c r="EF755" s="1366"/>
      <c r="EG755" s="1366"/>
      <c r="EH755" s="1366"/>
      <c r="EI755" s="1366"/>
      <c r="EJ755" s="1366">
        <f t="shared" si="29"/>
        <v>0</v>
      </c>
      <c r="EK755" s="1366"/>
      <c r="EL755" s="1366"/>
      <c r="EM755" s="1366"/>
      <c r="EN755" s="1366"/>
      <c r="EO755" s="1366">
        <f t="shared" si="30"/>
        <v>0</v>
      </c>
      <c r="EP755" s="1366"/>
      <c r="EQ755" s="1366"/>
      <c r="ER755" s="1366"/>
      <c r="ES755" s="1366"/>
      <c r="ET755" s="1366">
        <f t="shared" si="31"/>
        <v>0</v>
      </c>
      <c r="EU755" s="1366"/>
      <c r="EV755" s="1366"/>
      <c r="EW755" s="1366"/>
      <c r="EX755" s="1366"/>
      <c r="EZ755" s="1359" t="str">
        <f t="shared" si="32"/>
        <v/>
      </c>
      <c r="FA755" s="1360"/>
      <c r="FB755" s="1360"/>
      <c r="FC755" s="1360"/>
      <c r="FD755" s="1361"/>
      <c r="FE755" s="1359" t="str">
        <f t="shared" si="33"/>
        <v/>
      </c>
      <c r="FF755" s="1360"/>
      <c r="FG755" s="1360"/>
      <c r="FH755" s="1360"/>
      <c r="FI755" s="1361"/>
      <c r="FJ755" s="1359" t="str">
        <f t="shared" si="34"/>
        <v/>
      </c>
      <c r="FK755" s="1360"/>
      <c r="FL755" s="1360"/>
      <c r="FM755" s="1360"/>
      <c r="FN755" s="1361"/>
      <c r="FO755" s="1359" t="str">
        <f t="shared" si="35"/>
        <v/>
      </c>
      <c r="FP755" s="1360"/>
      <c r="FQ755" s="1360"/>
      <c r="FR755" s="1360"/>
      <c r="FS755" s="1361"/>
      <c r="FT755" s="1359" t="str">
        <f t="shared" si="36"/>
        <v/>
      </c>
      <c r="FU755" s="1360"/>
      <c r="FV755" s="1360"/>
      <c r="FW755" s="1360"/>
      <c r="FX755" s="1361"/>
      <c r="FY755" s="1359" t="str">
        <f t="shared" si="37"/>
        <v/>
      </c>
      <c r="FZ755" s="1360"/>
      <c r="GA755" s="1360"/>
      <c r="GB755" s="1360"/>
      <c r="GC755" s="1361"/>
    </row>
    <row r="756" spans="1:185" s="3" customFormat="1" ht="12.95" customHeight="1">
      <c r="A756"/>
      <c r="B756" s="1362"/>
      <c r="C756" s="1363"/>
      <c r="D756" s="1363"/>
      <c r="E756" s="1363"/>
      <c r="F756" s="1364"/>
      <c r="G756" s="1587"/>
      <c r="H756" s="1588"/>
      <c r="I756" s="1588"/>
      <c r="J756" s="1589"/>
      <c r="K756" s="1591"/>
      <c r="L756" s="1592"/>
      <c r="M756" s="1592"/>
      <c r="N756" s="1593"/>
      <c r="O756" s="1482"/>
      <c r="P756" s="1483"/>
      <c r="Q756" s="1483"/>
      <c r="R756" s="1483"/>
      <c r="S756" s="1484"/>
      <c r="T756" s="1482"/>
      <c r="U756" s="1483"/>
      <c r="V756" s="1483"/>
      <c r="W756" s="1484"/>
      <c r="X756" s="1404">
        <f t="shared" si="54"/>
        <v>0</v>
      </c>
      <c r="Y756" s="1405"/>
      <c r="Z756" s="1405"/>
      <c r="AA756" s="1405"/>
      <c r="AB756" s="1406"/>
      <c r="AC756" s="1594"/>
      <c r="AD756" s="1595"/>
      <c r="AE756" s="1595"/>
      <c r="AF756" s="1595"/>
      <c r="AG756" s="1596"/>
      <c r="AH756" s="1386" t="str">
        <f t="shared" si="38"/>
        <v/>
      </c>
      <c r="AI756" s="1387"/>
      <c r="AJ756" s="1388"/>
      <c r="AK756" s="1362" t="s">
        <v>591</v>
      </c>
      <c r="AL756" s="1363"/>
      <c r="AM756" s="1363"/>
      <c r="AN756" s="1363"/>
      <c r="AO756" s="1364"/>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359">
        <f t="shared" si="39"/>
        <v>0</v>
      </c>
      <c r="CH756" s="1361"/>
      <c r="CI756" s="1342">
        <f t="shared" si="40"/>
        <v>0</v>
      </c>
      <c r="CJ756" s="1344"/>
      <c r="CK756" s="1359">
        <f t="shared" si="18"/>
        <v>0</v>
      </c>
      <c r="CL756" s="1361"/>
      <c r="CM756" s="1342">
        <f t="shared" si="19"/>
        <v>0</v>
      </c>
      <c r="CN756" s="1344"/>
      <c r="CP756" s="1339">
        <f t="shared" si="20"/>
        <v>0</v>
      </c>
      <c r="CQ756" s="1340"/>
      <c r="CR756" s="1340"/>
      <c r="CS756" s="1340"/>
      <c r="CT756" s="1341"/>
      <c r="CU756" s="1347">
        <f t="shared" si="21"/>
        <v>0</v>
      </c>
      <c r="CV756" s="1347"/>
      <c r="CW756" s="1347"/>
      <c r="CX756" s="1347"/>
      <c r="CY756" s="1347"/>
      <c r="CZ756" s="1347">
        <f t="shared" si="22"/>
        <v>0</v>
      </c>
      <c r="DA756" s="1347"/>
      <c r="DB756" s="1347"/>
      <c r="DC756" s="1347"/>
      <c r="DD756" s="1347"/>
      <c r="DE756" s="1347">
        <f t="shared" si="23"/>
        <v>0</v>
      </c>
      <c r="DF756" s="1347"/>
      <c r="DG756" s="1347"/>
      <c r="DH756" s="1347"/>
      <c r="DI756" s="1347"/>
      <c r="DJ756" s="1347">
        <f t="shared" si="24"/>
        <v>0</v>
      </c>
      <c r="DK756" s="1347"/>
      <c r="DL756" s="1347"/>
      <c r="DM756" s="1347"/>
      <c r="DN756" s="1347"/>
      <c r="DO756" s="1347">
        <f t="shared" si="25"/>
        <v>0</v>
      </c>
      <c r="DP756" s="1347"/>
      <c r="DQ756" s="1347"/>
      <c r="DR756" s="1347"/>
      <c r="DS756" s="1347"/>
      <c r="DT756" s="6"/>
      <c r="DU756" s="1366">
        <f t="shared" si="26"/>
        <v>0</v>
      </c>
      <c r="DV756" s="1366"/>
      <c r="DW756" s="1366"/>
      <c r="DX756" s="1366"/>
      <c r="DY756" s="1366"/>
      <c r="DZ756" s="1366">
        <f t="shared" si="27"/>
        <v>0</v>
      </c>
      <c r="EA756" s="1366"/>
      <c r="EB756" s="1366"/>
      <c r="EC756" s="1366"/>
      <c r="ED756" s="1366"/>
      <c r="EE756" s="1366">
        <f t="shared" si="28"/>
        <v>0</v>
      </c>
      <c r="EF756" s="1366"/>
      <c r="EG756" s="1366"/>
      <c r="EH756" s="1366"/>
      <c r="EI756" s="1366"/>
      <c r="EJ756" s="1366">
        <f t="shared" si="29"/>
        <v>0</v>
      </c>
      <c r="EK756" s="1366"/>
      <c r="EL756" s="1366"/>
      <c r="EM756" s="1366"/>
      <c r="EN756" s="1366"/>
      <c r="EO756" s="1366">
        <f t="shared" si="30"/>
        <v>0</v>
      </c>
      <c r="EP756" s="1366"/>
      <c r="EQ756" s="1366"/>
      <c r="ER756" s="1366"/>
      <c r="ES756" s="1366"/>
      <c r="ET756" s="1366">
        <f t="shared" si="31"/>
        <v>0</v>
      </c>
      <c r="EU756" s="1366"/>
      <c r="EV756" s="1366"/>
      <c r="EW756" s="1366"/>
      <c r="EX756" s="1366"/>
      <c r="EY756"/>
      <c r="EZ756" s="1359" t="str">
        <f t="shared" si="32"/>
        <v/>
      </c>
      <c r="FA756" s="1360"/>
      <c r="FB756" s="1360"/>
      <c r="FC756" s="1360"/>
      <c r="FD756" s="1361"/>
      <c r="FE756" s="1359" t="str">
        <f t="shared" si="33"/>
        <v/>
      </c>
      <c r="FF756" s="1360"/>
      <c r="FG756" s="1360"/>
      <c r="FH756" s="1360"/>
      <c r="FI756" s="1361"/>
      <c r="FJ756" s="1359" t="str">
        <f t="shared" si="34"/>
        <v/>
      </c>
      <c r="FK756" s="1360"/>
      <c r="FL756" s="1360"/>
      <c r="FM756" s="1360"/>
      <c r="FN756" s="1361"/>
      <c r="FO756" s="1359" t="str">
        <f t="shared" si="35"/>
        <v/>
      </c>
      <c r="FP756" s="1360"/>
      <c r="FQ756" s="1360"/>
      <c r="FR756" s="1360"/>
      <c r="FS756" s="1361"/>
      <c r="FT756" s="1359" t="str">
        <f t="shared" si="36"/>
        <v/>
      </c>
      <c r="FU756" s="1360"/>
      <c r="FV756" s="1360"/>
      <c r="FW756" s="1360"/>
      <c r="FX756" s="1361"/>
      <c r="FY756" s="1359" t="str">
        <f t="shared" si="37"/>
        <v/>
      </c>
      <c r="FZ756" s="1360"/>
      <c r="GA756" s="1360"/>
      <c r="GB756" s="1360"/>
      <c r="GC756" s="1361"/>
    </row>
    <row r="757" spans="1:185" s="3" customFormat="1" ht="12.95" customHeight="1">
      <c r="A757"/>
      <c r="B757" s="1362"/>
      <c r="C757" s="1363"/>
      <c r="D757" s="1363"/>
      <c r="E757" s="1363"/>
      <c r="F757" s="1364"/>
      <c r="G757" s="1587"/>
      <c r="H757" s="1588"/>
      <c r="I757" s="1588"/>
      <c r="J757" s="1589"/>
      <c r="K757" s="1591"/>
      <c r="L757" s="1592"/>
      <c r="M757" s="1592"/>
      <c r="N757" s="1593"/>
      <c r="O757" s="1482"/>
      <c r="P757" s="1483"/>
      <c r="Q757" s="1483"/>
      <c r="R757" s="1483"/>
      <c r="S757" s="1484"/>
      <c r="T757" s="1482"/>
      <c r="U757" s="1483"/>
      <c r="V757" s="1483"/>
      <c r="W757" s="1484"/>
      <c r="X757" s="1404">
        <f t="shared" si="54"/>
        <v>0</v>
      </c>
      <c r="Y757" s="1405"/>
      <c r="Z757" s="1405"/>
      <c r="AA757" s="1405"/>
      <c r="AB757" s="1406"/>
      <c r="AC757" s="1594"/>
      <c r="AD757" s="1595"/>
      <c r="AE757" s="1595"/>
      <c r="AF757" s="1595"/>
      <c r="AG757" s="1596"/>
      <c r="AH757" s="1386" t="str">
        <f t="shared" si="38"/>
        <v/>
      </c>
      <c r="AI757" s="1387"/>
      <c r="AJ757" s="1388"/>
      <c r="AK757" s="1362" t="s">
        <v>591</v>
      </c>
      <c r="AL757" s="1363"/>
      <c r="AM757" s="1363"/>
      <c r="AN757" s="1363"/>
      <c r="AO757" s="1364"/>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359">
        <f t="shared" si="39"/>
        <v>0</v>
      </c>
      <c r="CH757" s="1361"/>
      <c r="CI757" s="1342">
        <f t="shared" si="40"/>
        <v>0</v>
      </c>
      <c r="CJ757" s="1344"/>
      <c r="CK757" s="1359">
        <f t="shared" si="18"/>
        <v>0</v>
      </c>
      <c r="CL757" s="1361"/>
      <c r="CM757" s="1342">
        <f t="shared" si="19"/>
        <v>0</v>
      </c>
      <c r="CN757" s="1344"/>
      <c r="CP757" s="1339">
        <f t="shared" si="20"/>
        <v>0</v>
      </c>
      <c r="CQ757" s="1340"/>
      <c r="CR757" s="1340"/>
      <c r="CS757" s="1340"/>
      <c r="CT757" s="1341"/>
      <c r="CU757" s="1347">
        <f t="shared" si="21"/>
        <v>0</v>
      </c>
      <c r="CV757" s="1347"/>
      <c r="CW757" s="1347"/>
      <c r="CX757" s="1347"/>
      <c r="CY757" s="1347"/>
      <c r="CZ757" s="1347">
        <f t="shared" si="22"/>
        <v>0</v>
      </c>
      <c r="DA757" s="1347"/>
      <c r="DB757" s="1347"/>
      <c r="DC757" s="1347"/>
      <c r="DD757" s="1347"/>
      <c r="DE757" s="1347">
        <f t="shared" si="23"/>
        <v>0</v>
      </c>
      <c r="DF757" s="1347"/>
      <c r="DG757" s="1347"/>
      <c r="DH757" s="1347"/>
      <c r="DI757" s="1347"/>
      <c r="DJ757" s="1347">
        <f t="shared" si="24"/>
        <v>0</v>
      </c>
      <c r="DK757" s="1347"/>
      <c r="DL757" s="1347"/>
      <c r="DM757" s="1347"/>
      <c r="DN757" s="1347"/>
      <c r="DO757" s="1347">
        <f t="shared" si="25"/>
        <v>0</v>
      </c>
      <c r="DP757" s="1347"/>
      <c r="DQ757" s="1347"/>
      <c r="DR757" s="1347"/>
      <c r="DS757" s="1347"/>
      <c r="DT757" s="6"/>
      <c r="DU757" s="1366">
        <f t="shared" si="26"/>
        <v>0</v>
      </c>
      <c r="DV757" s="1366"/>
      <c r="DW757" s="1366"/>
      <c r="DX757" s="1366"/>
      <c r="DY757" s="1366"/>
      <c r="DZ757" s="1366">
        <f t="shared" si="27"/>
        <v>0</v>
      </c>
      <c r="EA757" s="1366"/>
      <c r="EB757" s="1366"/>
      <c r="EC757" s="1366"/>
      <c r="ED757" s="1366"/>
      <c r="EE757" s="1366">
        <f t="shared" si="28"/>
        <v>0</v>
      </c>
      <c r="EF757" s="1366"/>
      <c r="EG757" s="1366"/>
      <c r="EH757" s="1366"/>
      <c r="EI757" s="1366"/>
      <c r="EJ757" s="1366">
        <f t="shared" si="29"/>
        <v>0</v>
      </c>
      <c r="EK757" s="1366"/>
      <c r="EL757" s="1366"/>
      <c r="EM757" s="1366"/>
      <c r="EN757" s="1366"/>
      <c r="EO757" s="1366">
        <f t="shared" si="30"/>
        <v>0</v>
      </c>
      <c r="EP757" s="1366"/>
      <c r="EQ757" s="1366"/>
      <c r="ER757" s="1366"/>
      <c r="ES757" s="1366"/>
      <c r="ET757" s="1366">
        <f t="shared" si="31"/>
        <v>0</v>
      </c>
      <c r="EU757" s="1366"/>
      <c r="EV757" s="1366"/>
      <c r="EW757" s="1366"/>
      <c r="EX757" s="1366"/>
      <c r="EY757"/>
      <c r="EZ757" s="1359" t="str">
        <f t="shared" si="32"/>
        <v/>
      </c>
      <c r="FA757" s="1360"/>
      <c r="FB757" s="1360"/>
      <c r="FC757" s="1360"/>
      <c r="FD757" s="1361"/>
      <c r="FE757" s="1359" t="str">
        <f t="shared" si="33"/>
        <v/>
      </c>
      <c r="FF757" s="1360"/>
      <c r="FG757" s="1360"/>
      <c r="FH757" s="1360"/>
      <c r="FI757" s="1361"/>
      <c r="FJ757" s="1359" t="str">
        <f t="shared" si="34"/>
        <v/>
      </c>
      <c r="FK757" s="1360"/>
      <c r="FL757" s="1360"/>
      <c r="FM757" s="1360"/>
      <c r="FN757" s="1361"/>
      <c r="FO757" s="1359" t="str">
        <f t="shared" si="35"/>
        <v/>
      </c>
      <c r="FP757" s="1360"/>
      <c r="FQ757" s="1360"/>
      <c r="FR757" s="1360"/>
      <c r="FS757" s="1361"/>
      <c r="FT757" s="1359" t="str">
        <f t="shared" si="36"/>
        <v/>
      </c>
      <c r="FU757" s="1360"/>
      <c r="FV757" s="1360"/>
      <c r="FW757" s="1360"/>
      <c r="FX757" s="1361"/>
      <c r="FY757" s="1359" t="str">
        <f t="shared" si="37"/>
        <v/>
      </c>
      <c r="FZ757" s="1360"/>
      <c r="GA757" s="1360"/>
      <c r="GB757" s="1360"/>
      <c r="GC757" s="1361"/>
    </row>
    <row r="758" spans="1:185" s="3" customFormat="1" ht="12.95" customHeight="1">
      <c r="A758"/>
      <c r="B758" s="1362"/>
      <c r="C758" s="1363"/>
      <c r="D758" s="1363"/>
      <c r="E758" s="1363"/>
      <c r="F758" s="1364"/>
      <c r="G758" s="1587"/>
      <c r="H758" s="1588"/>
      <c r="I758" s="1588"/>
      <c r="J758" s="1589"/>
      <c r="K758" s="1591"/>
      <c r="L758" s="1592"/>
      <c r="M758" s="1592"/>
      <c r="N758" s="1593"/>
      <c r="O758" s="1482"/>
      <c r="P758" s="1483"/>
      <c r="Q758" s="1483"/>
      <c r="R758" s="1483"/>
      <c r="S758" s="1484"/>
      <c r="T758" s="1482"/>
      <c r="U758" s="1483"/>
      <c r="V758" s="1483"/>
      <c r="W758" s="1484"/>
      <c r="X758" s="1404">
        <f t="shared" si="54"/>
        <v>0</v>
      </c>
      <c r="Y758" s="1405"/>
      <c r="Z758" s="1405"/>
      <c r="AA758" s="1405"/>
      <c r="AB758" s="1406"/>
      <c r="AC758" s="1594"/>
      <c r="AD758" s="1595"/>
      <c r="AE758" s="1595"/>
      <c r="AF758" s="1595"/>
      <c r="AG758" s="1596"/>
      <c r="AH758" s="1386" t="str">
        <f t="shared" si="38"/>
        <v/>
      </c>
      <c r="AI758" s="1387"/>
      <c r="AJ758" s="1388"/>
      <c r="AK758" s="1362" t="s">
        <v>591</v>
      </c>
      <c r="AL758" s="1363"/>
      <c r="AM758" s="1363"/>
      <c r="AN758" s="1363"/>
      <c r="AO758" s="1364"/>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359">
        <f t="shared" si="39"/>
        <v>0</v>
      </c>
      <c r="CH758" s="1361"/>
      <c r="CI758" s="1342">
        <f t="shared" si="40"/>
        <v>0</v>
      </c>
      <c r="CJ758" s="1344"/>
      <c r="CK758" s="1359">
        <f t="shared" si="18"/>
        <v>0</v>
      </c>
      <c r="CL758" s="1361"/>
      <c r="CM758" s="1342">
        <f t="shared" si="19"/>
        <v>0</v>
      </c>
      <c r="CN758" s="1344"/>
      <c r="CP758" s="1339">
        <f t="shared" si="20"/>
        <v>0</v>
      </c>
      <c r="CQ758" s="1340"/>
      <c r="CR758" s="1340"/>
      <c r="CS758" s="1340"/>
      <c r="CT758" s="1341"/>
      <c r="CU758" s="1347">
        <f t="shared" si="21"/>
        <v>0</v>
      </c>
      <c r="CV758" s="1347"/>
      <c r="CW758" s="1347"/>
      <c r="CX758" s="1347"/>
      <c r="CY758" s="1347"/>
      <c r="CZ758" s="1347">
        <f t="shared" si="22"/>
        <v>0</v>
      </c>
      <c r="DA758" s="1347"/>
      <c r="DB758" s="1347"/>
      <c r="DC758" s="1347"/>
      <c r="DD758" s="1347"/>
      <c r="DE758" s="1347">
        <f t="shared" si="23"/>
        <v>0</v>
      </c>
      <c r="DF758" s="1347"/>
      <c r="DG758" s="1347"/>
      <c r="DH758" s="1347"/>
      <c r="DI758" s="1347"/>
      <c r="DJ758" s="1347">
        <f t="shared" si="24"/>
        <v>0</v>
      </c>
      <c r="DK758" s="1347"/>
      <c r="DL758" s="1347"/>
      <c r="DM758" s="1347"/>
      <c r="DN758" s="1347"/>
      <c r="DO758" s="1347">
        <f t="shared" si="25"/>
        <v>0</v>
      </c>
      <c r="DP758" s="1347"/>
      <c r="DQ758" s="1347"/>
      <c r="DR758" s="1347"/>
      <c r="DS758" s="1347"/>
      <c r="DT758" s="6"/>
      <c r="DU758" s="1366">
        <f t="shared" si="26"/>
        <v>0</v>
      </c>
      <c r="DV758" s="1366"/>
      <c r="DW758" s="1366"/>
      <c r="DX758" s="1366"/>
      <c r="DY758" s="1366"/>
      <c r="DZ758" s="1366">
        <f t="shared" si="27"/>
        <v>0</v>
      </c>
      <c r="EA758" s="1366"/>
      <c r="EB758" s="1366"/>
      <c r="EC758" s="1366"/>
      <c r="ED758" s="1366"/>
      <c r="EE758" s="1366">
        <f t="shared" si="28"/>
        <v>0</v>
      </c>
      <c r="EF758" s="1366"/>
      <c r="EG758" s="1366"/>
      <c r="EH758" s="1366"/>
      <c r="EI758" s="1366"/>
      <c r="EJ758" s="1366">
        <f t="shared" si="29"/>
        <v>0</v>
      </c>
      <c r="EK758" s="1366"/>
      <c r="EL758" s="1366"/>
      <c r="EM758" s="1366"/>
      <c r="EN758" s="1366"/>
      <c r="EO758" s="1366">
        <f t="shared" si="30"/>
        <v>0</v>
      </c>
      <c r="EP758" s="1366"/>
      <c r="EQ758" s="1366"/>
      <c r="ER758" s="1366"/>
      <c r="ES758" s="1366"/>
      <c r="ET758" s="1366">
        <f t="shared" si="31"/>
        <v>0</v>
      </c>
      <c r="EU758" s="1366"/>
      <c r="EV758" s="1366"/>
      <c r="EW758" s="1366"/>
      <c r="EX758" s="1366"/>
      <c r="EY758"/>
      <c r="EZ758" s="1359" t="str">
        <f t="shared" si="32"/>
        <v/>
      </c>
      <c r="FA758" s="1360"/>
      <c r="FB758" s="1360"/>
      <c r="FC758" s="1360"/>
      <c r="FD758" s="1361"/>
      <c r="FE758" s="1359" t="str">
        <f t="shared" si="33"/>
        <v/>
      </c>
      <c r="FF758" s="1360"/>
      <c r="FG758" s="1360"/>
      <c r="FH758" s="1360"/>
      <c r="FI758" s="1361"/>
      <c r="FJ758" s="1359" t="str">
        <f t="shared" si="34"/>
        <v/>
      </c>
      <c r="FK758" s="1360"/>
      <c r="FL758" s="1360"/>
      <c r="FM758" s="1360"/>
      <c r="FN758" s="1361"/>
      <c r="FO758" s="1359" t="str">
        <f t="shared" si="35"/>
        <v/>
      </c>
      <c r="FP758" s="1360"/>
      <c r="FQ758" s="1360"/>
      <c r="FR758" s="1360"/>
      <c r="FS758" s="1361"/>
      <c r="FT758" s="1359" t="str">
        <f t="shared" si="36"/>
        <v/>
      </c>
      <c r="FU758" s="1360"/>
      <c r="FV758" s="1360"/>
      <c r="FW758" s="1360"/>
      <c r="FX758" s="1361"/>
      <c r="FY758" s="1359" t="str">
        <f t="shared" si="37"/>
        <v/>
      </c>
      <c r="FZ758" s="1360"/>
      <c r="GA758" s="1360"/>
      <c r="GB758" s="1360"/>
      <c r="GC758" s="1361"/>
    </row>
    <row r="759" spans="1:185" s="3" customFormat="1" ht="12.95" customHeight="1">
      <c r="A759"/>
      <c r="B759" s="1362"/>
      <c r="C759" s="1363"/>
      <c r="D759" s="1363"/>
      <c r="E759" s="1363"/>
      <c r="F759" s="1364"/>
      <c r="G759" s="1587"/>
      <c r="H759" s="1588"/>
      <c r="I759" s="1588"/>
      <c r="J759" s="1589"/>
      <c r="K759" s="1591"/>
      <c r="L759" s="1592"/>
      <c r="M759" s="1592"/>
      <c r="N759" s="1593"/>
      <c r="O759" s="1482"/>
      <c r="P759" s="1483"/>
      <c r="Q759" s="1483"/>
      <c r="R759" s="1483"/>
      <c r="S759" s="1484"/>
      <c r="T759" s="1482"/>
      <c r="U759" s="1483"/>
      <c r="V759" s="1483"/>
      <c r="W759" s="1484"/>
      <c r="X759" s="1404">
        <f t="shared" si="54"/>
        <v>0</v>
      </c>
      <c r="Y759" s="1405"/>
      <c r="Z759" s="1405"/>
      <c r="AA759" s="1405"/>
      <c r="AB759" s="1406"/>
      <c r="AC759" s="1594"/>
      <c r="AD759" s="1595"/>
      <c r="AE759" s="1595"/>
      <c r="AF759" s="1595"/>
      <c r="AG759" s="1596"/>
      <c r="AH759" s="1386" t="str">
        <f t="shared" si="38"/>
        <v/>
      </c>
      <c r="AI759" s="1387"/>
      <c r="AJ759" s="1388"/>
      <c r="AK759" s="1362" t="s">
        <v>591</v>
      </c>
      <c r="AL759" s="1363"/>
      <c r="AM759" s="1363"/>
      <c r="AN759" s="1363"/>
      <c r="AO759" s="1364"/>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359">
        <f t="shared" si="39"/>
        <v>0</v>
      </c>
      <c r="CH759" s="1361"/>
      <c r="CI759" s="1342">
        <f t="shared" si="40"/>
        <v>0</v>
      </c>
      <c r="CJ759" s="1344"/>
      <c r="CK759" s="1359">
        <f t="shared" si="18"/>
        <v>0</v>
      </c>
      <c r="CL759" s="1361"/>
      <c r="CM759" s="1342">
        <f t="shared" si="19"/>
        <v>0</v>
      </c>
      <c r="CN759" s="1344"/>
      <c r="CP759" s="1339">
        <f t="shared" si="20"/>
        <v>0</v>
      </c>
      <c r="CQ759" s="1340"/>
      <c r="CR759" s="1340"/>
      <c r="CS759" s="1340"/>
      <c r="CT759" s="1341"/>
      <c r="CU759" s="1347">
        <f t="shared" si="21"/>
        <v>0</v>
      </c>
      <c r="CV759" s="1347"/>
      <c r="CW759" s="1347"/>
      <c r="CX759" s="1347"/>
      <c r="CY759" s="1347"/>
      <c r="CZ759" s="1347">
        <f t="shared" si="22"/>
        <v>0</v>
      </c>
      <c r="DA759" s="1347"/>
      <c r="DB759" s="1347"/>
      <c r="DC759" s="1347"/>
      <c r="DD759" s="1347"/>
      <c r="DE759" s="1347">
        <f t="shared" si="23"/>
        <v>0</v>
      </c>
      <c r="DF759" s="1347"/>
      <c r="DG759" s="1347"/>
      <c r="DH759" s="1347"/>
      <c r="DI759" s="1347"/>
      <c r="DJ759" s="1347">
        <f t="shared" si="24"/>
        <v>0</v>
      </c>
      <c r="DK759" s="1347"/>
      <c r="DL759" s="1347"/>
      <c r="DM759" s="1347"/>
      <c r="DN759" s="1347"/>
      <c r="DO759" s="1347">
        <f t="shared" si="25"/>
        <v>0</v>
      </c>
      <c r="DP759" s="1347"/>
      <c r="DQ759" s="1347"/>
      <c r="DR759" s="1347"/>
      <c r="DS759" s="1347"/>
      <c r="DT759" s="6"/>
      <c r="DU759" s="1366">
        <f t="shared" si="26"/>
        <v>0</v>
      </c>
      <c r="DV759" s="1366"/>
      <c r="DW759" s="1366"/>
      <c r="DX759" s="1366"/>
      <c r="DY759" s="1366"/>
      <c r="DZ759" s="1366">
        <f t="shared" si="27"/>
        <v>0</v>
      </c>
      <c r="EA759" s="1366"/>
      <c r="EB759" s="1366"/>
      <c r="EC759" s="1366"/>
      <c r="ED759" s="1366"/>
      <c r="EE759" s="1366">
        <f t="shared" si="28"/>
        <v>0</v>
      </c>
      <c r="EF759" s="1366"/>
      <c r="EG759" s="1366"/>
      <c r="EH759" s="1366"/>
      <c r="EI759" s="1366"/>
      <c r="EJ759" s="1366">
        <f t="shared" si="29"/>
        <v>0</v>
      </c>
      <c r="EK759" s="1366"/>
      <c r="EL759" s="1366"/>
      <c r="EM759" s="1366"/>
      <c r="EN759" s="1366"/>
      <c r="EO759" s="1366">
        <f t="shared" si="30"/>
        <v>0</v>
      </c>
      <c r="EP759" s="1366"/>
      <c r="EQ759" s="1366"/>
      <c r="ER759" s="1366"/>
      <c r="ES759" s="1366"/>
      <c r="ET759" s="1366">
        <f t="shared" si="31"/>
        <v>0</v>
      </c>
      <c r="EU759" s="1366"/>
      <c r="EV759" s="1366"/>
      <c r="EW759" s="1366"/>
      <c r="EX759" s="1366"/>
      <c r="EY759"/>
      <c r="EZ759" s="1359" t="str">
        <f t="shared" si="32"/>
        <v/>
      </c>
      <c r="FA759" s="1360"/>
      <c r="FB759" s="1360"/>
      <c r="FC759" s="1360"/>
      <c r="FD759" s="1361"/>
      <c r="FE759" s="1359" t="str">
        <f t="shared" si="33"/>
        <v/>
      </c>
      <c r="FF759" s="1360"/>
      <c r="FG759" s="1360"/>
      <c r="FH759" s="1360"/>
      <c r="FI759" s="1361"/>
      <c r="FJ759" s="1359" t="str">
        <f t="shared" si="34"/>
        <v/>
      </c>
      <c r="FK759" s="1360"/>
      <c r="FL759" s="1360"/>
      <c r="FM759" s="1360"/>
      <c r="FN759" s="1361"/>
      <c r="FO759" s="1359" t="str">
        <f t="shared" si="35"/>
        <v/>
      </c>
      <c r="FP759" s="1360"/>
      <c r="FQ759" s="1360"/>
      <c r="FR759" s="1360"/>
      <c r="FS759" s="1361"/>
      <c r="FT759" s="1359" t="str">
        <f t="shared" si="36"/>
        <v/>
      </c>
      <c r="FU759" s="1360"/>
      <c r="FV759" s="1360"/>
      <c r="FW759" s="1360"/>
      <c r="FX759" s="1361"/>
      <c r="FY759" s="1359" t="str">
        <f t="shared" si="37"/>
        <v/>
      </c>
      <c r="FZ759" s="1360"/>
      <c r="GA759" s="1360"/>
      <c r="GB759" s="1360"/>
      <c r="GC759" s="1361"/>
    </row>
    <row r="760" spans="1:185" s="3" customFormat="1" ht="12.95" customHeight="1">
      <c r="A760"/>
      <c r="B760" s="1362"/>
      <c r="C760" s="1363"/>
      <c r="D760" s="1363"/>
      <c r="E760" s="1363"/>
      <c r="F760" s="1364"/>
      <c r="G760" s="1587"/>
      <c r="H760" s="1588"/>
      <c r="I760" s="1588"/>
      <c r="J760" s="1589"/>
      <c r="K760" s="1591"/>
      <c r="L760" s="1592"/>
      <c r="M760" s="1592"/>
      <c r="N760" s="1593"/>
      <c r="O760" s="1482"/>
      <c r="P760" s="1483"/>
      <c r="Q760" s="1483"/>
      <c r="R760" s="1483"/>
      <c r="S760" s="1484"/>
      <c r="T760" s="1482"/>
      <c r="U760" s="1483"/>
      <c r="V760" s="1483"/>
      <c r="W760" s="1484"/>
      <c r="X760" s="1404">
        <f>O760+T760</f>
        <v>0</v>
      </c>
      <c r="Y760" s="1405"/>
      <c r="Z760" s="1405"/>
      <c r="AA760" s="1405"/>
      <c r="AB760" s="1406"/>
      <c r="AC760" s="1594"/>
      <c r="AD760" s="1595"/>
      <c r="AE760" s="1595"/>
      <c r="AF760" s="1595"/>
      <c r="AG760" s="1596"/>
      <c r="AH760" s="1386" t="str">
        <f t="shared" si="38"/>
        <v/>
      </c>
      <c r="AI760" s="1387"/>
      <c r="AJ760" s="1388"/>
      <c r="AK760" s="1362" t="s">
        <v>591</v>
      </c>
      <c r="AL760" s="1363"/>
      <c r="AM760" s="1363"/>
      <c r="AN760" s="1363"/>
      <c r="AO760" s="1364"/>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359">
        <f t="shared" si="39"/>
        <v>0</v>
      </c>
      <c r="CH760" s="1361"/>
      <c r="CI760" s="1342">
        <f t="shared" si="40"/>
        <v>0</v>
      </c>
      <c r="CJ760" s="1344"/>
      <c r="CK760" s="1359">
        <f t="shared" si="18"/>
        <v>0</v>
      </c>
      <c r="CL760" s="1361"/>
      <c r="CM760" s="1342">
        <f t="shared" si="19"/>
        <v>0</v>
      </c>
      <c r="CN760" s="1344"/>
      <c r="CP760" s="1339">
        <f t="shared" si="20"/>
        <v>0</v>
      </c>
      <c r="CQ760" s="1340"/>
      <c r="CR760" s="1340"/>
      <c r="CS760" s="1340"/>
      <c r="CT760" s="1341"/>
      <c r="CU760" s="1347">
        <f t="shared" si="21"/>
        <v>0</v>
      </c>
      <c r="CV760" s="1347"/>
      <c r="CW760" s="1347"/>
      <c r="CX760" s="1347"/>
      <c r="CY760" s="1347"/>
      <c r="CZ760" s="1347">
        <f t="shared" si="22"/>
        <v>0</v>
      </c>
      <c r="DA760" s="1347"/>
      <c r="DB760" s="1347"/>
      <c r="DC760" s="1347"/>
      <c r="DD760" s="1347"/>
      <c r="DE760" s="1347">
        <f t="shared" si="23"/>
        <v>0</v>
      </c>
      <c r="DF760" s="1347"/>
      <c r="DG760" s="1347"/>
      <c r="DH760" s="1347"/>
      <c r="DI760" s="1347"/>
      <c r="DJ760" s="1347">
        <f t="shared" si="24"/>
        <v>0</v>
      </c>
      <c r="DK760" s="1347"/>
      <c r="DL760" s="1347"/>
      <c r="DM760" s="1347"/>
      <c r="DN760" s="1347"/>
      <c r="DO760" s="1347">
        <f t="shared" si="25"/>
        <v>0</v>
      </c>
      <c r="DP760" s="1347"/>
      <c r="DQ760" s="1347"/>
      <c r="DR760" s="1347"/>
      <c r="DS760" s="1347"/>
      <c r="DT760" s="6"/>
      <c r="DU760" s="1366">
        <f t="shared" si="26"/>
        <v>0</v>
      </c>
      <c r="DV760" s="1366"/>
      <c r="DW760" s="1366"/>
      <c r="DX760" s="1366"/>
      <c r="DY760" s="1366"/>
      <c r="DZ760" s="1366">
        <f t="shared" si="27"/>
        <v>0</v>
      </c>
      <c r="EA760" s="1366"/>
      <c r="EB760" s="1366"/>
      <c r="EC760" s="1366"/>
      <c r="ED760" s="1366"/>
      <c r="EE760" s="1366">
        <f t="shared" si="28"/>
        <v>0</v>
      </c>
      <c r="EF760" s="1366"/>
      <c r="EG760" s="1366"/>
      <c r="EH760" s="1366"/>
      <c r="EI760" s="1366"/>
      <c r="EJ760" s="1366">
        <f t="shared" si="29"/>
        <v>0</v>
      </c>
      <c r="EK760" s="1366"/>
      <c r="EL760" s="1366"/>
      <c r="EM760" s="1366"/>
      <c r="EN760" s="1366"/>
      <c r="EO760" s="1366">
        <f t="shared" si="30"/>
        <v>0</v>
      </c>
      <c r="EP760" s="1366"/>
      <c r="EQ760" s="1366"/>
      <c r="ER760" s="1366"/>
      <c r="ES760" s="1366"/>
      <c r="ET760" s="1366">
        <f t="shared" si="31"/>
        <v>0</v>
      </c>
      <c r="EU760" s="1366"/>
      <c r="EV760" s="1366"/>
      <c r="EW760" s="1366"/>
      <c r="EX760" s="1366"/>
      <c r="EY760"/>
      <c r="EZ760" s="1359" t="str">
        <f t="shared" si="32"/>
        <v/>
      </c>
      <c r="FA760" s="1360"/>
      <c r="FB760" s="1360"/>
      <c r="FC760" s="1360"/>
      <c r="FD760" s="1361"/>
      <c r="FE760" s="1359" t="str">
        <f t="shared" si="33"/>
        <v/>
      </c>
      <c r="FF760" s="1360"/>
      <c r="FG760" s="1360"/>
      <c r="FH760" s="1360"/>
      <c r="FI760" s="1361"/>
      <c r="FJ760" s="1359" t="str">
        <f t="shared" si="34"/>
        <v/>
      </c>
      <c r="FK760" s="1360"/>
      <c r="FL760" s="1360"/>
      <c r="FM760" s="1360"/>
      <c r="FN760" s="1361"/>
      <c r="FO760" s="1359" t="str">
        <f t="shared" si="35"/>
        <v/>
      </c>
      <c r="FP760" s="1360"/>
      <c r="FQ760" s="1360"/>
      <c r="FR760" s="1360"/>
      <c r="FS760" s="1361"/>
      <c r="FT760" s="1359" t="str">
        <f t="shared" si="36"/>
        <v/>
      </c>
      <c r="FU760" s="1360"/>
      <c r="FV760" s="1360"/>
      <c r="FW760" s="1360"/>
      <c r="FX760" s="1361"/>
      <c r="FY760" s="1359" t="str">
        <f t="shared" si="37"/>
        <v/>
      </c>
      <c r="FZ760" s="1360"/>
      <c r="GA760" s="1360"/>
      <c r="GB760" s="1360"/>
      <c r="GC760" s="1361"/>
    </row>
    <row r="761" spans="1:185" s="3" customFormat="1" ht="12.95" customHeight="1">
      <c r="A761"/>
      <c r="B761" s="1427" t="s">
        <v>125</v>
      </c>
      <c r="C761" s="1428"/>
      <c r="D761" s="1428"/>
      <c r="E761" s="1428"/>
      <c r="F761" s="1430"/>
      <c r="G761" s="1716">
        <f>SUM(G726:G760)</f>
        <v>188</v>
      </c>
      <c r="H761" s="1717"/>
      <c r="I761" s="1717"/>
      <c r="J761" s="1718"/>
      <c r="K761" s="898" t="s">
        <v>124</v>
      </c>
      <c r="L761" s="5"/>
      <c r="M761" s="5"/>
      <c r="N761" s="46"/>
      <c r="O761" s="1404">
        <f>SUMPRODUCT(G726:G760,O726:O760)</f>
        <v>342230.8</v>
      </c>
      <c r="P761" s="1405"/>
      <c r="Q761" s="1405"/>
      <c r="R761" s="1405"/>
      <c r="S761" s="1406"/>
      <c r="T761"/>
      <c r="U761"/>
      <c r="V761"/>
      <c r="W761"/>
      <c r="X761" s="900" t="s">
        <v>900</v>
      </c>
      <c r="Y761" s="899"/>
      <c r="Z761" s="899"/>
      <c r="AA761" s="899"/>
      <c r="AB761" s="901"/>
      <c r="AC761" s="1611">
        <f>BH761</f>
        <v>0.59946808510638294</v>
      </c>
      <c r="AD761" s="1612"/>
      <c r="AE761" s="1612"/>
      <c r="AF761" s="1612"/>
      <c r="AG761" s="1613"/>
      <c r="AH761" s="1611">
        <f>IFERROR(BU761,"")</f>
        <v>0.59946808510638305</v>
      </c>
      <c r="AI761" s="1612"/>
      <c r="AJ761" s="1613"/>
      <c r="AK761"/>
      <c r="AL761"/>
      <c r="AM761"/>
      <c r="AN761"/>
      <c r="AO761"/>
      <c r="AP761" s="205"/>
      <c r="AQ761" s="205"/>
      <c r="AR761" s="205"/>
      <c r="AS761" s="205"/>
      <c r="AT761"/>
      <c r="AU761"/>
      <c r="AV761"/>
      <c r="AW761"/>
      <c r="AX761"/>
      <c r="AY761"/>
      <c r="AZ761" s="34"/>
      <c r="BA761" s="34"/>
      <c r="BB761" s="34"/>
      <c r="BC761" s="34"/>
      <c r="BE761" s="290" t="s">
        <v>899</v>
      </c>
      <c r="BF761" s="299">
        <f>SUM(BF726:BF760)</f>
        <v>188</v>
      </c>
      <c r="BG761" s="300">
        <f>SUM(BG726:BG760)</f>
        <v>1</v>
      </c>
      <c r="BH761" s="300">
        <f>SUM(BH726:BH760)</f>
        <v>0.59946808510638294</v>
      </c>
      <c r="BI761"/>
      <c r="BJ761"/>
      <c r="BK761"/>
      <c r="BL761"/>
      <c r="BO761"/>
      <c r="BP761"/>
      <c r="BQ761"/>
      <c r="BR761"/>
      <c r="BS761" s="855">
        <f>SUM(BS726:BS760)</f>
        <v>188</v>
      </c>
      <c r="BT761" s="300">
        <f>SUM(BT726:BT760)</f>
        <v>1</v>
      </c>
      <c r="BU761" s="300">
        <f>SUM(BU726:BU760)</f>
        <v>0.59946808510638305</v>
      </c>
      <c r="CI761" s="1359">
        <f>SUM(CI726:CJ760)</f>
        <v>19</v>
      </c>
      <c r="CJ761" s="1361"/>
      <c r="CM761" s="1359">
        <f>SUM(CM726:CN760)</f>
        <v>20</v>
      </c>
      <c r="CN761" s="1361"/>
      <c r="CP761" s="1359">
        <f>SUM(CP726:CT760)</f>
        <v>16</v>
      </c>
      <c r="CQ761" s="1360"/>
      <c r="CR761" s="1360"/>
      <c r="CS761" s="1360"/>
      <c r="CT761" s="1361"/>
      <c r="CU761" s="1365">
        <f>SUM(CU726:CY760)</f>
        <v>166</v>
      </c>
      <c r="CV761" s="1365"/>
      <c r="CW761" s="1365"/>
      <c r="CX761" s="1365"/>
      <c r="CY761" s="1365"/>
      <c r="CZ761" s="1365">
        <f>SUM(CZ726:DD760)</f>
        <v>6</v>
      </c>
      <c r="DA761" s="1365"/>
      <c r="DB761" s="1365"/>
      <c r="DC761" s="1365"/>
      <c r="DD761" s="1365"/>
      <c r="DE761" s="1365">
        <f>SUM(DE726:DI760)</f>
        <v>0</v>
      </c>
      <c r="DF761" s="1365"/>
      <c r="DG761" s="1365"/>
      <c r="DH761" s="1365"/>
      <c r="DI761" s="1365"/>
      <c r="DJ761" s="1365">
        <f>SUM(DJ726:DN760)</f>
        <v>0</v>
      </c>
      <c r="DK761" s="1365"/>
      <c r="DL761" s="1365"/>
      <c r="DM761" s="1365"/>
      <c r="DN761" s="1365"/>
      <c r="DO761" s="1365">
        <f>SUM(DO726:DS760)</f>
        <v>0</v>
      </c>
      <c r="DP761" s="1365"/>
      <c r="DQ761" s="1365"/>
      <c r="DR761" s="1365"/>
      <c r="DS761" s="1365"/>
      <c r="DT761" s="354"/>
      <c r="DU761" s="1365">
        <f>SUM(DU726:DY760)</f>
        <v>2</v>
      </c>
      <c r="DV761" s="1365"/>
      <c r="DW761" s="1365"/>
      <c r="DX761" s="1365"/>
      <c r="DY761" s="1365"/>
      <c r="DZ761" s="1365">
        <f>SUM(DZ726:ED760)</f>
        <v>17</v>
      </c>
      <c r="EA761" s="1365"/>
      <c r="EB761" s="1365"/>
      <c r="EC761" s="1365"/>
      <c r="ED761" s="1365"/>
      <c r="EE761" s="1365">
        <f>SUM(EE726:EI760)</f>
        <v>1</v>
      </c>
      <c r="EF761" s="1365"/>
      <c r="EG761" s="1365"/>
      <c r="EH761" s="1365"/>
      <c r="EI761" s="1365"/>
      <c r="EJ761" s="1365">
        <f>SUM(EJ726:EN760)</f>
        <v>0</v>
      </c>
      <c r="EK761" s="1365"/>
      <c r="EL761" s="1365"/>
      <c r="EM761" s="1365"/>
      <c r="EN761" s="1365"/>
      <c r="EO761" s="1365">
        <f>SUM(EO726:ES760)</f>
        <v>0</v>
      </c>
      <c r="EP761" s="1365"/>
      <c r="EQ761" s="1365"/>
      <c r="ER761" s="1365"/>
      <c r="ES761" s="1365"/>
      <c r="ET761" s="1365">
        <f>SUM(ET726:EX760)</f>
        <v>0</v>
      </c>
      <c r="EU761" s="1365"/>
      <c r="EV761" s="1365"/>
      <c r="EW761" s="1365"/>
      <c r="EX761" s="1365"/>
      <c r="EY761"/>
      <c r="EZ761" s="1365">
        <f>SUM(EZ726:FD760)</f>
        <v>5948.2000000000007</v>
      </c>
      <c r="FA761" s="1365"/>
      <c r="FB761" s="1365"/>
      <c r="FC761" s="1365"/>
      <c r="FD761" s="1365"/>
      <c r="FE761" s="1365">
        <f>SUM(FE726:FI760)</f>
        <v>6329.2000000000007</v>
      </c>
      <c r="FF761" s="1365"/>
      <c r="FG761" s="1365"/>
      <c r="FH761" s="1365"/>
      <c r="FI761" s="1365"/>
      <c r="FJ761" s="1365">
        <f>SUM(FJ726:FN760)</f>
        <v>5741.5999999999995</v>
      </c>
      <c r="FK761" s="1365"/>
      <c r="FL761" s="1365"/>
      <c r="FM761" s="1365"/>
      <c r="FN761" s="1365"/>
      <c r="FO761" s="1365">
        <f>SUM(FO726:FS760)</f>
        <v>0</v>
      </c>
      <c r="FP761" s="1365"/>
      <c r="FQ761" s="1365"/>
      <c r="FR761" s="1365"/>
      <c r="FS761" s="1365"/>
      <c r="FT761" s="1365">
        <f>SUM(FT726:FX760)</f>
        <v>0</v>
      </c>
      <c r="FU761" s="1365"/>
      <c r="FV761" s="1365"/>
      <c r="FW761" s="1365"/>
      <c r="FX761" s="1365"/>
      <c r="FY761" s="1365">
        <f>SUM(FY726:GC760)</f>
        <v>0</v>
      </c>
      <c r="FZ761" s="1365"/>
      <c r="GA761" s="1365"/>
      <c r="GB761" s="1365"/>
      <c r="GC761" s="1365"/>
    </row>
    <row r="762" spans="1:185" s="3" customFormat="1" ht="12.95" customHeight="1">
      <c r="A762"/>
      <c r="B762" s="1618" t="s">
        <v>1867</v>
      </c>
      <c r="C762" s="1618"/>
      <c r="D762" s="1618"/>
      <c r="E762" s="1618"/>
      <c r="F762" s="1618"/>
      <c r="G762" s="1618"/>
      <c r="H762" s="1618"/>
      <c r="I762" s="1618"/>
      <c r="J762" s="1618"/>
      <c r="K762" s="1618"/>
      <c r="L762" s="1618"/>
      <c r="M762" s="1618"/>
      <c r="N762" s="1618"/>
      <c r="O762" s="1618"/>
      <c r="P762" s="1618"/>
      <c r="Q762" s="1618"/>
      <c r="R762" s="1618"/>
      <c r="S762" s="1618"/>
      <c r="T762" s="1618"/>
      <c r="U762" s="1618"/>
      <c r="V762" s="1618"/>
      <c r="W762" s="1618"/>
      <c r="X762" s="1618"/>
      <c r="Y762" s="1618"/>
      <c r="Z762" s="1618"/>
      <c r="AA762" s="1618"/>
      <c r="AB762" s="1618"/>
      <c r="AC762" s="1618"/>
      <c r="AD762" s="1618"/>
      <c r="AE762" s="1618"/>
      <c r="AF762" s="1618"/>
      <c r="AG762" s="1618"/>
      <c r="AH762" s="1618"/>
      <c r="AI762"/>
      <c r="AJ762"/>
      <c r="AK762"/>
      <c r="AT762"/>
      <c r="AU762"/>
      <c r="AV762"/>
      <c r="AW762"/>
      <c r="AX762"/>
      <c r="AY762"/>
      <c r="CD762"/>
      <c r="DN762" s="56" t="s">
        <v>1835</v>
      </c>
      <c r="DO762" s="1359">
        <f>CP761+CU761+CZ761+DE761+DJ761+DO761</f>
        <v>188</v>
      </c>
      <c r="DP762" s="1360"/>
      <c r="DQ762" s="1360"/>
      <c r="DR762" s="1360"/>
      <c r="DS762" s="1361"/>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618"/>
      <c r="C763" s="1618"/>
      <c r="D763" s="1618"/>
      <c r="E763" s="1618"/>
      <c r="F763" s="1618"/>
      <c r="G763" s="1618"/>
      <c r="H763" s="1618"/>
      <c r="I763" s="1618"/>
      <c r="J763" s="1618"/>
      <c r="K763" s="1618"/>
      <c r="L763" s="1618"/>
      <c r="M763" s="1618"/>
      <c r="N763" s="1618"/>
      <c r="O763" s="1618"/>
      <c r="P763" s="1618"/>
      <c r="Q763" s="1618"/>
      <c r="R763" s="1618"/>
      <c r="S763" s="1618"/>
      <c r="T763" s="1618"/>
      <c r="U763" s="1618"/>
      <c r="V763" s="1618"/>
      <c r="W763" s="1618"/>
      <c r="X763" s="1618"/>
      <c r="Y763" s="1618"/>
      <c r="Z763" s="1618"/>
      <c r="AA763" s="1618"/>
      <c r="AB763" s="1618"/>
      <c r="AC763" s="1618"/>
      <c r="AD763" s="1618"/>
      <c r="AE763" s="1618"/>
      <c r="AF763" s="1618"/>
      <c r="AG763" s="1618"/>
      <c r="AH763" s="1618"/>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16</v>
      </c>
      <c r="CU763" s="3"/>
      <c r="CV763" s="3"/>
      <c r="CW763" s="3"/>
      <c r="CX763" s="3"/>
      <c r="CY763" s="857">
        <f>CU761*1</f>
        <v>166</v>
      </c>
      <c r="CZ763" s="3"/>
      <c r="DA763" s="3"/>
      <c r="DB763" s="3"/>
      <c r="DC763" s="3"/>
      <c r="DD763" s="857">
        <f>CZ761*2</f>
        <v>12</v>
      </c>
      <c r="DE763" s="3"/>
      <c r="DF763" s="3"/>
      <c r="DG763" s="3"/>
      <c r="DH763" s="3"/>
      <c r="DI763" s="857">
        <f>DE761*3</f>
        <v>0</v>
      </c>
      <c r="DJ763" s="3"/>
      <c r="DK763" s="3"/>
      <c r="DL763" s="3"/>
      <c r="DM763" s="3"/>
      <c r="DN763" s="857">
        <f>DJ761*4</f>
        <v>0</v>
      </c>
      <c r="DO763" s="3"/>
      <c r="DP763" s="3"/>
      <c r="DQ763" s="3"/>
      <c r="DR763" s="3"/>
      <c r="DS763" s="857">
        <f>DO761*5</f>
        <v>0</v>
      </c>
      <c r="DU763" s="857">
        <f>CT763+CY763+DD763+DI763+DN763+DS763</f>
        <v>194</v>
      </c>
      <c r="DV763" s="57" t="s">
        <v>1837</v>
      </c>
      <c r="DW763" s="3"/>
      <c r="DX763" s="3"/>
      <c r="DY763" s="3"/>
      <c r="DZ763" s="3"/>
      <c r="EA763" s="3"/>
      <c r="EB763" s="3"/>
      <c r="EC763" s="3"/>
      <c r="ED763" s="3"/>
      <c r="EE763" s="3"/>
      <c r="EF763" s="3"/>
      <c r="EG763" s="3"/>
      <c r="EH763" s="3"/>
    </row>
    <row r="764" spans="1:185" ht="12.95" customHeight="1">
      <c r="A764" s="3"/>
      <c r="B764" s="3"/>
      <c r="C764" s="118" t="s">
        <v>1865</v>
      </c>
      <c r="D764" s="1027"/>
      <c r="E764" s="1027"/>
      <c r="F764" s="1027"/>
      <c r="G764" s="1028"/>
      <c r="H764" s="1028"/>
      <c r="I764" s="1028"/>
      <c r="J764" s="1028"/>
      <c r="K764" s="1027"/>
      <c r="L764" s="1027"/>
      <c r="M764" s="1027"/>
      <c r="N764" s="1027"/>
      <c r="O764" s="1365">
        <f>DU763</f>
        <v>194</v>
      </c>
      <c r="P764" s="1365"/>
      <c r="Q764" s="1365"/>
      <c r="R764" s="1365"/>
      <c r="S764" s="965"/>
      <c r="T764" s="965"/>
      <c r="U764" s="118" t="s">
        <v>1866</v>
      </c>
      <c r="V764" s="1027"/>
      <c r="W764" s="1027"/>
      <c r="X764" s="1027"/>
      <c r="Y764" s="1028"/>
      <c r="Z764" s="1028"/>
      <c r="AA764" s="1028"/>
      <c r="AB764" s="1028"/>
      <c r="AC764" s="1027"/>
      <c r="AD764" s="1027"/>
      <c r="AE764" s="1027"/>
      <c r="AF764" s="1027"/>
      <c r="AG764" s="1845"/>
      <c r="AH764" s="1845"/>
      <c r="AI764" s="1845"/>
      <c r="AJ764" s="1845"/>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863" t="str">
        <f>IF(G761&lt;&gt;AG449,"! Total Low-Income Units in the Unit Mix Table above does not match the number of Total Low-Income Units on row #"&amp;TEXT(ROW(D449),"#"),"")</f>
        <v/>
      </c>
      <c r="D765" s="1863"/>
      <c r="E765" s="1863"/>
      <c r="F765" s="1863"/>
      <c r="G765" s="1863"/>
      <c r="H765" s="1863"/>
      <c r="I765" s="1863"/>
      <c r="J765" s="1863"/>
      <c r="K765" s="1863"/>
      <c r="L765" s="1863"/>
      <c r="M765" s="1863"/>
      <c r="N765" s="1863"/>
      <c r="O765" s="1863"/>
      <c r="P765" s="1863"/>
      <c r="Q765" s="1863"/>
      <c r="R765" s="1863"/>
      <c r="S765" s="1863"/>
      <c r="T765" s="1863"/>
      <c r="U765" s="1863"/>
      <c r="V765" s="1863"/>
      <c r="W765" s="1863"/>
      <c r="X765" s="1863"/>
      <c r="Y765" s="1863"/>
      <c r="Z765" s="1863"/>
      <c r="AA765" s="1863"/>
      <c r="AB765" s="1863"/>
      <c r="AC765" s="1863"/>
      <c r="AD765" s="1863"/>
      <c r="AE765" s="1863"/>
      <c r="AF765" s="1863"/>
      <c r="AG765" s="1863"/>
      <c r="AH765" s="1863"/>
      <c r="AI765" s="1863"/>
      <c r="AJ765" s="1863"/>
      <c r="AK765" s="1863"/>
      <c r="AL765" s="1863"/>
      <c r="AM765" s="1863"/>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863"/>
      <c r="D766" s="1863"/>
      <c r="E766" s="1863"/>
      <c r="F766" s="1863"/>
      <c r="G766" s="1863"/>
      <c r="H766" s="1863"/>
      <c r="I766" s="1863"/>
      <c r="J766" s="1863"/>
      <c r="K766" s="1863"/>
      <c r="L766" s="1863"/>
      <c r="M766" s="1863"/>
      <c r="N766" s="1863"/>
      <c r="O766" s="1863"/>
      <c r="P766" s="1863"/>
      <c r="Q766" s="1863"/>
      <c r="R766" s="1863"/>
      <c r="S766" s="1863"/>
      <c r="T766" s="1863"/>
      <c r="U766" s="1863"/>
      <c r="V766" s="1863"/>
      <c r="W766" s="1863"/>
      <c r="X766" s="1863"/>
      <c r="Y766" s="1863"/>
      <c r="Z766" s="1863"/>
      <c r="AA766" s="1863"/>
      <c r="AB766" s="1863"/>
      <c r="AC766" s="1863"/>
      <c r="AD766" s="1863"/>
      <c r="AE766" s="1863"/>
      <c r="AF766" s="1863"/>
      <c r="AG766" s="1863"/>
      <c r="AH766" s="1863"/>
      <c r="AI766" s="1863"/>
      <c r="AJ766" s="1863"/>
      <c r="AK766" s="1863"/>
      <c r="AL766" s="1863"/>
      <c r="AM766" s="1863"/>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1864</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719" t="s">
        <v>591</v>
      </c>
      <c r="AE767" s="1719"/>
      <c r="AF767" s="1719"/>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2045</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272" t="s">
        <v>2046</v>
      </c>
      <c r="D771" s="1272"/>
      <c r="E771" s="1272"/>
      <c r="F771" s="1272"/>
      <c r="G771" s="1272"/>
      <c r="H771" s="1272"/>
      <c r="I771" s="1272"/>
      <c r="J771" s="1272"/>
      <c r="K771" s="1272"/>
      <c r="L771" s="1272"/>
      <c r="M771" s="1272"/>
      <c r="N771" s="1272"/>
      <c r="O771" s="1272"/>
      <c r="P771" s="1272"/>
      <c r="Q771" s="1272"/>
      <c r="R771" s="1272"/>
      <c r="S771" s="1272"/>
      <c r="T771" s="1272"/>
      <c r="U771" s="1272"/>
      <c r="V771" s="1272"/>
      <c r="W771" s="1272"/>
      <c r="X771" s="1272"/>
      <c r="Y771" s="1272"/>
      <c r="Z771" s="1272"/>
      <c r="AA771" s="1272"/>
      <c r="AB771" s="1272"/>
      <c r="AC771" s="1272"/>
      <c r="AD771" s="1272"/>
      <c r="AE771" s="1272"/>
      <c r="AF771" s="1272"/>
      <c r="AG771" s="1272"/>
      <c r="AH771" s="1272"/>
      <c r="AI771" s="1272"/>
      <c r="AJ771" s="1272"/>
      <c r="AK771" s="1272"/>
      <c r="AL771" s="1272"/>
      <c r="AM771" s="1272"/>
      <c r="AN771" s="1272"/>
      <c r="AO771" s="1272"/>
      <c r="AP771" s="1272"/>
      <c r="AQ771" s="1272"/>
      <c r="AR771" s="1272"/>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272"/>
      <c r="D772" s="1272"/>
      <c r="E772" s="1272"/>
      <c r="F772" s="1272"/>
      <c r="G772" s="1272"/>
      <c r="H772" s="1272"/>
      <c r="I772" s="1272"/>
      <c r="J772" s="1272"/>
      <c r="K772" s="1272"/>
      <c r="L772" s="1272"/>
      <c r="M772" s="1272"/>
      <c r="N772" s="1272"/>
      <c r="O772" s="1272"/>
      <c r="P772" s="1272"/>
      <c r="Q772" s="1272"/>
      <c r="R772" s="1272"/>
      <c r="S772" s="1272"/>
      <c r="T772" s="1272"/>
      <c r="U772" s="1272"/>
      <c r="V772" s="1272"/>
      <c r="W772" s="1272"/>
      <c r="X772" s="1272"/>
      <c r="Y772" s="1272"/>
      <c r="Z772" s="1272"/>
      <c r="AA772" s="1272"/>
      <c r="AB772" s="1272"/>
      <c r="AC772" s="1272"/>
      <c r="AD772" s="1272"/>
      <c r="AE772" s="1272"/>
      <c r="AF772" s="1272"/>
      <c r="AG772" s="1272"/>
      <c r="AH772" s="1272"/>
      <c r="AI772" s="1272"/>
      <c r="AJ772" s="1272"/>
      <c r="AK772" s="1272"/>
      <c r="AL772" s="1272"/>
      <c r="AM772" s="1272"/>
      <c r="AN772" s="1272"/>
      <c r="AO772" s="1272"/>
      <c r="AP772" s="1272"/>
      <c r="AQ772" s="1272"/>
      <c r="AR772" s="1272"/>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272"/>
      <c r="D773" s="1272"/>
      <c r="E773" s="1272"/>
      <c r="F773" s="1272"/>
      <c r="G773" s="1272"/>
      <c r="H773" s="1272"/>
      <c r="I773" s="1272"/>
      <c r="J773" s="1272"/>
      <c r="K773" s="1272"/>
      <c r="L773" s="1272"/>
      <c r="M773" s="1272"/>
      <c r="N773" s="1272"/>
      <c r="O773" s="1272"/>
      <c r="P773" s="1272"/>
      <c r="Q773" s="1272"/>
      <c r="R773" s="1272"/>
      <c r="S773" s="1272"/>
      <c r="T773" s="1272"/>
      <c r="U773" s="1272"/>
      <c r="V773" s="1272"/>
      <c r="W773" s="1272"/>
      <c r="X773" s="1272"/>
      <c r="Y773" s="1272"/>
      <c r="Z773" s="1272"/>
      <c r="AA773" s="1272"/>
      <c r="AB773" s="1272"/>
      <c r="AC773" s="1272"/>
      <c r="AD773" s="1272"/>
      <c r="AE773" s="1272"/>
      <c r="AF773" s="1272"/>
      <c r="AG773" s="1272"/>
      <c r="AH773" s="1272"/>
      <c r="AI773" s="1272"/>
      <c r="AJ773" s="1272"/>
      <c r="AK773" s="1272"/>
      <c r="AL773" s="1272"/>
      <c r="AM773" s="1272"/>
      <c r="AN773" s="1272"/>
      <c r="AO773" s="1272"/>
      <c r="AP773" s="1272"/>
      <c r="AQ773" s="1272"/>
      <c r="AR773" s="1272"/>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272" t="s">
        <v>2047</v>
      </c>
      <c r="D774" s="1272"/>
      <c r="E774" s="1272"/>
      <c r="F774" s="1272"/>
      <c r="G774" s="1272"/>
      <c r="H774" s="1272"/>
      <c r="I774" s="1272"/>
      <c r="J774" s="1272"/>
      <c r="K774" s="1272"/>
      <c r="L774" s="1272"/>
      <c r="M774" s="1272"/>
      <c r="N774" s="1272"/>
      <c r="O774" s="1272"/>
      <c r="P774" s="1272"/>
      <c r="Q774" s="1272"/>
      <c r="R774" s="1272"/>
      <c r="S774" s="1272"/>
      <c r="T774" s="1272"/>
      <c r="U774" s="1272"/>
      <c r="V774" s="1272"/>
      <c r="W774" s="1272"/>
      <c r="X774" s="1272"/>
      <c r="Y774" s="1272"/>
      <c r="Z774" s="1272"/>
      <c r="AA774" s="1272"/>
      <c r="AB774" s="1272"/>
      <c r="AC774" s="1272"/>
      <c r="AD774" s="1272"/>
      <c r="AE774" s="1272"/>
      <c r="AF774" s="1272"/>
      <c r="AG774" s="1272"/>
      <c r="AH774" s="1272"/>
      <c r="AI774" s="1272"/>
      <c r="AJ774" s="1272"/>
      <c r="AK774" s="1272"/>
      <c r="AL774" s="1272"/>
      <c r="AM774" s="1272"/>
      <c r="AN774" s="1272"/>
      <c r="AO774" s="1272"/>
      <c r="AP774" s="1272"/>
      <c r="AQ774" s="1272"/>
      <c r="AR774" s="1272"/>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272"/>
      <c r="D775" s="1272"/>
      <c r="E775" s="1272"/>
      <c r="F775" s="1272"/>
      <c r="G775" s="1272"/>
      <c r="H775" s="1272"/>
      <c r="I775" s="1272"/>
      <c r="J775" s="1272"/>
      <c r="K775" s="1272"/>
      <c r="L775" s="1272"/>
      <c r="M775" s="1272"/>
      <c r="N775" s="1272"/>
      <c r="O775" s="1272"/>
      <c r="P775" s="1272"/>
      <c r="Q775" s="1272"/>
      <c r="R775" s="1272"/>
      <c r="S775" s="1272"/>
      <c r="T775" s="1272"/>
      <c r="U775" s="1272"/>
      <c r="V775" s="1272"/>
      <c r="W775" s="1272"/>
      <c r="X775" s="1272"/>
      <c r="Y775" s="1272"/>
      <c r="Z775" s="1272"/>
      <c r="AA775" s="1272"/>
      <c r="AB775" s="1272"/>
      <c r="AC775" s="1272"/>
      <c r="AD775" s="1272"/>
      <c r="AE775" s="1272"/>
      <c r="AF775" s="1272"/>
      <c r="AG775" s="1272"/>
      <c r="AH775" s="1272"/>
      <c r="AI775" s="1272"/>
      <c r="AJ775" s="1272"/>
      <c r="AK775" s="1272"/>
      <c r="AL775" s="1272"/>
      <c r="AM775" s="1272"/>
      <c r="AN775" s="1272"/>
      <c r="AO775" s="1272"/>
      <c r="AP775" s="1272"/>
      <c r="AQ775" s="1272"/>
      <c r="AR775" s="1272"/>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272"/>
      <c r="D776" s="1272"/>
      <c r="E776" s="1272"/>
      <c r="F776" s="1272"/>
      <c r="G776" s="1272"/>
      <c r="H776" s="1272"/>
      <c r="I776" s="1272"/>
      <c r="J776" s="1272"/>
      <c r="K776" s="1272"/>
      <c r="L776" s="1272"/>
      <c r="M776" s="1272"/>
      <c r="N776" s="1272"/>
      <c r="O776" s="1272"/>
      <c r="P776" s="1272"/>
      <c r="Q776" s="1272"/>
      <c r="R776" s="1272"/>
      <c r="S776" s="1272"/>
      <c r="T776" s="1272"/>
      <c r="U776" s="1272"/>
      <c r="V776" s="1272"/>
      <c r="W776" s="1272"/>
      <c r="X776" s="1272"/>
      <c r="Y776" s="1272"/>
      <c r="Z776" s="1272"/>
      <c r="AA776" s="1272"/>
      <c r="AB776" s="1272"/>
      <c r="AC776" s="1272"/>
      <c r="AD776" s="1272"/>
      <c r="AE776" s="1272"/>
      <c r="AF776" s="1272"/>
      <c r="AG776" s="1272"/>
      <c r="AH776" s="1272"/>
      <c r="AI776" s="1272"/>
      <c r="AJ776" s="1272"/>
      <c r="AK776" s="1272"/>
      <c r="AL776" s="1272"/>
      <c r="AM776" s="1272"/>
      <c r="AN776" s="1272"/>
      <c r="AO776" s="1272"/>
      <c r="AP776" s="1272"/>
      <c r="AQ776" s="1272"/>
      <c r="AR776" s="1272"/>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598" t="s">
        <v>389</v>
      </c>
      <c r="K777" s="1372"/>
      <c r="L777" s="1372"/>
      <c r="M777" s="1372"/>
      <c r="N777" s="1373"/>
      <c r="O777" s="1615" t="s">
        <v>285</v>
      </c>
      <c r="P777" s="1615"/>
      <c r="Q777" s="1615"/>
      <c r="R777" s="1615"/>
      <c r="S777" s="1615"/>
      <c r="T777" s="1599" t="s">
        <v>1668</v>
      </c>
      <c r="U777" s="1600"/>
      <c r="V777" s="1600"/>
      <c r="W777" s="1601"/>
      <c r="X777" s="1598" t="s">
        <v>447</v>
      </c>
      <c r="Y777" s="1372"/>
      <c r="Z777" s="1372"/>
      <c r="AA777" s="1372"/>
      <c r="AB777" s="1373"/>
      <c r="AC777" s="1598" t="s">
        <v>286</v>
      </c>
      <c r="AD777" s="1372"/>
      <c r="AE777" s="1372"/>
      <c r="AF777" s="1372"/>
      <c r="AG777" s="1373"/>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374"/>
      <c r="K778" s="1375"/>
      <c r="L778" s="1375"/>
      <c r="M778" s="1375"/>
      <c r="N778" s="1376"/>
      <c r="O778" s="1615"/>
      <c r="P778" s="1615"/>
      <c r="Q778" s="1615"/>
      <c r="R778" s="1615"/>
      <c r="S778" s="1615"/>
      <c r="T778" s="1602"/>
      <c r="U778" s="1603"/>
      <c r="V778" s="1603"/>
      <c r="W778" s="1604"/>
      <c r="X778" s="1374"/>
      <c r="Y778" s="1375"/>
      <c r="Z778" s="1375"/>
      <c r="AA778" s="1375"/>
      <c r="AB778" s="1376"/>
      <c r="AC778" s="1374"/>
      <c r="AD778" s="1375"/>
      <c r="AE778" s="1375"/>
      <c r="AF778" s="1375"/>
      <c r="AG778" s="1376"/>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374"/>
      <c r="K779" s="1375"/>
      <c r="L779" s="1375"/>
      <c r="M779" s="1375"/>
      <c r="N779" s="1376"/>
      <c r="O779" s="1615"/>
      <c r="P779" s="1615"/>
      <c r="Q779" s="1615"/>
      <c r="R779" s="1615"/>
      <c r="S779" s="1615"/>
      <c r="T779" s="1602"/>
      <c r="U779" s="1603"/>
      <c r="V779" s="1603"/>
      <c r="W779" s="1604"/>
      <c r="X779" s="1374"/>
      <c r="Y779" s="1375"/>
      <c r="Z779" s="1375"/>
      <c r="AA779" s="1375"/>
      <c r="AB779" s="1376"/>
      <c r="AC779" s="1374"/>
      <c r="AD779" s="1375"/>
      <c r="AE779" s="1375"/>
      <c r="AF779" s="1375"/>
      <c r="AG779" s="1376"/>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377"/>
      <c r="K780" s="1378"/>
      <c r="L780" s="1378"/>
      <c r="M780" s="1378"/>
      <c r="N780" s="1379"/>
      <c r="O780" s="1615"/>
      <c r="P780" s="1615"/>
      <c r="Q780" s="1615"/>
      <c r="R780" s="1615"/>
      <c r="S780" s="1615"/>
      <c r="T780" s="1605"/>
      <c r="U780" s="1606"/>
      <c r="V780" s="1606"/>
      <c r="W780" s="1607"/>
      <c r="X780" s="1377"/>
      <c r="Y780" s="1378"/>
      <c r="Z780" s="1378"/>
      <c r="AA780" s="1378"/>
      <c r="AB780" s="1379"/>
      <c r="AC780" s="1377"/>
      <c r="AD780" s="1378"/>
      <c r="AE780" s="1378"/>
      <c r="AF780" s="1378"/>
      <c r="AG780" s="1379"/>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362" t="s">
        <v>325</v>
      </c>
      <c r="K781" s="1363"/>
      <c r="L781" s="1363"/>
      <c r="M781" s="1363"/>
      <c r="N781" s="1364"/>
      <c r="O781" s="1515">
        <v>2</v>
      </c>
      <c r="P781" s="1515"/>
      <c r="Q781" s="1515"/>
      <c r="R781" s="1515"/>
      <c r="S781" s="1515"/>
      <c r="T781" s="1591">
        <v>537</v>
      </c>
      <c r="U781" s="1592"/>
      <c r="V781" s="1592"/>
      <c r="W781" s="1593"/>
      <c r="X781" s="1482">
        <v>2330</v>
      </c>
      <c r="Y781" s="1483"/>
      <c r="Z781" s="1483"/>
      <c r="AA781" s="1483"/>
      <c r="AB781" s="1484"/>
      <c r="AC781" s="1404">
        <f>X781*O781</f>
        <v>4660</v>
      </c>
      <c r="AD781" s="1405"/>
      <c r="AE781" s="1405"/>
      <c r="AF781" s="1405"/>
      <c r="AG781" s="1406"/>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39">
        <f>IF(J781="SRO/Studio",O781,0)</f>
        <v>0</v>
      </c>
      <c r="CQ781" s="1340"/>
      <c r="CR781" s="1340"/>
      <c r="CS781" s="1340"/>
      <c r="CT781" s="1341"/>
      <c r="CU781" s="1347">
        <f>IF(J781="1 Bedroom",O781,0)</f>
        <v>2</v>
      </c>
      <c r="CV781" s="1347"/>
      <c r="CW781" s="1347"/>
      <c r="CX781" s="1347"/>
      <c r="CY781" s="1347"/>
      <c r="CZ781" s="1347">
        <f>IF(J781="2 Bedrooms",O781,0)</f>
        <v>0</v>
      </c>
      <c r="DA781" s="1347"/>
      <c r="DB781" s="1347"/>
      <c r="DC781" s="1347"/>
      <c r="DD781" s="1347"/>
      <c r="DE781" s="1347">
        <f>IF(J781="3 Bedrooms",O781,0)</f>
        <v>0</v>
      </c>
      <c r="DF781" s="1347"/>
      <c r="DG781" s="1347"/>
      <c r="DH781" s="1347"/>
      <c r="DI781" s="1347"/>
      <c r="DJ781" s="1347">
        <f>IF(J781="4 Bedrooms",O781,0)</f>
        <v>0</v>
      </c>
      <c r="DK781" s="1347"/>
      <c r="DL781" s="1347"/>
      <c r="DM781" s="1347"/>
      <c r="DN781" s="1347"/>
      <c r="DO781" s="1347">
        <f>IF(J781="5 Bedrooms",O781,0)</f>
        <v>0</v>
      </c>
      <c r="DP781" s="1347"/>
      <c r="DQ781" s="1347"/>
      <c r="DR781" s="1347"/>
      <c r="DS781" s="1347"/>
      <c r="DT781" s="6"/>
      <c r="DU781" s="3"/>
      <c r="DV781" s="3"/>
    </row>
    <row r="782" spans="1:159" ht="12.95" customHeight="1">
      <c r="J782" s="1362"/>
      <c r="K782" s="1363"/>
      <c r="L782" s="1363"/>
      <c r="M782" s="1363"/>
      <c r="N782" s="1364"/>
      <c r="O782" s="1515"/>
      <c r="P782" s="1515"/>
      <c r="Q782" s="1515"/>
      <c r="R782" s="1515"/>
      <c r="S782" s="1515"/>
      <c r="T782" s="1591"/>
      <c r="U782" s="1592"/>
      <c r="V782" s="1592"/>
      <c r="W782" s="1593"/>
      <c r="X782" s="1482"/>
      <c r="Y782" s="1483"/>
      <c r="Z782" s="1483"/>
      <c r="AA782" s="1483"/>
      <c r="AB782" s="1484"/>
      <c r="AC782" s="1404">
        <f>X782*O782</f>
        <v>0</v>
      </c>
      <c r="AD782" s="1405"/>
      <c r="AE782" s="1405"/>
      <c r="AF782" s="1405"/>
      <c r="AG782" s="1406"/>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39">
        <f>IF(J782="SRO/Studio",O782,0)</f>
        <v>0</v>
      </c>
      <c r="CQ782" s="1340"/>
      <c r="CR782" s="1340"/>
      <c r="CS782" s="1340"/>
      <c r="CT782" s="1341"/>
      <c r="CU782" s="1347">
        <f>IF(J782="1 Bedroom",O782,0)</f>
        <v>0</v>
      </c>
      <c r="CV782" s="1347"/>
      <c r="CW782" s="1347"/>
      <c r="CX782" s="1347"/>
      <c r="CY782" s="1347"/>
      <c r="CZ782" s="1347">
        <f>IF(J782="2 Bedrooms",O782,0)</f>
        <v>0</v>
      </c>
      <c r="DA782" s="1347"/>
      <c r="DB782" s="1347"/>
      <c r="DC782" s="1347"/>
      <c r="DD782" s="1347"/>
      <c r="DE782" s="1347">
        <f>IF(J782="3 Bedrooms",O782,0)</f>
        <v>0</v>
      </c>
      <c r="DF782" s="1347"/>
      <c r="DG782" s="1347"/>
      <c r="DH782" s="1347"/>
      <c r="DI782" s="1347"/>
      <c r="DJ782" s="1347">
        <f>IF(J782="4 Bedrooms",O782,0)</f>
        <v>0</v>
      </c>
      <c r="DK782" s="1347"/>
      <c r="DL782" s="1347"/>
      <c r="DM782" s="1347"/>
      <c r="DN782" s="1347"/>
      <c r="DO782" s="1347">
        <f>IF(J782="5 Bedrooms",O782,0)</f>
        <v>0</v>
      </c>
      <c r="DP782" s="1347"/>
      <c r="DQ782" s="1347"/>
      <c r="DR782" s="1347"/>
      <c r="DS782" s="1347"/>
      <c r="DT782" s="6"/>
      <c r="DU782" s="3"/>
      <c r="DV782" s="3"/>
    </row>
    <row r="783" spans="1:159" ht="12.95" customHeight="1">
      <c r="J783" s="1362"/>
      <c r="K783" s="1363"/>
      <c r="L783" s="1363"/>
      <c r="M783" s="1363"/>
      <c r="N783" s="1364"/>
      <c r="O783" s="1515"/>
      <c r="P783" s="1515"/>
      <c r="Q783" s="1515"/>
      <c r="R783" s="1515"/>
      <c r="S783" s="1515"/>
      <c r="T783" s="1591"/>
      <c r="U783" s="1592"/>
      <c r="V783" s="1592"/>
      <c r="W783" s="1593"/>
      <c r="X783" s="1482"/>
      <c r="Y783" s="1483"/>
      <c r="Z783" s="1483"/>
      <c r="AA783" s="1483"/>
      <c r="AB783" s="1484"/>
      <c r="AC783" s="1404">
        <f>X783*O783</f>
        <v>0</v>
      </c>
      <c r="AD783" s="1405"/>
      <c r="AE783" s="1405"/>
      <c r="AF783" s="1405"/>
      <c r="AG783" s="1406"/>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39">
        <f>IF(J783="SRO/Studio",O783,0)</f>
        <v>0</v>
      </c>
      <c r="CQ783" s="1340"/>
      <c r="CR783" s="1340"/>
      <c r="CS783" s="1340"/>
      <c r="CT783" s="1341"/>
      <c r="CU783" s="1347">
        <f>IF(J783="1 Bedroom",O783,0)</f>
        <v>0</v>
      </c>
      <c r="CV783" s="1347"/>
      <c r="CW783" s="1347"/>
      <c r="CX783" s="1347"/>
      <c r="CY783" s="1347"/>
      <c r="CZ783" s="1347">
        <f>IF(J783="2 Bedrooms",O783,0)</f>
        <v>0</v>
      </c>
      <c r="DA783" s="1347"/>
      <c r="DB783" s="1347"/>
      <c r="DC783" s="1347"/>
      <c r="DD783" s="1347"/>
      <c r="DE783" s="1347">
        <f>IF(J783="3 Bedrooms",O783,0)</f>
        <v>0</v>
      </c>
      <c r="DF783" s="1347"/>
      <c r="DG783" s="1347"/>
      <c r="DH783" s="1347"/>
      <c r="DI783" s="1347"/>
      <c r="DJ783" s="1347">
        <f>IF(J783="4 Bedrooms",O783,0)</f>
        <v>0</v>
      </c>
      <c r="DK783" s="1347"/>
      <c r="DL783" s="1347"/>
      <c r="DM783" s="1347"/>
      <c r="DN783" s="1347"/>
      <c r="DO783" s="1347">
        <f>IF(J783="5 Bedrooms",O783,0)</f>
        <v>0</v>
      </c>
      <c r="DP783" s="1347"/>
      <c r="DQ783" s="1347"/>
      <c r="DR783" s="1347"/>
      <c r="DS783" s="1347"/>
      <c r="DT783" s="1007"/>
    </row>
    <row r="784" spans="1:159" ht="12.95" customHeight="1">
      <c r="J784" s="1362"/>
      <c r="K784" s="1363"/>
      <c r="L784" s="1363"/>
      <c r="M784" s="1363"/>
      <c r="N784" s="1364"/>
      <c r="O784" s="1515"/>
      <c r="P784" s="1515"/>
      <c r="Q784" s="1515"/>
      <c r="R784" s="1515"/>
      <c r="S784" s="1515"/>
      <c r="T784" s="1591"/>
      <c r="U784" s="1592"/>
      <c r="V784" s="1592"/>
      <c r="W784" s="1593"/>
      <c r="X784" s="1482"/>
      <c r="Y784" s="1483"/>
      <c r="Z784" s="1483"/>
      <c r="AA784" s="1483"/>
      <c r="AB784" s="1484"/>
      <c r="AC784" s="1404">
        <f>X784*O784</f>
        <v>0</v>
      </c>
      <c r="AD784" s="1405"/>
      <c r="AE784" s="1405"/>
      <c r="AF784" s="1405"/>
      <c r="AG784" s="1406"/>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39">
        <f>IF(J784="SRO/Studio",O784,0)</f>
        <v>0</v>
      </c>
      <c r="CQ784" s="1340"/>
      <c r="CR784" s="1340"/>
      <c r="CS784" s="1340"/>
      <c r="CT784" s="1341"/>
      <c r="CU784" s="1347">
        <f>IF(J784="1 Bedroom",O784,0)</f>
        <v>0</v>
      </c>
      <c r="CV784" s="1347"/>
      <c r="CW784" s="1347"/>
      <c r="CX784" s="1347"/>
      <c r="CY784" s="1347"/>
      <c r="CZ784" s="1347">
        <f>IF(J784="2 Bedrooms",O784,0)</f>
        <v>0</v>
      </c>
      <c r="DA784" s="1347"/>
      <c r="DB784" s="1347"/>
      <c r="DC784" s="1347"/>
      <c r="DD784" s="1347"/>
      <c r="DE784" s="1347">
        <f>IF(J784="3 Bedrooms",O784,0)</f>
        <v>0</v>
      </c>
      <c r="DF784" s="1347"/>
      <c r="DG784" s="1347"/>
      <c r="DH784" s="1347"/>
      <c r="DI784" s="1347"/>
      <c r="DJ784" s="1347">
        <f>IF(J784="4 Bedrooms",O784,0)</f>
        <v>0</v>
      </c>
      <c r="DK784" s="1347"/>
      <c r="DL784" s="1347"/>
      <c r="DM784" s="1347"/>
      <c r="DN784" s="1347"/>
      <c r="DO784" s="1347">
        <f>IF(J784="5 Bedrooms",O784,0)</f>
        <v>0</v>
      </c>
      <c r="DP784" s="1347"/>
      <c r="DQ784" s="1347"/>
      <c r="DR784" s="1347"/>
      <c r="DS784" s="1347"/>
    </row>
    <row r="785" spans="1:154" ht="12.95" customHeight="1">
      <c r="J785" s="1427" t="s">
        <v>125</v>
      </c>
      <c r="K785" s="1428"/>
      <c r="L785" s="1428"/>
      <c r="M785" s="1428"/>
      <c r="N785" s="1430"/>
      <c r="O785" s="1342">
        <f>SUM(O781:S784)</f>
        <v>2</v>
      </c>
      <c r="P785" s="1343"/>
      <c r="Q785" s="1343"/>
      <c r="R785" s="1343"/>
      <c r="S785" s="1344"/>
      <c r="X785" s="1427" t="s">
        <v>124</v>
      </c>
      <c r="Y785" s="1428"/>
      <c r="Z785" s="1428"/>
      <c r="AA785" s="1428"/>
      <c r="AB785" s="1430"/>
      <c r="AC785" s="1404">
        <f>SUM(AC781:AG784)</f>
        <v>4660</v>
      </c>
      <c r="AD785" s="1405"/>
      <c r="AE785" s="1405"/>
      <c r="AF785" s="1405"/>
      <c r="AG785" s="1406"/>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42">
        <f>SUM(CP781:CT784)</f>
        <v>0</v>
      </c>
      <c r="CQ785" s="1343"/>
      <c r="CR785" s="1343"/>
      <c r="CS785" s="1343"/>
      <c r="CT785" s="1344"/>
      <c r="CU785" s="1356">
        <f>SUM(CU781:CY784)</f>
        <v>2</v>
      </c>
      <c r="CV785" s="1357"/>
      <c r="CW785" s="1357"/>
      <c r="CX785" s="1357"/>
      <c r="CY785" s="1358"/>
      <c r="CZ785" s="1356">
        <f>SUM(CZ781:DD784)</f>
        <v>0</v>
      </c>
      <c r="DA785" s="1357"/>
      <c r="DB785" s="1357"/>
      <c r="DC785" s="1357"/>
      <c r="DD785" s="1358"/>
      <c r="DE785" s="1356">
        <f>SUM(DE781:DI784)</f>
        <v>0</v>
      </c>
      <c r="DF785" s="1357"/>
      <c r="DG785" s="1357"/>
      <c r="DH785" s="1357"/>
      <c r="DI785" s="1358"/>
      <c r="DJ785" s="1356">
        <f>SUM(DJ781:DN784)</f>
        <v>0</v>
      </c>
      <c r="DK785" s="1357"/>
      <c r="DL785" s="1357"/>
      <c r="DM785" s="1357"/>
      <c r="DN785" s="1358"/>
      <c r="DO785" s="1356">
        <f>SUM(DO781:DS784)</f>
        <v>0</v>
      </c>
      <c r="DP785" s="1357"/>
      <c r="DQ785" s="1357"/>
      <c r="DR785" s="1357"/>
      <c r="DS785" s="1358"/>
      <c r="DU785" s="857">
        <f>CP785+CU785+CZ785+DE785+DJ785+DO785</f>
        <v>2</v>
      </c>
      <c r="DV785" s="57" t="s">
        <v>1834</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2</v>
      </c>
      <c r="CZ786" s="3"/>
      <c r="DA786" s="3"/>
      <c r="DB786" s="3"/>
      <c r="DC786" s="3"/>
      <c r="DD786" s="857">
        <f>CZ785*2</f>
        <v>0</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2</v>
      </c>
      <c r="DV786" s="57" t="s">
        <v>1836</v>
      </c>
    </row>
    <row r="787" spans="1:154" ht="12.95" customHeight="1">
      <c r="B787" s="56"/>
      <c r="C787" s="56"/>
      <c r="D787" s="56"/>
      <c r="E787" s="56"/>
      <c r="F787" s="56"/>
      <c r="G787" s="6"/>
      <c r="H787" s="6"/>
      <c r="I787" s="6"/>
      <c r="J787" s="1391" t="s">
        <v>669</v>
      </c>
      <c r="K787" s="1391"/>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2048</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598" t="s">
        <v>389</v>
      </c>
      <c r="K791" s="1372"/>
      <c r="L791" s="1372"/>
      <c r="M791" s="1372"/>
      <c r="N791" s="1373"/>
      <c r="O791" s="1615" t="s">
        <v>285</v>
      </c>
      <c r="P791" s="1615"/>
      <c r="Q791" s="1615"/>
      <c r="R791" s="1615"/>
      <c r="S791" s="1615"/>
      <c r="T791" s="1599" t="s">
        <v>1668</v>
      </c>
      <c r="U791" s="1600"/>
      <c r="V791" s="1600"/>
      <c r="W791" s="1601"/>
      <c r="X791" s="1598" t="s">
        <v>447</v>
      </c>
      <c r="Y791" s="1372"/>
      <c r="Z791" s="1372"/>
      <c r="AA791" s="1372"/>
      <c r="AB791" s="1373"/>
      <c r="AC791" s="1598" t="s">
        <v>286</v>
      </c>
      <c r="AD791" s="1372"/>
      <c r="AE791" s="1372"/>
      <c r="AF791" s="1372"/>
      <c r="AG791" s="137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374"/>
      <c r="K792" s="1375"/>
      <c r="L792" s="1375"/>
      <c r="M792" s="1375"/>
      <c r="N792" s="1376"/>
      <c r="O792" s="1615"/>
      <c r="P792" s="1615"/>
      <c r="Q792" s="1615"/>
      <c r="R792" s="1615"/>
      <c r="S792" s="1615"/>
      <c r="T792" s="1602"/>
      <c r="U792" s="1603"/>
      <c r="V792" s="1603"/>
      <c r="W792" s="1604"/>
      <c r="X792" s="1374"/>
      <c r="Y792" s="1375"/>
      <c r="Z792" s="1375"/>
      <c r="AA792" s="1375"/>
      <c r="AB792" s="1376"/>
      <c r="AC792" s="1374"/>
      <c r="AD792" s="1375"/>
      <c r="AE792" s="1375"/>
      <c r="AF792" s="1375"/>
      <c r="AG792" s="1376"/>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374"/>
      <c r="K793" s="1375"/>
      <c r="L793" s="1375"/>
      <c r="M793" s="1375"/>
      <c r="N793" s="1376"/>
      <c r="O793" s="1615"/>
      <c r="P793" s="1615"/>
      <c r="Q793" s="1615"/>
      <c r="R793" s="1615"/>
      <c r="S793" s="1615"/>
      <c r="T793" s="1602"/>
      <c r="U793" s="1603"/>
      <c r="V793" s="1603"/>
      <c r="W793" s="1604"/>
      <c r="X793" s="1374"/>
      <c r="Y793" s="1375"/>
      <c r="Z793" s="1375"/>
      <c r="AA793" s="1375"/>
      <c r="AB793" s="1376"/>
      <c r="AC793" s="1374"/>
      <c r="AD793" s="1375"/>
      <c r="AE793" s="1375"/>
      <c r="AF793" s="1375"/>
      <c r="AG793" s="1376"/>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377"/>
      <c r="K794" s="1378"/>
      <c r="L794" s="1378"/>
      <c r="M794" s="1378"/>
      <c r="N794" s="1379"/>
      <c r="O794" s="1615"/>
      <c r="P794" s="1615"/>
      <c r="Q794" s="1615"/>
      <c r="R794" s="1615"/>
      <c r="S794" s="1615"/>
      <c r="T794" s="1605"/>
      <c r="U794" s="1606"/>
      <c r="V794" s="1606"/>
      <c r="W794" s="1607"/>
      <c r="X794" s="1377"/>
      <c r="Y794" s="1378"/>
      <c r="Z794" s="1378"/>
      <c r="AA794" s="1378"/>
      <c r="AB794" s="1379"/>
      <c r="AC794" s="1377"/>
      <c r="AD794" s="1378"/>
      <c r="AE794" s="1378"/>
      <c r="AF794" s="1378"/>
      <c r="AG794" s="1379"/>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1841</v>
      </c>
      <c r="DV794" s="3"/>
      <c r="DW794" s="3"/>
      <c r="DX794" s="3"/>
      <c r="DY794" s="3"/>
      <c r="DZ794" s="3"/>
      <c r="EA794" s="3"/>
      <c r="EB794" s="3"/>
      <c r="EC794" s="3"/>
      <c r="ED794" s="3"/>
      <c r="EE794" s="3"/>
      <c r="EF794" s="3"/>
      <c r="EG794" s="3"/>
      <c r="EH794" s="3"/>
    </row>
    <row r="795" spans="1:154" ht="12.95" customHeight="1">
      <c r="J795" s="1362"/>
      <c r="K795" s="1363"/>
      <c r="L795" s="1363"/>
      <c r="M795" s="1363"/>
      <c r="N795" s="1364"/>
      <c r="O795" s="1515"/>
      <c r="P795" s="1515"/>
      <c r="Q795" s="1515"/>
      <c r="R795" s="1515"/>
      <c r="S795" s="1515"/>
      <c r="T795" s="1591"/>
      <c r="U795" s="1592"/>
      <c r="V795" s="1592"/>
      <c r="W795" s="1593"/>
      <c r="X795" s="1482"/>
      <c r="Y795" s="1483"/>
      <c r="Z795" s="1483"/>
      <c r="AA795" s="1483"/>
      <c r="AB795" s="1484"/>
      <c r="AC795" s="1404">
        <f t="shared" ref="AC795:AC804" si="55">X795*O795</f>
        <v>0</v>
      </c>
      <c r="AD795" s="1405"/>
      <c r="AE795" s="1405"/>
      <c r="AF795" s="1405"/>
      <c r="AG795" s="1406"/>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9">
        <f t="shared" ref="CP795:CP804" si="56">IF(J795="SRO/Studio",O795,0)</f>
        <v>0</v>
      </c>
      <c r="CQ795" s="1340"/>
      <c r="CR795" s="1340"/>
      <c r="CS795" s="1340"/>
      <c r="CT795" s="1341"/>
      <c r="CU795" s="1339">
        <f t="shared" ref="CU795:CU804" si="57">IF(J795="1 Bedroom",O795,0)</f>
        <v>0</v>
      </c>
      <c r="CV795" s="1340"/>
      <c r="CW795" s="1340"/>
      <c r="CX795" s="1340"/>
      <c r="CY795" s="1341"/>
      <c r="CZ795" s="1339">
        <f t="shared" ref="CZ795:CZ804" si="58">IF(J795="2 Bedrooms",O795,0)</f>
        <v>0</v>
      </c>
      <c r="DA795" s="1340"/>
      <c r="DB795" s="1340"/>
      <c r="DC795" s="1340"/>
      <c r="DD795" s="1341"/>
      <c r="DE795" s="1339">
        <f t="shared" ref="DE795:DE804" si="59">IF(J795="3 Bedrooms",O795,0)</f>
        <v>0</v>
      </c>
      <c r="DF795" s="1340"/>
      <c r="DG795" s="1340"/>
      <c r="DH795" s="1340"/>
      <c r="DI795" s="1341"/>
      <c r="DJ795" s="1339">
        <f t="shared" ref="DJ795:DJ804" si="60">IF(J795="4 Bedrooms",O795,0)</f>
        <v>0</v>
      </c>
      <c r="DK795" s="1340"/>
      <c r="DL795" s="1340"/>
      <c r="DM795" s="1340"/>
      <c r="DN795" s="1341"/>
      <c r="DO795" s="1339">
        <f t="shared" ref="DO795:DO804" si="61">IF(J795="5 Bedrooms",O795,0)</f>
        <v>0</v>
      </c>
      <c r="DP795" s="1340"/>
      <c r="DQ795" s="1340"/>
      <c r="DR795" s="1340"/>
      <c r="DS795" s="1341"/>
      <c r="DT795" s="6"/>
      <c r="DU795" s="1339">
        <f t="shared" ref="DU795:DU804" si="62">IF(AND(CP795&gt;=1,AH795&gt;=0.1,AH795&lt;=1),O795,0)</f>
        <v>0</v>
      </c>
      <c r="DV795" s="1340"/>
      <c r="DW795" s="1340"/>
      <c r="DX795" s="1340"/>
      <c r="DY795" s="1341"/>
      <c r="DZ795" s="1339">
        <f t="shared" ref="DZ795:DZ804" si="63">IF(AND(CU795&gt;=1,AH795&gt;=0.1,AH795&lt;=1),O795,0)</f>
        <v>0</v>
      </c>
      <c r="EA795" s="1340"/>
      <c r="EB795" s="1340"/>
      <c r="EC795" s="1340"/>
      <c r="ED795" s="1341"/>
      <c r="EE795" s="1339">
        <f t="shared" ref="EE795:EE804" si="64">IF(AND(CZ795&gt;=1,AH795&gt;=0.1,AH795&lt;=1),O795,0)</f>
        <v>0</v>
      </c>
      <c r="EF795" s="1340"/>
      <c r="EG795" s="1340"/>
      <c r="EH795" s="1340"/>
      <c r="EI795" s="1341"/>
      <c r="EJ795" s="1339">
        <f t="shared" ref="EJ795:EJ804" si="65">IF(AND(DE795&gt;=1,AH795&gt;=0.1,AH795&lt;=1),O795,0)</f>
        <v>0</v>
      </c>
      <c r="EK795" s="1340"/>
      <c r="EL795" s="1340"/>
      <c r="EM795" s="1340"/>
      <c r="EN795" s="1341"/>
      <c r="EO795" s="1339">
        <f t="shared" ref="EO795:EO804" si="66">IF(AND(DJ795&gt;=1,AH795&gt;=0.1,AH795&lt;=1),O795,0)</f>
        <v>0</v>
      </c>
      <c r="EP795" s="1340"/>
      <c r="EQ795" s="1340"/>
      <c r="ER795" s="1340"/>
      <c r="ES795" s="1341"/>
      <c r="ET795" s="1339">
        <f t="shared" ref="ET795:ET804" si="67">IF(AND(DO795&gt;=1,AH795&gt;=0.1,AH795&lt;=1),O795,0)</f>
        <v>0</v>
      </c>
      <c r="EU795" s="1340"/>
      <c r="EV795" s="1340"/>
      <c r="EW795" s="1340"/>
      <c r="EX795" s="1341"/>
    </row>
    <row r="796" spans="1:154" s="14" customFormat="1" ht="12.95" customHeight="1">
      <c r="A796"/>
      <c r="B796"/>
      <c r="C796"/>
      <c r="D796"/>
      <c r="E796"/>
      <c r="F796"/>
      <c r="G796"/>
      <c r="H796"/>
      <c r="I796"/>
      <c r="J796" s="1362"/>
      <c r="K796" s="1363"/>
      <c r="L796" s="1363"/>
      <c r="M796" s="1363"/>
      <c r="N796" s="1364"/>
      <c r="O796" s="1515"/>
      <c r="P796" s="1515"/>
      <c r="Q796" s="1515"/>
      <c r="R796" s="1515"/>
      <c r="S796" s="1515"/>
      <c r="T796" s="1591"/>
      <c r="U796" s="1592"/>
      <c r="V796" s="1592"/>
      <c r="W796" s="1593"/>
      <c r="X796" s="1482"/>
      <c r="Y796" s="1483"/>
      <c r="Z796" s="1483"/>
      <c r="AA796" s="1483"/>
      <c r="AB796" s="1484"/>
      <c r="AC796" s="1404">
        <f t="shared" si="55"/>
        <v>0</v>
      </c>
      <c r="AD796" s="1405"/>
      <c r="AE796" s="1405"/>
      <c r="AF796" s="1405"/>
      <c r="AG796" s="1406"/>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39">
        <f t="shared" si="56"/>
        <v>0</v>
      </c>
      <c r="CQ796" s="1340"/>
      <c r="CR796" s="1340"/>
      <c r="CS796" s="1340"/>
      <c r="CT796" s="1341"/>
      <c r="CU796" s="1339">
        <f t="shared" si="57"/>
        <v>0</v>
      </c>
      <c r="CV796" s="1340"/>
      <c r="CW796" s="1340"/>
      <c r="CX796" s="1340"/>
      <c r="CY796" s="1341"/>
      <c r="CZ796" s="1339">
        <f t="shared" si="58"/>
        <v>0</v>
      </c>
      <c r="DA796" s="1340"/>
      <c r="DB796" s="1340"/>
      <c r="DC796" s="1340"/>
      <c r="DD796" s="1341"/>
      <c r="DE796" s="1339">
        <f t="shared" si="59"/>
        <v>0</v>
      </c>
      <c r="DF796" s="1340"/>
      <c r="DG796" s="1340"/>
      <c r="DH796" s="1340"/>
      <c r="DI796" s="1341"/>
      <c r="DJ796" s="1339">
        <f t="shared" si="60"/>
        <v>0</v>
      </c>
      <c r="DK796" s="1340"/>
      <c r="DL796" s="1340"/>
      <c r="DM796" s="1340"/>
      <c r="DN796" s="1341"/>
      <c r="DO796" s="1339">
        <f t="shared" si="61"/>
        <v>0</v>
      </c>
      <c r="DP796" s="1340"/>
      <c r="DQ796" s="1340"/>
      <c r="DR796" s="1340"/>
      <c r="DS796" s="1341"/>
      <c r="DT796" s="6"/>
      <c r="DU796" s="1339">
        <f t="shared" si="62"/>
        <v>0</v>
      </c>
      <c r="DV796" s="1340"/>
      <c r="DW796" s="1340"/>
      <c r="DX796" s="1340"/>
      <c r="DY796" s="1341"/>
      <c r="DZ796" s="1339">
        <f t="shared" si="63"/>
        <v>0</v>
      </c>
      <c r="EA796" s="1340"/>
      <c r="EB796" s="1340"/>
      <c r="EC796" s="1340"/>
      <c r="ED796" s="1341"/>
      <c r="EE796" s="1339">
        <f t="shared" si="64"/>
        <v>0</v>
      </c>
      <c r="EF796" s="1340"/>
      <c r="EG796" s="1340"/>
      <c r="EH796" s="1340"/>
      <c r="EI796" s="1341"/>
      <c r="EJ796" s="1339">
        <f t="shared" si="65"/>
        <v>0</v>
      </c>
      <c r="EK796" s="1340"/>
      <c r="EL796" s="1340"/>
      <c r="EM796" s="1340"/>
      <c r="EN796" s="1341"/>
      <c r="EO796" s="1339">
        <f t="shared" si="66"/>
        <v>0</v>
      </c>
      <c r="EP796" s="1340"/>
      <c r="EQ796" s="1340"/>
      <c r="ER796" s="1340"/>
      <c r="ES796" s="1341"/>
      <c r="ET796" s="1339">
        <f t="shared" si="67"/>
        <v>0</v>
      </c>
      <c r="EU796" s="1340"/>
      <c r="EV796" s="1340"/>
      <c r="EW796" s="1340"/>
      <c r="EX796" s="1341"/>
    </row>
    <row r="797" spans="1:154" s="14" customFormat="1" ht="12.95" customHeight="1">
      <c r="A797"/>
      <c r="B797"/>
      <c r="C797"/>
      <c r="D797"/>
      <c r="E797"/>
      <c r="F797"/>
      <c r="G797"/>
      <c r="H797"/>
      <c r="I797"/>
      <c r="J797" s="1362"/>
      <c r="K797" s="1363"/>
      <c r="L797" s="1363"/>
      <c r="M797" s="1363"/>
      <c r="N797" s="1364"/>
      <c r="O797" s="1515"/>
      <c r="P797" s="1515"/>
      <c r="Q797" s="1515"/>
      <c r="R797" s="1515"/>
      <c r="S797" s="1515"/>
      <c r="T797" s="1591"/>
      <c r="U797" s="1592"/>
      <c r="V797" s="1592"/>
      <c r="W797" s="1593"/>
      <c r="X797" s="1482"/>
      <c r="Y797" s="1483"/>
      <c r="Z797" s="1483"/>
      <c r="AA797" s="1483"/>
      <c r="AB797" s="1484"/>
      <c r="AC797" s="1404">
        <f t="shared" si="55"/>
        <v>0</v>
      </c>
      <c r="AD797" s="1405"/>
      <c r="AE797" s="1405"/>
      <c r="AF797" s="1405"/>
      <c r="AG797" s="1406"/>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39">
        <f t="shared" si="56"/>
        <v>0</v>
      </c>
      <c r="CQ797" s="1340"/>
      <c r="CR797" s="1340"/>
      <c r="CS797" s="1340"/>
      <c r="CT797" s="1341"/>
      <c r="CU797" s="1339">
        <f t="shared" si="57"/>
        <v>0</v>
      </c>
      <c r="CV797" s="1340"/>
      <c r="CW797" s="1340"/>
      <c r="CX797" s="1340"/>
      <c r="CY797" s="1341"/>
      <c r="CZ797" s="1339">
        <f t="shared" si="58"/>
        <v>0</v>
      </c>
      <c r="DA797" s="1340"/>
      <c r="DB797" s="1340"/>
      <c r="DC797" s="1340"/>
      <c r="DD797" s="1341"/>
      <c r="DE797" s="1339">
        <f t="shared" si="59"/>
        <v>0</v>
      </c>
      <c r="DF797" s="1340"/>
      <c r="DG797" s="1340"/>
      <c r="DH797" s="1340"/>
      <c r="DI797" s="1341"/>
      <c r="DJ797" s="1339">
        <f t="shared" si="60"/>
        <v>0</v>
      </c>
      <c r="DK797" s="1340"/>
      <c r="DL797" s="1340"/>
      <c r="DM797" s="1340"/>
      <c r="DN797" s="1341"/>
      <c r="DO797" s="1339">
        <f t="shared" si="61"/>
        <v>0</v>
      </c>
      <c r="DP797" s="1340"/>
      <c r="DQ797" s="1340"/>
      <c r="DR797" s="1340"/>
      <c r="DS797" s="1341"/>
      <c r="DT797" s="6"/>
      <c r="DU797" s="1339">
        <f t="shared" si="62"/>
        <v>0</v>
      </c>
      <c r="DV797" s="1340"/>
      <c r="DW797" s="1340"/>
      <c r="DX797" s="1340"/>
      <c r="DY797" s="1341"/>
      <c r="DZ797" s="1339">
        <f t="shared" si="63"/>
        <v>0</v>
      </c>
      <c r="EA797" s="1340"/>
      <c r="EB797" s="1340"/>
      <c r="EC797" s="1340"/>
      <c r="ED797" s="1341"/>
      <c r="EE797" s="1339">
        <f t="shared" si="64"/>
        <v>0</v>
      </c>
      <c r="EF797" s="1340"/>
      <c r="EG797" s="1340"/>
      <c r="EH797" s="1340"/>
      <c r="EI797" s="1341"/>
      <c r="EJ797" s="1339">
        <f t="shared" si="65"/>
        <v>0</v>
      </c>
      <c r="EK797" s="1340"/>
      <c r="EL797" s="1340"/>
      <c r="EM797" s="1340"/>
      <c r="EN797" s="1341"/>
      <c r="EO797" s="1339">
        <f t="shared" si="66"/>
        <v>0</v>
      </c>
      <c r="EP797" s="1340"/>
      <c r="EQ797" s="1340"/>
      <c r="ER797" s="1340"/>
      <c r="ES797" s="1341"/>
      <c r="ET797" s="1339">
        <f t="shared" si="67"/>
        <v>0</v>
      </c>
      <c r="EU797" s="1340"/>
      <c r="EV797" s="1340"/>
      <c r="EW797" s="1340"/>
      <c r="EX797" s="1341"/>
    </row>
    <row r="798" spans="1:154" s="14" customFormat="1" ht="12.95" customHeight="1">
      <c r="A798"/>
      <c r="B798"/>
      <c r="C798"/>
      <c r="D798"/>
      <c r="E798"/>
      <c r="F798"/>
      <c r="G798"/>
      <c r="H798"/>
      <c r="I798"/>
      <c r="J798" s="1362"/>
      <c r="K798" s="1363"/>
      <c r="L798" s="1363"/>
      <c r="M798" s="1363"/>
      <c r="N798" s="1364"/>
      <c r="O798" s="1515"/>
      <c r="P798" s="1515"/>
      <c r="Q798" s="1515"/>
      <c r="R798" s="1515"/>
      <c r="S798" s="1515"/>
      <c r="T798" s="1591"/>
      <c r="U798" s="1592"/>
      <c r="V798" s="1592"/>
      <c r="W798" s="1593"/>
      <c r="X798" s="1482"/>
      <c r="Y798" s="1483"/>
      <c r="Z798" s="1483"/>
      <c r="AA798" s="1483"/>
      <c r="AB798" s="1484"/>
      <c r="AC798" s="1404">
        <f t="shared" si="55"/>
        <v>0</v>
      </c>
      <c r="AD798" s="1405"/>
      <c r="AE798" s="1405"/>
      <c r="AF798" s="1405"/>
      <c r="AG798" s="1406"/>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39">
        <f t="shared" si="56"/>
        <v>0</v>
      </c>
      <c r="CQ798" s="1340"/>
      <c r="CR798" s="1340"/>
      <c r="CS798" s="1340"/>
      <c r="CT798" s="1341"/>
      <c r="CU798" s="1339">
        <f t="shared" si="57"/>
        <v>0</v>
      </c>
      <c r="CV798" s="1340"/>
      <c r="CW798" s="1340"/>
      <c r="CX798" s="1340"/>
      <c r="CY798" s="1341"/>
      <c r="CZ798" s="1339">
        <f t="shared" si="58"/>
        <v>0</v>
      </c>
      <c r="DA798" s="1340"/>
      <c r="DB798" s="1340"/>
      <c r="DC798" s="1340"/>
      <c r="DD798" s="1341"/>
      <c r="DE798" s="1339">
        <f t="shared" si="59"/>
        <v>0</v>
      </c>
      <c r="DF798" s="1340"/>
      <c r="DG798" s="1340"/>
      <c r="DH798" s="1340"/>
      <c r="DI798" s="1341"/>
      <c r="DJ798" s="1339">
        <f t="shared" si="60"/>
        <v>0</v>
      </c>
      <c r="DK798" s="1340"/>
      <c r="DL798" s="1340"/>
      <c r="DM798" s="1340"/>
      <c r="DN798" s="1341"/>
      <c r="DO798" s="1339">
        <f t="shared" si="61"/>
        <v>0</v>
      </c>
      <c r="DP798" s="1340"/>
      <c r="DQ798" s="1340"/>
      <c r="DR798" s="1340"/>
      <c r="DS798" s="1341"/>
      <c r="DT798" s="6"/>
      <c r="DU798" s="1339">
        <f t="shared" si="62"/>
        <v>0</v>
      </c>
      <c r="DV798" s="1340"/>
      <c r="DW798" s="1340"/>
      <c r="DX798" s="1340"/>
      <c r="DY798" s="1341"/>
      <c r="DZ798" s="1339">
        <f t="shared" si="63"/>
        <v>0</v>
      </c>
      <c r="EA798" s="1340"/>
      <c r="EB798" s="1340"/>
      <c r="EC798" s="1340"/>
      <c r="ED798" s="1341"/>
      <c r="EE798" s="1339">
        <f t="shared" si="64"/>
        <v>0</v>
      </c>
      <c r="EF798" s="1340"/>
      <c r="EG798" s="1340"/>
      <c r="EH798" s="1340"/>
      <c r="EI798" s="1341"/>
      <c r="EJ798" s="1339">
        <f t="shared" si="65"/>
        <v>0</v>
      </c>
      <c r="EK798" s="1340"/>
      <c r="EL798" s="1340"/>
      <c r="EM798" s="1340"/>
      <c r="EN798" s="1341"/>
      <c r="EO798" s="1339">
        <f t="shared" si="66"/>
        <v>0</v>
      </c>
      <c r="EP798" s="1340"/>
      <c r="EQ798" s="1340"/>
      <c r="ER798" s="1340"/>
      <c r="ES798" s="1341"/>
      <c r="ET798" s="1339">
        <f t="shared" si="67"/>
        <v>0</v>
      </c>
      <c r="EU798" s="1340"/>
      <c r="EV798" s="1340"/>
      <c r="EW798" s="1340"/>
      <c r="EX798" s="1341"/>
    </row>
    <row r="799" spans="1:154" s="14" customFormat="1" ht="12.95" customHeight="1">
      <c r="A799"/>
      <c r="B799"/>
      <c r="C799"/>
      <c r="D799"/>
      <c r="E799"/>
      <c r="F799"/>
      <c r="G799"/>
      <c r="H799"/>
      <c r="I799"/>
      <c r="J799" s="1362"/>
      <c r="K799" s="1363"/>
      <c r="L799" s="1363"/>
      <c r="M799" s="1363"/>
      <c r="N799" s="1364"/>
      <c r="O799" s="1515"/>
      <c r="P799" s="1515"/>
      <c r="Q799" s="1515"/>
      <c r="R799" s="1515"/>
      <c r="S799" s="1515"/>
      <c r="T799" s="1591"/>
      <c r="U799" s="1592"/>
      <c r="V799" s="1592"/>
      <c r="W799" s="1593"/>
      <c r="X799" s="1482"/>
      <c r="Y799" s="1483"/>
      <c r="Z799" s="1483"/>
      <c r="AA799" s="1483"/>
      <c r="AB799" s="1484"/>
      <c r="AC799" s="1404">
        <f t="shared" si="55"/>
        <v>0</v>
      </c>
      <c r="AD799" s="1405"/>
      <c r="AE799" s="1405"/>
      <c r="AF799" s="1405"/>
      <c r="AG799" s="1406"/>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39">
        <f t="shared" si="56"/>
        <v>0</v>
      </c>
      <c r="CQ799" s="1340"/>
      <c r="CR799" s="1340"/>
      <c r="CS799" s="1340"/>
      <c r="CT799" s="1341"/>
      <c r="CU799" s="1339">
        <f t="shared" si="57"/>
        <v>0</v>
      </c>
      <c r="CV799" s="1340"/>
      <c r="CW799" s="1340"/>
      <c r="CX799" s="1340"/>
      <c r="CY799" s="1341"/>
      <c r="CZ799" s="1339">
        <f t="shared" si="58"/>
        <v>0</v>
      </c>
      <c r="DA799" s="1340"/>
      <c r="DB799" s="1340"/>
      <c r="DC799" s="1340"/>
      <c r="DD799" s="1341"/>
      <c r="DE799" s="1339">
        <f t="shared" si="59"/>
        <v>0</v>
      </c>
      <c r="DF799" s="1340"/>
      <c r="DG799" s="1340"/>
      <c r="DH799" s="1340"/>
      <c r="DI799" s="1341"/>
      <c r="DJ799" s="1339">
        <f t="shared" si="60"/>
        <v>0</v>
      </c>
      <c r="DK799" s="1340"/>
      <c r="DL799" s="1340"/>
      <c r="DM799" s="1340"/>
      <c r="DN799" s="1341"/>
      <c r="DO799" s="1339">
        <f t="shared" si="61"/>
        <v>0</v>
      </c>
      <c r="DP799" s="1340"/>
      <c r="DQ799" s="1340"/>
      <c r="DR799" s="1340"/>
      <c r="DS799" s="1341"/>
      <c r="DT799" s="6"/>
      <c r="DU799" s="1339">
        <f t="shared" si="62"/>
        <v>0</v>
      </c>
      <c r="DV799" s="1340"/>
      <c r="DW799" s="1340"/>
      <c r="DX799" s="1340"/>
      <c r="DY799" s="1341"/>
      <c r="DZ799" s="1339">
        <f t="shared" si="63"/>
        <v>0</v>
      </c>
      <c r="EA799" s="1340"/>
      <c r="EB799" s="1340"/>
      <c r="EC799" s="1340"/>
      <c r="ED799" s="1341"/>
      <c r="EE799" s="1339">
        <f t="shared" si="64"/>
        <v>0</v>
      </c>
      <c r="EF799" s="1340"/>
      <c r="EG799" s="1340"/>
      <c r="EH799" s="1340"/>
      <c r="EI799" s="1341"/>
      <c r="EJ799" s="1339">
        <f t="shared" si="65"/>
        <v>0</v>
      </c>
      <c r="EK799" s="1340"/>
      <c r="EL799" s="1340"/>
      <c r="EM799" s="1340"/>
      <c r="EN799" s="1341"/>
      <c r="EO799" s="1339">
        <f t="shared" si="66"/>
        <v>0</v>
      </c>
      <c r="EP799" s="1340"/>
      <c r="EQ799" s="1340"/>
      <c r="ER799" s="1340"/>
      <c r="ES799" s="1341"/>
      <c r="ET799" s="1339">
        <f t="shared" si="67"/>
        <v>0</v>
      </c>
      <c r="EU799" s="1340"/>
      <c r="EV799" s="1340"/>
      <c r="EW799" s="1340"/>
      <c r="EX799" s="1341"/>
    </row>
    <row r="800" spans="1:154" s="14" customFormat="1" ht="12.95" customHeight="1">
      <c r="A800"/>
      <c r="B800"/>
      <c r="C800"/>
      <c r="D800"/>
      <c r="E800"/>
      <c r="F800"/>
      <c r="G800"/>
      <c r="H800"/>
      <c r="I800"/>
      <c r="J800" s="1362"/>
      <c r="K800" s="1363"/>
      <c r="L800" s="1363"/>
      <c r="M800" s="1363"/>
      <c r="N800" s="1364"/>
      <c r="O800" s="1515"/>
      <c r="P800" s="1515"/>
      <c r="Q800" s="1515"/>
      <c r="R800" s="1515"/>
      <c r="S800" s="1515"/>
      <c r="T800" s="1591"/>
      <c r="U800" s="1592"/>
      <c r="V800" s="1592"/>
      <c r="W800" s="1593"/>
      <c r="X800" s="1482"/>
      <c r="Y800" s="1483"/>
      <c r="Z800" s="1483"/>
      <c r="AA800" s="1483"/>
      <c r="AB800" s="1484"/>
      <c r="AC800" s="1404">
        <f t="shared" si="55"/>
        <v>0</v>
      </c>
      <c r="AD800" s="1405"/>
      <c r="AE800" s="1405"/>
      <c r="AF800" s="1405"/>
      <c r="AG800" s="1406"/>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39">
        <f t="shared" si="56"/>
        <v>0</v>
      </c>
      <c r="CQ800" s="1340"/>
      <c r="CR800" s="1340"/>
      <c r="CS800" s="1340"/>
      <c r="CT800" s="1341"/>
      <c r="CU800" s="1339">
        <f t="shared" si="57"/>
        <v>0</v>
      </c>
      <c r="CV800" s="1340"/>
      <c r="CW800" s="1340"/>
      <c r="CX800" s="1340"/>
      <c r="CY800" s="1341"/>
      <c r="CZ800" s="1339">
        <f t="shared" si="58"/>
        <v>0</v>
      </c>
      <c r="DA800" s="1340"/>
      <c r="DB800" s="1340"/>
      <c r="DC800" s="1340"/>
      <c r="DD800" s="1341"/>
      <c r="DE800" s="1339">
        <f t="shared" si="59"/>
        <v>0</v>
      </c>
      <c r="DF800" s="1340"/>
      <c r="DG800" s="1340"/>
      <c r="DH800" s="1340"/>
      <c r="DI800" s="1341"/>
      <c r="DJ800" s="1339">
        <f t="shared" si="60"/>
        <v>0</v>
      </c>
      <c r="DK800" s="1340"/>
      <c r="DL800" s="1340"/>
      <c r="DM800" s="1340"/>
      <c r="DN800" s="1341"/>
      <c r="DO800" s="1339">
        <f t="shared" si="61"/>
        <v>0</v>
      </c>
      <c r="DP800" s="1340"/>
      <c r="DQ800" s="1340"/>
      <c r="DR800" s="1340"/>
      <c r="DS800" s="1341"/>
      <c r="DT800" s="6"/>
      <c r="DU800" s="1339">
        <f t="shared" si="62"/>
        <v>0</v>
      </c>
      <c r="DV800" s="1340"/>
      <c r="DW800" s="1340"/>
      <c r="DX800" s="1340"/>
      <c r="DY800" s="1341"/>
      <c r="DZ800" s="1339">
        <f t="shared" si="63"/>
        <v>0</v>
      </c>
      <c r="EA800" s="1340"/>
      <c r="EB800" s="1340"/>
      <c r="EC800" s="1340"/>
      <c r="ED800" s="1341"/>
      <c r="EE800" s="1339">
        <f t="shared" si="64"/>
        <v>0</v>
      </c>
      <c r="EF800" s="1340"/>
      <c r="EG800" s="1340"/>
      <c r="EH800" s="1340"/>
      <c r="EI800" s="1341"/>
      <c r="EJ800" s="1339">
        <f t="shared" si="65"/>
        <v>0</v>
      </c>
      <c r="EK800" s="1340"/>
      <c r="EL800" s="1340"/>
      <c r="EM800" s="1340"/>
      <c r="EN800" s="1341"/>
      <c r="EO800" s="1339">
        <f t="shared" si="66"/>
        <v>0</v>
      </c>
      <c r="EP800" s="1340"/>
      <c r="EQ800" s="1340"/>
      <c r="ER800" s="1340"/>
      <c r="ES800" s="1341"/>
      <c r="ET800" s="1339">
        <f t="shared" si="67"/>
        <v>0</v>
      </c>
      <c r="EU800" s="1340"/>
      <c r="EV800" s="1340"/>
      <c r="EW800" s="1340"/>
      <c r="EX800" s="1341"/>
    </row>
    <row r="801" spans="1:154" s="14" customFormat="1" ht="12.95" customHeight="1">
      <c r="A801"/>
      <c r="B801"/>
      <c r="C801"/>
      <c r="D801"/>
      <c r="E801"/>
      <c r="F801"/>
      <c r="G801"/>
      <c r="H801"/>
      <c r="I801"/>
      <c r="J801" s="1362"/>
      <c r="K801" s="1363"/>
      <c r="L801" s="1363"/>
      <c r="M801" s="1363"/>
      <c r="N801" s="1364"/>
      <c r="O801" s="1515"/>
      <c r="P801" s="1515"/>
      <c r="Q801" s="1515"/>
      <c r="R801" s="1515"/>
      <c r="S801" s="1515"/>
      <c r="T801" s="1591"/>
      <c r="U801" s="1592"/>
      <c r="V801" s="1592"/>
      <c r="W801" s="1593"/>
      <c r="X801" s="1482"/>
      <c r="Y801" s="1483"/>
      <c r="Z801" s="1483"/>
      <c r="AA801" s="1483"/>
      <c r="AB801" s="1484"/>
      <c r="AC801" s="1404">
        <f t="shared" si="55"/>
        <v>0</v>
      </c>
      <c r="AD801" s="1405"/>
      <c r="AE801" s="1405"/>
      <c r="AF801" s="1405"/>
      <c r="AG801" s="1406"/>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39">
        <f t="shared" si="56"/>
        <v>0</v>
      </c>
      <c r="CQ801" s="1340"/>
      <c r="CR801" s="1340"/>
      <c r="CS801" s="1340"/>
      <c r="CT801" s="1341"/>
      <c r="CU801" s="1339">
        <f t="shared" si="57"/>
        <v>0</v>
      </c>
      <c r="CV801" s="1340"/>
      <c r="CW801" s="1340"/>
      <c r="CX801" s="1340"/>
      <c r="CY801" s="1341"/>
      <c r="CZ801" s="1339">
        <f t="shared" si="58"/>
        <v>0</v>
      </c>
      <c r="DA801" s="1340"/>
      <c r="DB801" s="1340"/>
      <c r="DC801" s="1340"/>
      <c r="DD801" s="1341"/>
      <c r="DE801" s="1339">
        <f t="shared" si="59"/>
        <v>0</v>
      </c>
      <c r="DF801" s="1340"/>
      <c r="DG801" s="1340"/>
      <c r="DH801" s="1340"/>
      <c r="DI801" s="1341"/>
      <c r="DJ801" s="1339">
        <f t="shared" si="60"/>
        <v>0</v>
      </c>
      <c r="DK801" s="1340"/>
      <c r="DL801" s="1340"/>
      <c r="DM801" s="1340"/>
      <c r="DN801" s="1341"/>
      <c r="DO801" s="1339">
        <f t="shared" si="61"/>
        <v>0</v>
      </c>
      <c r="DP801" s="1340"/>
      <c r="DQ801" s="1340"/>
      <c r="DR801" s="1340"/>
      <c r="DS801" s="1341"/>
      <c r="DT801" s="6"/>
      <c r="DU801" s="1339">
        <f t="shared" si="62"/>
        <v>0</v>
      </c>
      <c r="DV801" s="1340"/>
      <c r="DW801" s="1340"/>
      <c r="DX801" s="1340"/>
      <c r="DY801" s="1341"/>
      <c r="DZ801" s="1339">
        <f t="shared" si="63"/>
        <v>0</v>
      </c>
      <c r="EA801" s="1340"/>
      <c r="EB801" s="1340"/>
      <c r="EC801" s="1340"/>
      <c r="ED801" s="1341"/>
      <c r="EE801" s="1339">
        <f t="shared" si="64"/>
        <v>0</v>
      </c>
      <c r="EF801" s="1340"/>
      <c r="EG801" s="1340"/>
      <c r="EH801" s="1340"/>
      <c r="EI801" s="1341"/>
      <c r="EJ801" s="1339">
        <f t="shared" si="65"/>
        <v>0</v>
      </c>
      <c r="EK801" s="1340"/>
      <c r="EL801" s="1340"/>
      <c r="EM801" s="1340"/>
      <c r="EN801" s="1341"/>
      <c r="EO801" s="1339">
        <f t="shared" si="66"/>
        <v>0</v>
      </c>
      <c r="EP801" s="1340"/>
      <c r="EQ801" s="1340"/>
      <c r="ER801" s="1340"/>
      <c r="ES801" s="1341"/>
      <c r="ET801" s="1339">
        <f t="shared" si="67"/>
        <v>0</v>
      </c>
      <c r="EU801" s="1340"/>
      <c r="EV801" s="1340"/>
      <c r="EW801" s="1340"/>
      <c r="EX801" s="1341"/>
    </row>
    <row r="802" spans="1:154" s="14" customFormat="1" ht="12.95" customHeight="1">
      <c r="A802"/>
      <c r="B802"/>
      <c r="C802"/>
      <c r="D802"/>
      <c r="E802"/>
      <c r="F802"/>
      <c r="G802"/>
      <c r="H802"/>
      <c r="I802"/>
      <c r="J802" s="1362"/>
      <c r="K802" s="1363"/>
      <c r="L802" s="1363"/>
      <c r="M802" s="1363"/>
      <c r="N802" s="1364"/>
      <c r="O802" s="1515"/>
      <c r="P802" s="1515"/>
      <c r="Q802" s="1515"/>
      <c r="R802" s="1515"/>
      <c r="S802" s="1515"/>
      <c r="T802" s="1591"/>
      <c r="U802" s="1592"/>
      <c r="V802" s="1592"/>
      <c r="W802" s="1593"/>
      <c r="X802" s="1482"/>
      <c r="Y802" s="1483"/>
      <c r="Z802" s="1483"/>
      <c r="AA802" s="1483"/>
      <c r="AB802" s="1484"/>
      <c r="AC802" s="1404">
        <f t="shared" si="55"/>
        <v>0</v>
      </c>
      <c r="AD802" s="1405"/>
      <c r="AE802" s="1405"/>
      <c r="AF802" s="1405"/>
      <c r="AG802" s="1406"/>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39">
        <f t="shared" si="56"/>
        <v>0</v>
      </c>
      <c r="CQ802" s="1340"/>
      <c r="CR802" s="1340"/>
      <c r="CS802" s="1340"/>
      <c r="CT802" s="1341"/>
      <c r="CU802" s="1339">
        <f t="shared" si="57"/>
        <v>0</v>
      </c>
      <c r="CV802" s="1340"/>
      <c r="CW802" s="1340"/>
      <c r="CX802" s="1340"/>
      <c r="CY802" s="1341"/>
      <c r="CZ802" s="1339">
        <f t="shared" si="58"/>
        <v>0</v>
      </c>
      <c r="DA802" s="1340"/>
      <c r="DB802" s="1340"/>
      <c r="DC802" s="1340"/>
      <c r="DD802" s="1341"/>
      <c r="DE802" s="1339">
        <f t="shared" si="59"/>
        <v>0</v>
      </c>
      <c r="DF802" s="1340"/>
      <c r="DG802" s="1340"/>
      <c r="DH802" s="1340"/>
      <c r="DI802" s="1341"/>
      <c r="DJ802" s="1339">
        <f t="shared" si="60"/>
        <v>0</v>
      </c>
      <c r="DK802" s="1340"/>
      <c r="DL802" s="1340"/>
      <c r="DM802" s="1340"/>
      <c r="DN802" s="1341"/>
      <c r="DO802" s="1339">
        <f t="shared" si="61"/>
        <v>0</v>
      </c>
      <c r="DP802" s="1340"/>
      <c r="DQ802" s="1340"/>
      <c r="DR802" s="1340"/>
      <c r="DS802" s="1341"/>
      <c r="DT802" s="6"/>
      <c r="DU802" s="1339">
        <f t="shared" si="62"/>
        <v>0</v>
      </c>
      <c r="DV802" s="1340"/>
      <c r="DW802" s="1340"/>
      <c r="DX802" s="1340"/>
      <c r="DY802" s="1341"/>
      <c r="DZ802" s="1339">
        <f t="shared" si="63"/>
        <v>0</v>
      </c>
      <c r="EA802" s="1340"/>
      <c r="EB802" s="1340"/>
      <c r="EC802" s="1340"/>
      <c r="ED802" s="1341"/>
      <c r="EE802" s="1339">
        <f t="shared" si="64"/>
        <v>0</v>
      </c>
      <c r="EF802" s="1340"/>
      <c r="EG802" s="1340"/>
      <c r="EH802" s="1340"/>
      <c r="EI802" s="1341"/>
      <c r="EJ802" s="1339">
        <f t="shared" si="65"/>
        <v>0</v>
      </c>
      <c r="EK802" s="1340"/>
      <c r="EL802" s="1340"/>
      <c r="EM802" s="1340"/>
      <c r="EN802" s="1341"/>
      <c r="EO802" s="1339">
        <f t="shared" si="66"/>
        <v>0</v>
      </c>
      <c r="EP802" s="1340"/>
      <c r="EQ802" s="1340"/>
      <c r="ER802" s="1340"/>
      <c r="ES802" s="1341"/>
      <c r="ET802" s="1339">
        <f t="shared" si="67"/>
        <v>0</v>
      </c>
      <c r="EU802" s="1340"/>
      <c r="EV802" s="1340"/>
      <c r="EW802" s="1340"/>
      <c r="EX802" s="1341"/>
    </row>
    <row r="803" spans="1:154" s="14" customFormat="1" ht="12.95" customHeight="1">
      <c r="A803"/>
      <c r="B803"/>
      <c r="C803"/>
      <c r="D803"/>
      <c r="E803"/>
      <c r="F803"/>
      <c r="G803"/>
      <c r="H803"/>
      <c r="I803"/>
      <c r="J803" s="1362"/>
      <c r="K803" s="1363"/>
      <c r="L803" s="1363"/>
      <c r="M803" s="1363"/>
      <c r="N803" s="1364"/>
      <c r="O803" s="1515"/>
      <c r="P803" s="1515"/>
      <c r="Q803" s="1515"/>
      <c r="R803" s="1515"/>
      <c r="S803" s="1515"/>
      <c r="T803" s="1591"/>
      <c r="U803" s="1592"/>
      <c r="V803" s="1592"/>
      <c r="W803" s="1593"/>
      <c r="X803" s="1482"/>
      <c r="Y803" s="1483"/>
      <c r="Z803" s="1483"/>
      <c r="AA803" s="1483"/>
      <c r="AB803" s="1484"/>
      <c r="AC803" s="1404">
        <f t="shared" si="55"/>
        <v>0</v>
      </c>
      <c r="AD803" s="1405"/>
      <c r="AE803" s="1405"/>
      <c r="AF803" s="1405"/>
      <c r="AG803" s="1406"/>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39">
        <f t="shared" si="56"/>
        <v>0</v>
      </c>
      <c r="CQ803" s="1340"/>
      <c r="CR803" s="1340"/>
      <c r="CS803" s="1340"/>
      <c r="CT803" s="1341"/>
      <c r="CU803" s="1339">
        <f t="shared" si="57"/>
        <v>0</v>
      </c>
      <c r="CV803" s="1340"/>
      <c r="CW803" s="1340"/>
      <c r="CX803" s="1340"/>
      <c r="CY803" s="1341"/>
      <c r="CZ803" s="1339">
        <f t="shared" si="58"/>
        <v>0</v>
      </c>
      <c r="DA803" s="1340"/>
      <c r="DB803" s="1340"/>
      <c r="DC803" s="1340"/>
      <c r="DD803" s="1341"/>
      <c r="DE803" s="1339">
        <f t="shared" si="59"/>
        <v>0</v>
      </c>
      <c r="DF803" s="1340"/>
      <c r="DG803" s="1340"/>
      <c r="DH803" s="1340"/>
      <c r="DI803" s="1341"/>
      <c r="DJ803" s="1339">
        <f t="shared" si="60"/>
        <v>0</v>
      </c>
      <c r="DK803" s="1340"/>
      <c r="DL803" s="1340"/>
      <c r="DM803" s="1340"/>
      <c r="DN803" s="1341"/>
      <c r="DO803" s="1339">
        <f t="shared" si="61"/>
        <v>0</v>
      </c>
      <c r="DP803" s="1340"/>
      <c r="DQ803" s="1340"/>
      <c r="DR803" s="1340"/>
      <c r="DS803" s="1341"/>
      <c r="DT803" s="6"/>
      <c r="DU803" s="1339">
        <f t="shared" si="62"/>
        <v>0</v>
      </c>
      <c r="DV803" s="1340"/>
      <c r="DW803" s="1340"/>
      <c r="DX803" s="1340"/>
      <c r="DY803" s="1341"/>
      <c r="DZ803" s="1339">
        <f t="shared" si="63"/>
        <v>0</v>
      </c>
      <c r="EA803" s="1340"/>
      <c r="EB803" s="1340"/>
      <c r="EC803" s="1340"/>
      <c r="ED803" s="1341"/>
      <c r="EE803" s="1339">
        <f t="shared" si="64"/>
        <v>0</v>
      </c>
      <c r="EF803" s="1340"/>
      <c r="EG803" s="1340"/>
      <c r="EH803" s="1340"/>
      <c r="EI803" s="1341"/>
      <c r="EJ803" s="1339">
        <f t="shared" si="65"/>
        <v>0</v>
      </c>
      <c r="EK803" s="1340"/>
      <c r="EL803" s="1340"/>
      <c r="EM803" s="1340"/>
      <c r="EN803" s="1341"/>
      <c r="EO803" s="1339">
        <f t="shared" si="66"/>
        <v>0</v>
      </c>
      <c r="EP803" s="1340"/>
      <c r="EQ803" s="1340"/>
      <c r="ER803" s="1340"/>
      <c r="ES803" s="1341"/>
      <c r="ET803" s="1339">
        <f t="shared" si="67"/>
        <v>0</v>
      </c>
      <c r="EU803" s="1340"/>
      <c r="EV803" s="1340"/>
      <c r="EW803" s="1340"/>
      <c r="EX803" s="1341"/>
    </row>
    <row r="804" spans="1:154" s="4" customFormat="1" ht="12.95" customHeight="1">
      <c r="A804"/>
      <c r="B804"/>
      <c r="C804"/>
      <c r="D804"/>
      <c r="E804"/>
      <c r="F804"/>
      <c r="G804"/>
      <c r="H804"/>
      <c r="I804"/>
      <c r="J804" s="1362"/>
      <c r="K804" s="1363"/>
      <c r="L804" s="1363"/>
      <c r="M804" s="1363"/>
      <c r="N804" s="1364"/>
      <c r="O804" s="1515"/>
      <c r="P804" s="1515"/>
      <c r="Q804" s="1515"/>
      <c r="R804" s="1515"/>
      <c r="S804" s="1515"/>
      <c r="T804" s="1591"/>
      <c r="U804" s="1592"/>
      <c r="V804" s="1592"/>
      <c r="W804" s="1593"/>
      <c r="X804" s="1482"/>
      <c r="Y804" s="1483"/>
      <c r="Z804" s="1483"/>
      <c r="AA804" s="1483"/>
      <c r="AB804" s="1484"/>
      <c r="AC804" s="1404">
        <f t="shared" si="55"/>
        <v>0</v>
      </c>
      <c r="AD804" s="1405"/>
      <c r="AE804" s="1405"/>
      <c r="AF804" s="1405"/>
      <c r="AG804" s="1406"/>
      <c r="AH804"/>
      <c r="AI804"/>
      <c r="AJ804"/>
      <c r="AK804"/>
      <c r="AL804"/>
      <c r="AM804"/>
      <c r="AN804"/>
      <c r="AO804"/>
      <c r="AP804"/>
      <c r="AQ804"/>
      <c r="AR804"/>
      <c r="AS804"/>
      <c r="AT804"/>
      <c r="AU804"/>
      <c r="AV804"/>
      <c r="AW804"/>
      <c r="AX804"/>
      <c r="AY804"/>
      <c r="AZ804" s="3"/>
      <c r="CP804" s="1339">
        <f t="shared" si="56"/>
        <v>0</v>
      </c>
      <c r="CQ804" s="1340"/>
      <c r="CR804" s="1340"/>
      <c r="CS804" s="1340"/>
      <c r="CT804" s="1341"/>
      <c r="CU804" s="1339">
        <f t="shared" si="57"/>
        <v>0</v>
      </c>
      <c r="CV804" s="1340"/>
      <c r="CW804" s="1340"/>
      <c r="CX804" s="1340"/>
      <c r="CY804" s="1341"/>
      <c r="CZ804" s="1339">
        <f t="shared" si="58"/>
        <v>0</v>
      </c>
      <c r="DA804" s="1340"/>
      <c r="DB804" s="1340"/>
      <c r="DC804" s="1340"/>
      <c r="DD804" s="1341"/>
      <c r="DE804" s="1339">
        <f t="shared" si="59"/>
        <v>0</v>
      </c>
      <c r="DF804" s="1340"/>
      <c r="DG804" s="1340"/>
      <c r="DH804" s="1340"/>
      <c r="DI804" s="1341"/>
      <c r="DJ804" s="1339">
        <f t="shared" si="60"/>
        <v>0</v>
      </c>
      <c r="DK804" s="1340"/>
      <c r="DL804" s="1340"/>
      <c r="DM804" s="1340"/>
      <c r="DN804" s="1341"/>
      <c r="DO804" s="1339">
        <f t="shared" si="61"/>
        <v>0</v>
      </c>
      <c r="DP804" s="1340"/>
      <c r="DQ804" s="1340"/>
      <c r="DR804" s="1340"/>
      <c r="DS804" s="1341"/>
      <c r="DT804" s="6"/>
      <c r="DU804" s="1339">
        <f t="shared" si="62"/>
        <v>0</v>
      </c>
      <c r="DV804" s="1340"/>
      <c r="DW804" s="1340"/>
      <c r="DX804" s="1340"/>
      <c r="DY804" s="1341"/>
      <c r="DZ804" s="1339">
        <f t="shared" si="63"/>
        <v>0</v>
      </c>
      <c r="EA804" s="1340"/>
      <c r="EB804" s="1340"/>
      <c r="EC804" s="1340"/>
      <c r="ED804" s="1341"/>
      <c r="EE804" s="1339">
        <f t="shared" si="64"/>
        <v>0</v>
      </c>
      <c r="EF804" s="1340"/>
      <c r="EG804" s="1340"/>
      <c r="EH804" s="1340"/>
      <c r="EI804" s="1341"/>
      <c r="EJ804" s="1339">
        <f t="shared" si="65"/>
        <v>0</v>
      </c>
      <c r="EK804" s="1340"/>
      <c r="EL804" s="1340"/>
      <c r="EM804" s="1340"/>
      <c r="EN804" s="1341"/>
      <c r="EO804" s="1339">
        <f t="shared" si="66"/>
        <v>0</v>
      </c>
      <c r="EP804" s="1340"/>
      <c r="EQ804" s="1340"/>
      <c r="ER804" s="1340"/>
      <c r="ES804" s="1341"/>
      <c r="ET804" s="1339">
        <f t="shared" si="67"/>
        <v>0</v>
      </c>
      <c r="EU804" s="1340"/>
      <c r="EV804" s="1340"/>
      <c r="EW804" s="1340"/>
      <c r="EX804" s="1341"/>
    </row>
    <row r="805" spans="1:154" s="4" customFormat="1" ht="12.95" customHeight="1">
      <c r="A805"/>
      <c r="B805"/>
      <c r="C805"/>
      <c r="D805"/>
      <c r="E805"/>
      <c r="F805"/>
      <c r="G805"/>
      <c r="H805"/>
      <c r="I805"/>
      <c r="J805" s="1427" t="s">
        <v>125</v>
      </c>
      <c r="K805" s="1428"/>
      <c r="L805" s="1428"/>
      <c r="M805" s="1428"/>
      <c r="N805" s="1430"/>
      <c r="O805" s="1614">
        <f>SUM(O795:S804)</f>
        <v>0</v>
      </c>
      <c r="P805" s="1614"/>
      <c r="Q805" s="1614"/>
      <c r="R805" s="1614"/>
      <c r="S805" s="1614"/>
      <c r="T805"/>
      <c r="U805"/>
      <c r="V805"/>
      <c r="W805"/>
      <c r="X805" s="898" t="s">
        <v>124</v>
      </c>
      <c r="Y805" s="11"/>
      <c r="Z805" s="11"/>
      <c r="AA805" s="11"/>
      <c r="AB805" s="905"/>
      <c r="AC805" s="1404">
        <f>SUM(AC795:AG804)</f>
        <v>0</v>
      </c>
      <c r="AD805" s="1405"/>
      <c r="AE805" s="1405"/>
      <c r="AF805" s="1405"/>
      <c r="AG805" s="1406"/>
      <c r="AH805"/>
      <c r="AI805"/>
      <c r="AJ805"/>
      <c r="AK805"/>
      <c r="AL805"/>
      <c r="AM805"/>
      <c r="AN805"/>
      <c r="AO805"/>
      <c r="AP805"/>
      <c r="AQ805"/>
      <c r="AR805"/>
      <c r="AS805"/>
      <c r="AT805"/>
      <c r="AU805"/>
      <c r="AV805"/>
      <c r="AW805"/>
      <c r="AX805"/>
      <c r="AY805"/>
      <c r="AZ805" s="3"/>
      <c r="BA805"/>
      <c r="CP805" s="1342">
        <f>SUM(CP795:CT804)</f>
        <v>0</v>
      </c>
      <c r="CQ805" s="1343"/>
      <c r="CR805" s="1343"/>
      <c r="CS805" s="1343"/>
      <c r="CT805" s="1344"/>
      <c r="CU805" s="1356">
        <f>SUM(CU795:CY804)</f>
        <v>0</v>
      </c>
      <c r="CV805" s="1357"/>
      <c r="CW805" s="1357"/>
      <c r="CX805" s="1357"/>
      <c r="CY805" s="1358"/>
      <c r="CZ805" s="1356">
        <f>SUM(CZ795:DD804)</f>
        <v>0</v>
      </c>
      <c r="DA805" s="1357"/>
      <c r="DB805" s="1357"/>
      <c r="DC805" s="1357"/>
      <c r="DD805" s="1358"/>
      <c r="DE805" s="1356">
        <f>SUM(DE795:DI804)</f>
        <v>0</v>
      </c>
      <c r="DF805" s="1357"/>
      <c r="DG805" s="1357"/>
      <c r="DH805" s="1357"/>
      <c r="DI805" s="1358"/>
      <c r="DJ805" s="1356">
        <f>SUM(DJ795:DN804)</f>
        <v>0</v>
      </c>
      <c r="DK805" s="1357"/>
      <c r="DL805" s="1357"/>
      <c r="DM805" s="1357"/>
      <c r="DN805" s="1358"/>
      <c r="DO805" s="1356">
        <f>SUM(DO795:DS804)</f>
        <v>0</v>
      </c>
      <c r="DP805" s="1357"/>
      <c r="DQ805" s="1357"/>
      <c r="DR805" s="1357"/>
      <c r="DS805" s="1358"/>
      <c r="DT805" s="1007"/>
      <c r="DU805" s="1342">
        <f>SUM(DU795:DY804)</f>
        <v>0</v>
      </c>
      <c r="DV805" s="1343"/>
      <c r="DW805" s="1343"/>
      <c r="DX805" s="1343"/>
      <c r="DY805" s="1344"/>
      <c r="DZ805" s="1342">
        <f>SUM(DZ795:ED804)</f>
        <v>0</v>
      </c>
      <c r="EA805" s="1343"/>
      <c r="EB805" s="1343"/>
      <c r="EC805" s="1343"/>
      <c r="ED805" s="1344"/>
      <c r="EE805" s="1342">
        <f>SUM(EE795:EI804)</f>
        <v>0</v>
      </c>
      <c r="EF805" s="1343"/>
      <c r="EG805" s="1343"/>
      <c r="EH805" s="1343"/>
      <c r="EI805" s="1344"/>
      <c r="EJ805" s="1342">
        <f>SUM(EJ795:EN804)</f>
        <v>0</v>
      </c>
      <c r="EK805" s="1343"/>
      <c r="EL805" s="1343"/>
      <c r="EM805" s="1343"/>
      <c r="EN805" s="1344"/>
      <c r="EO805" s="1342">
        <f>SUM(EO795:ES804)</f>
        <v>0</v>
      </c>
      <c r="EP805" s="1343"/>
      <c r="EQ805" s="1343"/>
      <c r="ER805" s="1343"/>
      <c r="ES805" s="1344"/>
      <c r="ET805" s="1342">
        <f>SUM(ET795:EX804)</f>
        <v>0</v>
      </c>
      <c r="EU805" s="1343"/>
      <c r="EV805" s="1343"/>
      <c r="EW805" s="1343"/>
      <c r="EX805" s="1344"/>
    </row>
    <row r="806" spans="1:154" s="4" customFormat="1" ht="12.95" customHeight="1">
      <c r="A806"/>
      <c r="B806"/>
      <c r="C806" s="1659" t="str">
        <f>IF(O805&lt;&gt;AG447,"! Total market rate units in the Unit Mix Table above does not match the number of  market rate units on row #"&amp;TEXT(ROW(D447),"#"),"")</f>
        <v/>
      </c>
      <c r="D806" s="1659"/>
      <c r="E806" s="1659"/>
      <c r="F806" s="1659"/>
      <c r="G806" s="1659"/>
      <c r="H806" s="1659"/>
      <c r="I806" s="1659"/>
      <c r="J806" s="1659"/>
      <c r="K806" s="1659"/>
      <c r="L806" s="1659"/>
      <c r="M806" s="1659"/>
      <c r="N806" s="1659"/>
      <c r="O806" s="1659"/>
      <c r="P806" s="1659"/>
      <c r="Q806" s="1659"/>
      <c r="R806" s="1659"/>
      <c r="S806" s="1659"/>
      <c r="T806" s="1659"/>
      <c r="U806" s="1659"/>
      <c r="V806" s="1659"/>
      <c r="W806" s="1659"/>
      <c r="X806" s="1659"/>
      <c r="Y806" s="1659"/>
      <c r="Z806" s="1659"/>
      <c r="AA806" s="1659"/>
      <c r="AB806" s="1659"/>
      <c r="AC806" s="1659"/>
      <c r="AD806" s="1659"/>
      <c r="AE806" s="1659"/>
      <c r="AF806" s="1659"/>
      <c r="AG806" s="1659"/>
      <c r="AH806" s="1659"/>
      <c r="AI806" s="1659"/>
      <c r="AJ806" s="1659"/>
      <c r="AK806" s="1659"/>
      <c r="AL806" s="1659"/>
      <c r="AM806" s="1659"/>
      <c r="AN806" s="1659"/>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659"/>
      <c r="D807" s="1659"/>
      <c r="E807" s="1659"/>
      <c r="F807" s="1659"/>
      <c r="G807" s="1659"/>
      <c r="H807" s="1659"/>
      <c r="I807" s="1659"/>
      <c r="J807" s="1659"/>
      <c r="K807" s="1659"/>
      <c r="L807" s="1659"/>
      <c r="M807" s="1659"/>
      <c r="N807" s="1659"/>
      <c r="O807" s="1659"/>
      <c r="P807" s="1659"/>
      <c r="Q807" s="1659"/>
      <c r="R807" s="1659"/>
      <c r="S807" s="1659"/>
      <c r="T807" s="1659"/>
      <c r="U807" s="1659"/>
      <c r="V807" s="1659"/>
      <c r="W807" s="1659"/>
      <c r="X807" s="1659"/>
      <c r="Y807" s="1659"/>
      <c r="Z807" s="1659"/>
      <c r="AA807" s="1659"/>
      <c r="AB807" s="1659"/>
      <c r="AC807" s="1659"/>
      <c r="AD807" s="1659"/>
      <c r="AE807" s="1659"/>
      <c r="AF807" s="1659"/>
      <c r="AG807" s="1659"/>
      <c r="AH807" s="1659"/>
      <c r="AI807" s="1659"/>
      <c r="AJ807" s="1659"/>
      <c r="AK807" s="1659"/>
      <c r="AL807" s="1659"/>
      <c r="AM807" s="1659"/>
      <c r="AN807" s="1659"/>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1833</v>
      </c>
      <c r="DW807" s="3"/>
      <c r="DX807" s="3"/>
      <c r="DY807" s="3"/>
      <c r="DZ807" s="3"/>
      <c r="EA807" s="3"/>
      <c r="EB807" s="3"/>
      <c r="EC807" s="3"/>
      <c r="ED807" s="3"/>
      <c r="EE807" s="3"/>
      <c r="EF807" s="3"/>
      <c r="EG807" s="3"/>
      <c r="EH807" s="3"/>
      <c r="EI807"/>
      <c r="EJ807"/>
      <c r="EK807"/>
      <c r="EL807"/>
      <c r="EM807"/>
      <c r="EN807"/>
      <c r="EO807"/>
      <c r="EP807"/>
      <c r="EQ807"/>
      <c r="ER807"/>
      <c r="ES807" s="56" t="s">
        <v>1842</v>
      </c>
      <c r="ET807" s="1353">
        <f>SUM(DU805:EX805)</f>
        <v>0</v>
      </c>
      <c r="EU807" s="1354"/>
      <c r="EV807" s="1354"/>
      <c r="EW807" s="1354"/>
      <c r="EX807" s="1355"/>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597">
        <f>O761+AC785+AC805</f>
        <v>346890.8</v>
      </c>
      <c r="Z808" s="1597"/>
      <c r="AA808" s="1597"/>
      <c r="AB808" s="1597"/>
      <c r="AC808" s="1597"/>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597">
        <f>(O761+AC785+AC805)*12</f>
        <v>4162689.5999999996</v>
      </c>
      <c r="Z809" s="1597"/>
      <c r="AA809" s="1597"/>
      <c r="AB809" s="1597"/>
      <c r="AC809" s="1597"/>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356">
        <f>CP761+CP785+CP805</f>
        <v>16</v>
      </c>
      <c r="CQ810" s="1357"/>
      <c r="CR810" s="1357"/>
      <c r="CS810" s="1357"/>
      <c r="CT810" s="1358"/>
      <c r="CU810" s="1356">
        <f>CU761+CU785+CU805</f>
        <v>168</v>
      </c>
      <c r="CV810" s="1357"/>
      <c r="CW810" s="1357"/>
      <c r="CX810" s="1357"/>
      <c r="CY810" s="1358"/>
      <c r="CZ810" s="1356">
        <f>CZ761+CZ785+CZ805</f>
        <v>6</v>
      </c>
      <c r="DA810" s="1357"/>
      <c r="DB810" s="1357"/>
      <c r="DC810" s="1357"/>
      <c r="DD810" s="1358"/>
      <c r="DE810" s="1356">
        <f>DE761+DE785+DE805</f>
        <v>0</v>
      </c>
      <c r="DF810" s="1357"/>
      <c r="DG810" s="1357"/>
      <c r="DH810" s="1357"/>
      <c r="DI810" s="1358"/>
      <c r="DJ810" s="1356">
        <f>DJ761+DJ785+DJ805</f>
        <v>0</v>
      </c>
      <c r="DK810" s="1357"/>
      <c r="DL810" s="1357"/>
      <c r="DM810" s="1357"/>
      <c r="DN810" s="1358"/>
      <c r="DO810" s="1359">
        <f>DO805+DO785+DO761</f>
        <v>0</v>
      </c>
      <c r="DP810" s="1360"/>
      <c r="DQ810" s="1360"/>
      <c r="DR810" s="1360"/>
      <c r="DS810" s="1361"/>
      <c r="DT810" s="3"/>
      <c r="DU810" s="857">
        <f>DU763+DU808</f>
        <v>194</v>
      </c>
      <c r="DV810" s="57" t="s">
        <v>1838</v>
      </c>
    </row>
    <row r="811" spans="1:154" s="4" customFormat="1" ht="12.95"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26"/>
      <c r="AA814" s="1624"/>
      <c r="AB814" s="1624"/>
      <c r="AC814" s="1624"/>
      <c r="AD814" s="1624"/>
      <c r="AE814" s="1625"/>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623"/>
      <c r="AA815" s="1624"/>
      <c r="AB815" s="1624"/>
      <c r="AC815" s="1624"/>
      <c r="AD815" s="1624"/>
      <c r="AE815" s="1625"/>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57">
        <v>0</v>
      </c>
      <c r="AA816" s="1506"/>
      <c r="AB816" s="1506"/>
      <c r="AC816" s="1506"/>
      <c r="AD816" s="1506"/>
      <c r="AE816" s="1658"/>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85">
        <f>'Subsidy Contract Calculation'!J40</f>
        <v>0</v>
      </c>
      <c r="AA817" s="1486"/>
      <c r="AB817" s="1486"/>
      <c r="AC817" s="1486"/>
      <c r="AD817" s="1486"/>
      <c r="AE817" s="1487"/>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88">
        <v>28500</v>
      </c>
      <c r="AA821" s="1345"/>
      <c r="AB821" s="1345"/>
      <c r="AC821" s="1345"/>
      <c r="AD821" s="1345"/>
      <c r="AE821" s="1346"/>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88"/>
      <c r="AA822" s="1345"/>
      <c r="AB822" s="1345"/>
      <c r="AC822" s="1345"/>
      <c r="AD822" s="1345"/>
      <c r="AE822" s="1346"/>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88"/>
      <c r="AA823" s="1345"/>
      <c r="AB823" s="1345"/>
      <c r="AC823" s="1345"/>
      <c r="AD823" s="1345"/>
      <c r="AE823" s="1346"/>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29" t="s">
        <v>2747</v>
      </c>
      <c r="Q824" s="1630"/>
      <c r="R824" s="1630"/>
      <c r="S824" s="1630"/>
      <c r="T824" s="1630"/>
      <c r="U824" s="1630"/>
      <c r="V824" s="1630"/>
      <c r="W824" s="1630"/>
      <c r="X824" s="1630"/>
      <c r="Y824" s="1638"/>
      <c r="Z824" s="1488">
        <f>378000-Z821</f>
        <v>349500</v>
      </c>
      <c r="AA824" s="1345"/>
      <c r="AB824" s="1345"/>
      <c r="AC824" s="1345"/>
      <c r="AD824" s="1345"/>
      <c r="AE824" s="1346"/>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85">
        <f>SUM(Z821:AE824)</f>
        <v>378000</v>
      </c>
      <c r="AA825" s="1486"/>
      <c r="AB825" s="1486"/>
      <c r="AC825" s="1486"/>
      <c r="AD825" s="1486"/>
      <c r="AE825" s="1487"/>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485">
        <f>Z825+Y809+Z817</f>
        <v>4540689.5999999996</v>
      </c>
      <c r="AA826" s="1486"/>
      <c r="AB826" s="1486"/>
      <c r="AC826" s="1486"/>
      <c r="AD826" s="1486"/>
      <c r="AE826" s="1487"/>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703" t="s">
        <v>126</v>
      </c>
      <c r="N831" s="1703"/>
      <c r="O831" s="1703"/>
      <c r="P831" s="1704"/>
      <c r="Q831" s="1617" t="s">
        <v>290</v>
      </c>
      <c r="R831" s="1617"/>
      <c r="S831" s="1617"/>
      <c r="T831" s="1617"/>
      <c r="U831" s="1617" t="s">
        <v>291</v>
      </c>
      <c r="V831" s="1617"/>
      <c r="W831" s="1617"/>
      <c r="X831" s="1617"/>
      <c r="Y831" s="1617" t="s">
        <v>292</v>
      </c>
      <c r="Z831" s="1617"/>
      <c r="AA831" s="1617"/>
      <c r="AB831" s="1617"/>
      <c r="AC831" s="1617" t="s">
        <v>361</v>
      </c>
      <c r="AD831" s="1617"/>
      <c r="AE831" s="1617"/>
      <c r="AF831" s="1617"/>
      <c r="AG831" s="1610" t="s">
        <v>335</v>
      </c>
      <c r="AH831" s="1610"/>
      <c r="AI831" s="1610"/>
      <c r="AJ831" s="1610"/>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705"/>
      <c r="N832" s="1705"/>
      <c r="O832" s="1705"/>
      <c r="P832" s="1706"/>
      <c r="Q832" s="1617"/>
      <c r="R832" s="1617"/>
      <c r="S832" s="1617"/>
      <c r="T832" s="1617"/>
      <c r="U832" s="1617"/>
      <c r="V832" s="1617"/>
      <c r="W832" s="1617"/>
      <c r="X832" s="1617"/>
      <c r="Y832" s="1617"/>
      <c r="Z832" s="1617"/>
      <c r="AA832" s="1617"/>
      <c r="AB832" s="1617"/>
      <c r="AC832" s="1617"/>
      <c r="AD832" s="1617"/>
      <c r="AE832" s="1617"/>
      <c r="AF832" s="1617"/>
      <c r="AG832" s="1610"/>
      <c r="AH832" s="1610"/>
      <c r="AI832" s="1610"/>
      <c r="AJ832" s="1610"/>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619" t="s">
        <v>40</v>
      </c>
      <c r="D833" s="1370"/>
      <c r="E833" s="1370"/>
      <c r="F833" s="1370"/>
      <c r="G833" s="1370"/>
      <c r="H833" s="1370"/>
      <c r="I833" s="48"/>
      <c r="J833" s="48"/>
      <c r="K833" s="48"/>
      <c r="L833" s="49"/>
      <c r="M833" s="1616">
        <v>16</v>
      </c>
      <c r="N833" s="1616"/>
      <c r="O833" s="1616"/>
      <c r="P833" s="1616"/>
      <c r="Q833" s="1616">
        <v>19</v>
      </c>
      <c r="R833" s="1616"/>
      <c r="S833" s="1616"/>
      <c r="T833" s="1616"/>
      <c r="U833" s="1616">
        <v>22</v>
      </c>
      <c r="V833" s="1616"/>
      <c r="W833" s="1616"/>
      <c r="X833" s="1616"/>
      <c r="Y833" s="1616"/>
      <c r="Z833" s="1616"/>
      <c r="AA833" s="1616"/>
      <c r="AB833" s="1616"/>
      <c r="AC833" s="1583"/>
      <c r="AD833" s="1584"/>
      <c r="AE833" s="1584"/>
      <c r="AF833" s="1585"/>
      <c r="AG833" s="1583"/>
      <c r="AH833" s="1584"/>
      <c r="AI833" s="1584"/>
      <c r="AJ833" s="1585"/>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395" t="s">
        <v>41</v>
      </c>
      <c r="D834" s="1396"/>
      <c r="E834" s="1396"/>
      <c r="F834" s="1396"/>
      <c r="G834" s="1396"/>
      <c r="H834" s="1396"/>
      <c r="I834" s="5"/>
      <c r="J834" s="5"/>
      <c r="K834" s="5"/>
      <c r="L834" s="46"/>
      <c r="M834" s="1616"/>
      <c r="N834" s="1616"/>
      <c r="O834" s="1616"/>
      <c r="P834" s="1616"/>
      <c r="Q834" s="1616"/>
      <c r="R834" s="1616"/>
      <c r="S834" s="1616"/>
      <c r="T834" s="1616"/>
      <c r="U834" s="1616"/>
      <c r="V834" s="1616"/>
      <c r="W834" s="1616"/>
      <c r="X834" s="1616"/>
      <c r="Y834" s="1616"/>
      <c r="Z834" s="1616"/>
      <c r="AA834" s="1616"/>
      <c r="AB834" s="1616"/>
      <c r="AC834" s="1583"/>
      <c r="AD834" s="1584"/>
      <c r="AE834" s="1584"/>
      <c r="AF834" s="1585"/>
      <c r="AG834" s="1583"/>
      <c r="AH834" s="1584"/>
      <c r="AI834" s="1584"/>
      <c r="AJ834" s="1585"/>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395" t="s">
        <v>42</v>
      </c>
      <c r="D835" s="1396"/>
      <c r="E835" s="1396"/>
      <c r="F835" s="1396"/>
      <c r="G835" s="1396"/>
      <c r="H835" s="1396"/>
      <c r="I835" s="60"/>
      <c r="J835" s="60"/>
      <c r="K835" s="60"/>
      <c r="L835" s="61"/>
      <c r="M835" s="1616">
        <v>10</v>
      </c>
      <c r="N835" s="1616"/>
      <c r="O835" s="1616"/>
      <c r="P835" s="1616"/>
      <c r="Q835" s="1616">
        <v>12</v>
      </c>
      <c r="R835" s="1616"/>
      <c r="S835" s="1616"/>
      <c r="T835" s="1616"/>
      <c r="U835" s="1616">
        <v>18</v>
      </c>
      <c r="V835" s="1616"/>
      <c r="W835" s="1616"/>
      <c r="X835" s="1616"/>
      <c r="Y835" s="1616"/>
      <c r="Z835" s="1616"/>
      <c r="AA835" s="1616"/>
      <c r="AB835" s="1616"/>
      <c r="AC835" s="1583"/>
      <c r="AD835" s="1584"/>
      <c r="AE835" s="1584"/>
      <c r="AF835" s="1585"/>
      <c r="AG835" s="1583"/>
      <c r="AH835" s="1584"/>
      <c r="AI835" s="1584"/>
      <c r="AJ835" s="1585"/>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395" t="s">
        <v>762</v>
      </c>
      <c r="D836" s="1396"/>
      <c r="E836" s="1396"/>
      <c r="F836" s="1396"/>
      <c r="G836" s="1396"/>
      <c r="H836" s="1396"/>
      <c r="I836" s="60"/>
      <c r="J836" s="60"/>
      <c r="K836" s="60"/>
      <c r="L836" s="61"/>
      <c r="M836" s="1616"/>
      <c r="N836" s="1616"/>
      <c r="O836" s="1616"/>
      <c r="P836" s="1616"/>
      <c r="Q836" s="1616"/>
      <c r="R836" s="1616"/>
      <c r="S836" s="1616"/>
      <c r="T836" s="1616"/>
      <c r="U836" s="1616"/>
      <c r="V836" s="1616"/>
      <c r="W836" s="1616"/>
      <c r="X836" s="1616"/>
      <c r="Y836" s="1616"/>
      <c r="Z836" s="1616"/>
      <c r="AA836" s="1616"/>
      <c r="AB836" s="1616"/>
      <c r="AC836" s="1583"/>
      <c r="AD836" s="1584"/>
      <c r="AE836" s="1584"/>
      <c r="AF836" s="1585"/>
      <c r="AG836" s="1583"/>
      <c r="AH836" s="1584"/>
      <c r="AI836" s="1584"/>
      <c r="AJ836" s="1585"/>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395" t="s">
        <v>459</v>
      </c>
      <c r="D837" s="1396"/>
      <c r="E837" s="1396"/>
      <c r="F837" s="1396"/>
      <c r="G837" s="1396"/>
      <c r="H837" s="1396"/>
      <c r="I837" s="60"/>
      <c r="J837" s="60"/>
      <c r="K837" s="60"/>
      <c r="L837" s="61"/>
      <c r="M837" s="1616">
        <v>30</v>
      </c>
      <c r="N837" s="1616"/>
      <c r="O837" s="1616"/>
      <c r="P837" s="1616"/>
      <c r="Q837" s="1616">
        <v>38</v>
      </c>
      <c r="R837" s="1616"/>
      <c r="S837" s="1616"/>
      <c r="T837" s="1616"/>
      <c r="U837" s="1616">
        <v>56</v>
      </c>
      <c r="V837" s="1616"/>
      <c r="W837" s="1616"/>
      <c r="X837" s="1616"/>
      <c r="Y837" s="1616"/>
      <c r="Z837" s="1616"/>
      <c r="AA837" s="1616"/>
      <c r="AB837" s="1616"/>
      <c r="AC837" s="1583"/>
      <c r="AD837" s="1584"/>
      <c r="AE837" s="1584"/>
      <c r="AF837" s="1585"/>
      <c r="AG837" s="1583"/>
      <c r="AH837" s="1584"/>
      <c r="AI837" s="1584"/>
      <c r="AJ837" s="1585"/>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628" t="s">
        <v>783</v>
      </c>
      <c r="D838" s="1396"/>
      <c r="E838" s="1396"/>
      <c r="F838" s="1396"/>
      <c r="G838" s="1396"/>
      <c r="H838" s="1396"/>
      <c r="I838" s="60"/>
      <c r="J838" s="60"/>
      <c r="K838" s="60"/>
      <c r="L838" s="61"/>
      <c r="M838" s="1616"/>
      <c r="N838" s="1616"/>
      <c r="O838" s="1616"/>
      <c r="P838" s="1616"/>
      <c r="Q838" s="1616"/>
      <c r="R838" s="1616"/>
      <c r="S838" s="1616"/>
      <c r="T838" s="1616"/>
      <c r="U838" s="1616"/>
      <c r="V838" s="1616"/>
      <c r="W838" s="1616"/>
      <c r="X838" s="1616"/>
      <c r="Y838" s="1616"/>
      <c r="Z838" s="1616"/>
      <c r="AA838" s="1616"/>
      <c r="AB838" s="1616"/>
      <c r="AC838" s="1583"/>
      <c r="AD838" s="1584"/>
      <c r="AE838" s="1584"/>
      <c r="AF838" s="1585"/>
      <c r="AG838" s="1583"/>
      <c r="AH838" s="1584"/>
      <c r="AI838" s="1584"/>
      <c r="AJ838" s="1585"/>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629" t="s">
        <v>2671</v>
      </c>
      <c r="G839" s="1630"/>
      <c r="H839" s="1630"/>
      <c r="I839" s="1630"/>
      <c r="J839" s="1630"/>
      <c r="K839" s="1630"/>
      <c r="L839" s="1630"/>
      <c r="M839" s="1616">
        <v>12</v>
      </c>
      <c r="N839" s="1616"/>
      <c r="O839" s="1616"/>
      <c r="P839" s="1616"/>
      <c r="Q839" s="1616">
        <v>14</v>
      </c>
      <c r="R839" s="1616"/>
      <c r="S839" s="1616"/>
      <c r="T839" s="1616"/>
      <c r="U839" s="1616">
        <v>20</v>
      </c>
      <c r="V839" s="1616"/>
      <c r="W839" s="1616"/>
      <c r="X839" s="1616"/>
      <c r="Y839" s="1616"/>
      <c r="Z839" s="1616"/>
      <c r="AA839" s="1616"/>
      <c r="AB839" s="1616"/>
      <c r="AC839" s="1583"/>
      <c r="AD839" s="1584"/>
      <c r="AE839" s="1584"/>
      <c r="AF839" s="1585"/>
      <c r="AG839" s="1583"/>
      <c r="AH839" s="1584"/>
      <c r="AI839" s="1584"/>
      <c r="AJ839" s="1585"/>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427" t="s">
        <v>124</v>
      </c>
      <c r="D840" s="1428"/>
      <c r="E840" s="1428"/>
      <c r="F840" s="1428"/>
      <c r="G840" s="1428"/>
      <c r="H840" s="1428"/>
      <c r="I840" s="1428"/>
      <c r="J840" s="1428"/>
      <c r="K840" s="1428"/>
      <c r="L840" s="1430"/>
      <c r="M840" s="1683">
        <f>SUM(M833:P839)</f>
        <v>68</v>
      </c>
      <c r="N840" s="1683"/>
      <c r="O840" s="1683"/>
      <c r="P840" s="1683"/>
      <c r="Q840" s="1683">
        <f>SUM(Q833:T839)</f>
        <v>83</v>
      </c>
      <c r="R840" s="1683"/>
      <c r="S840" s="1683"/>
      <c r="T840" s="1683"/>
      <c r="U840" s="1683">
        <f>SUM(U833:X839)</f>
        <v>116</v>
      </c>
      <c r="V840" s="1683"/>
      <c r="W840" s="1683"/>
      <c r="X840" s="1683"/>
      <c r="Y840" s="1683">
        <f>SUM(Y833:AB839)</f>
        <v>0</v>
      </c>
      <c r="Z840" s="1683"/>
      <c r="AA840" s="1683"/>
      <c r="AB840" s="1683"/>
      <c r="AC840" s="1683">
        <f>SUM(AC833:AF839)</f>
        <v>0</v>
      </c>
      <c r="AD840" s="1683"/>
      <c r="AE840" s="1683"/>
      <c r="AF840" s="1683"/>
      <c r="AG840" s="1683">
        <f>SUM(AG833:AJ839)</f>
        <v>0</v>
      </c>
      <c r="AH840" s="1683"/>
      <c r="AI840" s="1683"/>
      <c r="AJ840" s="1683"/>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654" t="s">
        <v>2649</v>
      </c>
      <c r="D845" s="1655"/>
      <c r="E845" s="1655"/>
      <c r="F845" s="1655"/>
      <c r="G845" s="1655"/>
      <c r="H845" s="1655"/>
      <c r="I845" s="1655"/>
      <c r="J845" s="1655"/>
      <c r="K845" s="1655"/>
      <c r="L845" s="1655"/>
      <c r="M845" s="1655"/>
      <c r="N845" s="1655"/>
      <c r="O845" s="1655"/>
      <c r="P845" s="1655"/>
      <c r="Q845" s="1655"/>
      <c r="R845" s="1655"/>
      <c r="S845" s="1655"/>
      <c r="T845" s="1655"/>
      <c r="U845" s="1655"/>
      <c r="V845" s="1655"/>
      <c r="W845" s="1655"/>
      <c r="X845" s="1655"/>
      <c r="Y845" s="1655"/>
      <c r="Z845" s="1655"/>
      <c r="AA845" s="1655"/>
      <c r="AB845" s="1655"/>
      <c r="AC845" s="1655"/>
      <c r="AD845" s="1655"/>
      <c r="AE845" s="1655"/>
      <c r="AF845" s="1655"/>
      <c r="AG845" s="1655"/>
      <c r="AH845" s="1655"/>
      <c r="AI845" s="1655"/>
      <c r="AJ845" s="1656"/>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33"/>
      <c r="BJ849" s="1633"/>
      <c r="BK849" s="1633"/>
      <c r="BL849" s="1633"/>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627">
        <v>11647</v>
      </c>
      <c r="X850" s="1627"/>
      <c r="Y850" s="1627"/>
      <c r="Z850" s="1627"/>
      <c r="AA850" s="1627"/>
      <c r="AB850" s="1627"/>
      <c r="AC850" s="1627"/>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627">
        <v>45634</v>
      </c>
      <c r="X851" s="1627"/>
      <c r="Y851" s="1627"/>
      <c r="Z851" s="1627"/>
      <c r="AA851" s="1627"/>
      <c r="AB851" s="1627"/>
      <c r="AC851" s="1627"/>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627">
        <v>37923</v>
      </c>
      <c r="X852" s="1627"/>
      <c r="Y852" s="1627"/>
      <c r="Z852" s="1627"/>
      <c r="AA852" s="1627"/>
      <c r="AB852" s="1627"/>
      <c r="AC852" s="1627"/>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627">
        <v>49533</v>
      </c>
      <c r="X853" s="1627"/>
      <c r="Y853" s="1627"/>
      <c r="Z853" s="1627"/>
      <c r="AA853" s="1627"/>
      <c r="AB853" s="1627"/>
      <c r="AC853" s="1627"/>
      <c r="AZ853" s="30"/>
      <c r="BA853" s="30"/>
      <c r="BB853" s="14"/>
      <c r="BC853" s="14"/>
      <c r="BD853" s="14"/>
      <c r="BE853" s="14"/>
      <c r="BF853" s="14"/>
      <c r="BG853" s="14"/>
      <c r="BH853" s="14"/>
      <c r="BI853" s="14"/>
      <c r="BJ853" s="14"/>
      <c r="BK853" s="14"/>
      <c r="BL853" s="14"/>
    </row>
    <row r="854" spans="1:64" ht="12.95" customHeight="1">
      <c r="J854" s="45" t="s">
        <v>170</v>
      </c>
      <c r="K854" s="5"/>
      <c r="L854" s="5"/>
      <c r="M854" s="1629" t="s">
        <v>2681</v>
      </c>
      <c r="N854" s="1630"/>
      <c r="O854" s="1630"/>
      <c r="P854" s="1630"/>
      <c r="Q854" s="1630"/>
      <c r="R854" s="1630"/>
      <c r="S854" s="1630"/>
      <c r="T854" s="1630"/>
      <c r="U854" s="1630"/>
      <c r="V854" s="1638"/>
      <c r="W854" s="1627">
        <v>58523</v>
      </c>
      <c r="X854" s="1627"/>
      <c r="Y854" s="1627"/>
      <c r="Z854" s="1627"/>
      <c r="AA854" s="1627"/>
      <c r="AB854" s="1627"/>
      <c r="AC854" s="1627"/>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485">
        <f>SUM(W850:W854)</f>
        <v>203260</v>
      </c>
      <c r="X855" s="1486"/>
      <c r="Y855" s="1486"/>
      <c r="Z855" s="1486"/>
      <c r="AA855" s="1486"/>
      <c r="AB855" s="1486"/>
      <c r="AC855" s="1487"/>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32"/>
      <c r="BH856" s="1632"/>
      <c r="BI856" s="1632"/>
      <c r="BJ856" s="1632"/>
      <c r="BK856" s="1632"/>
      <c r="BL856" s="1632"/>
    </row>
    <row r="857" spans="1:64" ht="12.95" customHeight="1">
      <c r="C857" s="2" t="s">
        <v>344</v>
      </c>
      <c r="J857" s="1427" t="s">
        <v>345</v>
      </c>
      <c r="K857" s="1428"/>
      <c r="L857" s="1428"/>
      <c r="M857" s="1428"/>
      <c r="N857" s="1428"/>
      <c r="O857" s="1428"/>
      <c r="P857" s="1428"/>
      <c r="Q857" s="1428"/>
      <c r="R857" s="1428"/>
      <c r="S857" s="1428"/>
      <c r="T857" s="1428"/>
      <c r="U857" s="1428"/>
      <c r="V857" s="1430"/>
      <c r="W857" s="1488">
        <v>162680</v>
      </c>
      <c r="X857" s="1345"/>
      <c r="Y857" s="1345"/>
      <c r="Z857" s="1345"/>
      <c r="AA857" s="1345"/>
      <c r="AB857" s="1345"/>
      <c r="AC857" s="1346"/>
      <c r="AD857" s="533"/>
      <c r="AZ857" s="30"/>
      <c r="BA857" s="30"/>
      <c r="BB857" s="14"/>
      <c r="BC857" s="14"/>
    </row>
    <row r="858" spans="1:64" ht="12.95" customHeight="1">
      <c r="AD858" s="533"/>
      <c r="AZ858" s="30"/>
      <c r="BA858" s="30"/>
      <c r="BB858" s="14"/>
      <c r="BC858" s="14"/>
    </row>
    <row r="859" spans="1:64" ht="12.95" customHeight="1">
      <c r="C859" s="2" t="s">
        <v>561</v>
      </c>
      <c r="J859" s="45" t="s">
        <v>352</v>
      </c>
      <c r="K859" s="5"/>
      <c r="L859" s="5"/>
      <c r="M859" s="5"/>
      <c r="N859" s="5"/>
      <c r="O859" s="5"/>
      <c r="P859" s="5"/>
      <c r="Q859" s="5"/>
      <c r="R859" s="5"/>
      <c r="S859" s="5"/>
      <c r="T859" s="5"/>
      <c r="U859" s="5"/>
      <c r="V859" s="46"/>
      <c r="W859" s="1646">
        <v>0</v>
      </c>
      <c r="X859" s="1646"/>
      <c r="Y859" s="1646"/>
      <c r="Z859" s="1646"/>
      <c r="AA859" s="1646"/>
      <c r="AB859" s="1646"/>
      <c r="AC859" s="1646"/>
      <c r="AZ859" s="1637"/>
      <c r="BA859" s="1637"/>
      <c r="BB859" s="14"/>
      <c r="BC859" s="14"/>
    </row>
    <row r="860" spans="1:64" ht="12.95" customHeight="1">
      <c r="J860" s="45" t="s">
        <v>351</v>
      </c>
      <c r="K860" s="5"/>
      <c r="L860" s="5"/>
      <c r="M860" s="5"/>
      <c r="N860" s="5"/>
      <c r="O860" s="5"/>
      <c r="P860" s="5"/>
      <c r="Q860" s="5"/>
      <c r="R860" s="5"/>
      <c r="S860" s="5"/>
      <c r="T860" s="5"/>
      <c r="U860" s="5"/>
      <c r="V860" s="46"/>
      <c r="W860" s="1646">
        <v>0</v>
      </c>
      <c r="X860" s="1646"/>
      <c r="Y860" s="1646"/>
      <c r="Z860" s="1646"/>
      <c r="AA860" s="1646"/>
      <c r="AB860" s="1646"/>
      <c r="AC860" s="1646"/>
      <c r="AZ860" s="30"/>
      <c r="BA860" s="30"/>
      <c r="BB860" s="14"/>
      <c r="BC860" s="14"/>
    </row>
    <row r="861" spans="1:64" ht="12.95" customHeight="1">
      <c r="J861" s="45" t="s">
        <v>459</v>
      </c>
      <c r="K861" s="5"/>
      <c r="L861" s="5"/>
      <c r="M861" s="5"/>
      <c r="N861" s="5"/>
      <c r="O861" s="5"/>
      <c r="P861" s="5"/>
      <c r="Q861" s="5"/>
      <c r="R861" s="5"/>
      <c r="S861" s="5"/>
      <c r="T861" s="5"/>
      <c r="U861" s="5"/>
      <c r="V861" s="46"/>
      <c r="W861" s="1646">
        <f>72922+20530</f>
        <v>93452</v>
      </c>
      <c r="X861" s="1646"/>
      <c r="Y861" s="1646"/>
      <c r="Z861" s="1646"/>
      <c r="AA861" s="1646"/>
      <c r="AB861" s="1646"/>
      <c r="AC861" s="1646"/>
      <c r="AZ861" s="30"/>
      <c r="BA861" s="30"/>
      <c r="BB861" s="14"/>
      <c r="BC861" s="14"/>
    </row>
    <row r="862" spans="1:64" ht="12.95" customHeight="1">
      <c r="J862" s="62" t="s">
        <v>620</v>
      </c>
      <c r="K862" s="5"/>
      <c r="L862" s="5"/>
      <c r="M862" s="5"/>
      <c r="N862" s="5"/>
      <c r="O862" s="5"/>
      <c r="P862" s="5"/>
      <c r="Q862" s="5"/>
      <c r="R862" s="5"/>
      <c r="S862" s="5"/>
      <c r="T862" s="5"/>
      <c r="U862" s="5"/>
      <c r="V862" s="46"/>
      <c r="W862" s="1646">
        <f>78418+20531</f>
        <v>98949</v>
      </c>
      <c r="X862" s="1646"/>
      <c r="Y862" s="1646"/>
      <c r="Z862" s="1646"/>
      <c r="AA862" s="1646"/>
      <c r="AB862" s="1646"/>
      <c r="AC862" s="1646"/>
      <c r="AZ862" s="34"/>
      <c r="BA862" s="34"/>
      <c r="BB862" s="34"/>
      <c r="BC862" s="34"/>
    </row>
    <row r="863" spans="1:64" ht="12.95" customHeight="1">
      <c r="J863" s="63"/>
      <c r="K863" s="48"/>
      <c r="L863" s="48"/>
      <c r="M863" s="48"/>
      <c r="N863" s="48"/>
      <c r="O863" s="48"/>
      <c r="P863" s="48"/>
      <c r="Q863" s="48"/>
      <c r="R863" s="48"/>
      <c r="S863" s="48"/>
      <c r="T863" s="48"/>
      <c r="U863" s="48"/>
      <c r="V863" s="54" t="s">
        <v>272</v>
      </c>
      <c r="W863" s="1647">
        <f>SUM(W859:W862)</f>
        <v>192401</v>
      </c>
      <c r="X863" s="1647"/>
      <c r="Y863" s="1647"/>
      <c r="Z863" s="1647"/>
      <c r="AA863" s="1647"/>
      <c r="AB863" s="1647"/>
      <c r="AC863" s="1647"/>
      <c r="AZ863" s="34"/>
      <c r="BA863" s="34"/>
      <c r="BB863" s="34"/>
      <c r="BC863" s="34"/>
    </row>
    <row r="864" spans="1:64" ht="12.95" customHeight="1">
      <c r="AZ864" s="34"/>
      <c r="BA864" s="34"/>
      <c r="BB864" s="34"/>
      <c r="BC864" s="34"/>
    </row>
    <row r="865" spans="3:55" ht="12.95" customHeight="1">
      <c r="C865" s="2" t="s">
        <v>346</v>
      </c>
      <c r="J865" s="45" t="s">
        <v>619</v>
      </c>
      <c r="K865" s="5"/>
      <c r="L865" s="5"/>
      <c r="M865" s="5"/>
      <c r="N865" s="5"/>
      <c r="O865" s="5"/>
      <c r="P865" s="5"/>
      <c r="Q865" s="5"/>
      <c r="R865" s="5"/>
      <c r="S865" s="5"/>
      <c r="T865" s="5"/>
      <c r="U865" s="5"/>
      <c r="V865" s="46"/>
      <c r="W865" s="1643">
        <f>136167+14674</f>
        <v>150841</v>
      </c>
      <c r="X865" s="1644"/>
      <c r="Y865" s="1644"/>
      <c r="Z865" s="1644"/>
      <c r="AA865" s="1644"/>
      <c r="AB865" s="1644"/>
      <c r="AC865" s="1645"/>
      <c r="AD865" s="528"/>
      <c r="AZ865" s="34"/>
      <c r="BA865" s="34"/>
      <c r="BB865" s="34"/>
      <c r="BC865" s="34"/>
    </row>
    <row r="866" spans="3:55" ht="12.95" customHeight="1">
      <c r="C866" s="2" t="s">
        <v>347</v>
      </c>
      <c r="J866" s="121" t="s">
        <v>1644</v>
      </c>
      <c r="K866" s="5"/>
      <c r="L866" s="5"/>
      <c r="M866" s="5"/>
      <c r="N866" s="5"/>
      <c r="O866" s="5"/>
      <c r="P866" s="5"/>
      <c r="Q866" s="5"/>
      <c r="R866" s="5"/>
      <c r="S866" s="5"/>
      <c r="T866" s="1648">
        <v>2</v>
      </c>
      <c r="U866" s="1582"/>
      <c r="V866" s="1649"/>
      <c r="W866" s="870"/>
      <c r="X866" s="871"/>
      <c r="Y866" s="871"/>
      <c r="Z866" s="871"/>
      <c r="AA866" s="871"/>
      <c r="AB866" s="871"/>
      <c r="AC866" s="872"/>
      <c r="AD866" s="528"/>
      <c r="AZ866" s="34"/>
      <c r="BA866" s="34"/>
      <c r="BB866" s="34"/>
      <c r="BC866" s="34"/>
    </row>
    <row r="867" spans="3:55" ht="12.95" customHeight="1">
      <c r="C867" s="2"/>
      <c r="J867" s="45" t="s">
        <v>618</v>
      </c>
      <c r="K867" s="5"/>
      <c r="L867" s="5"/>
      <c r="M867" s="5"/>
      <c r="N867" s="5"/>
      <c r="O867" s="5"/>
      <c r="P867" s="5"/>
      <c r="Q867" s="5"/>
      <c r="R867" s="5"/>
      <c r="S867" s="5"/>
      <c r="T867" s="5"/>
      <c r="U867" s="5"/>
      <c r="V867" s="46"/>
      <c r="W867" s="1643">
        <v>113591</v>
      </c>
      <c r="X867" s="1644"/>
      <c r="Y867" s="1644"/>
      <c r="Z867" s="1644"/>
      <c r="AA867" s="1644"/>
      <c r="AB867" s="1644"/>
      <c r="AC867" s="1645"/>
      <c r="AD867" s="533"/>
      <c r="AZ867" s="34"/>
      <c r="BA867" s="34"/>
      <c r="BB867" s="34"/>
      <c r="BC867" s="34"/>
    </row>
    <row r="868" spans="3:55" ht="12.95" customHeight="1">
      <c r="C868" s="2"/>
      <c r="J868" s="121" t="s">
        <v>1645</v>
      </c>
      <c r="K868" s="5"/>
      <c r="L868" s="5"/>
      <c r="M868" s="5"/>
      <c r="N868" s="5"/>
      <c r="O868" s="5"/>
      <c r="P868" s="5"/>
      <c r="Q868" s="5"/>
      <c r="R868" s="5"/>
      <c r="S868" s="5"/>
      <c r="T868" s="1648">
        <v>1</v>
      </c>
      <c r="U868" s="1582"/>
      <c r="V868" s="1649"/>
      <c r="W868" s="870"/>
      <c r="X868" s="871"/>
      <c r="Y868" s="871"/>
      <c r="Z868" s="871"/>
      <c r="AA868" s="871"/>
      <c r="AB868" s="871"/>
      <c r="AC868" s="872"/>
      <c r="AD868" s="533"/>
      <c r="AZ868" s="34"/>
      <c r="BA868" s="34"/>
      <c r="BB868" s="34"/>
      <c r="BC868" s="34"/>
    </row>
    <row r="869" spans="3:55" ht="12.95" customHeight="1">
      <c r="J869" s="45" t="s">
        <v>170</v>
      </c>
      <c r="K869" s="5"/>
      <c r="L869" s="5"/>
      <c r="M869" s="1629" t="s">
        <v>2682</v>
      </c>
      <c r="N869" s="1630"/>
      <c r="O869" s="1630"/>
      <c r="P869" s="1630"/>
      <c r="Q869" s="1630"/>
      <c r="R869" s="1630"/>
      <c r="S869" s="1630"/>
      <c r="T869" s="1630"/>
      <c r="U869" s="1630"/>
      <c r="V869" s="1638"/>
      <c r="W869" s="1643">
        <v>61929</v>
      </c>
      <c r="X869" s="1644"/>
      <c r="Y869" s="1644"/>
      <c r="Z869" s="1644"/>
      <c r="AA869" s="1644"/>
      <c r="AB869" s="1644"/>
      <c r="AC869" s="1645"/>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650">
        <f>SUM(W865:W869)</f>
        <v>326361</v>
      </c>
      <c r="X870" s="1651"/>
      <c r="Y870" s="1651"/>
      <c r="Z870" s="1651"/>
      <c r="AA870" s="1651"/>
      <c r="AB870" s="1651"/>
      <c r="AC870" s="1652"/>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643">
        <v>122213</v>
      </c>
      <c r="X872" s="1644"/>
      <c r="Y872" s="1644"/>
      <c r="Z872" s="1644"/>
      <c r="AA872" s="1644"/>
      <c r="AB872" s="1644"/>
      <c r="AC872" s="1645"/>
      <c r="AU872" s="14"/>
      <c r="AZ872" s="34"/>
      <c r="BA872" s="34"/>
      <c r="BB872" s="34"/>
      <c r="BC872" s="34"/>
    </row>
    <row r="873" spans="3:55" ht="12.95" customHeight="1">
      <c r="J873" s="512"/>
      <c r="AU873" s="14"/>
      <c r="AZ873" s="34"/>
      <c r="BA873" s="34"/>
      <c r="BB873" s="34"/>
      <c r="BC873" s="34"/>
    </row>
    <row r="874" spans="3:55" ht="12.95" customHeight="1">
      <c r="C874" s="2" t="s">
        <v>390</v>
      </c>
      <c r="J874" s="45" t="s">
        <v>617</v>
      </c>
      <c r="K874" s="5"/>
      <c r="L874" s="5"/>
      <c r="M874" s="5"/>
      <c r="N874" s="5"/>
      <c r="O874" s="5"/>
      <c r="P874" s="5"/>
      <c r="Q874" s="5"/>
      <c r="R874" s="5"/>
      <c r="S874" s="5"/>
      <c r="T874" s="5"/>
      <c r="U874" s="5"/>
      <c r="V874" s="46"/>
      <c r="W874" s="1627">
        <v>10829</v>
      </c>
      <c r="X874" s="1627"/>
      <c r="Y874" s="1627"/>
      <c r="Z874" s="1627"/>
      <c r="AA874" s="1627"/>
      <c r="AB874" s="1627"/>
      <c r="AC874" s="1627"/>
      <c r="AU874" s="14"/>
      <c r="AZ874" s="34"/>
      <c r="BA874" s="34"/>
      <c r="BB874" s="34"/>
      <c r="BC874" s="34"/>
    </row>
    <row r="875" spans="3:55" ht="12.95" customHeight="1">
      <c r="J875" s="45" t="s">
        <v>522</v>
      </c>
      <c r="K875" s="5"/>
      <c r="L875" s="5"/>
      <c r="M875" s="5"/>
      <c r="N875" s="5"/>
      <c r="O875" s="5"/>
      <c r="P875" s="5"/>
      <c r="Q875" s="5"/>
      <c r="R875" s="5"/>
      <c r="S875" s="5"/>
      <c r="T875" s="5"/>
      <c r="U875" s="5"/>
      <c r="V875" s="46"/>
      <c r="W875" s="1627">
        <v>32088</v>
      </c>
      <c r="X875" s="1627"/>
      <c r="Y875" s="1627"/>
      <c r="Z875" s="1627"/>
      <c r="AA875" s="1627"/>
      <c r="AB875" s="1627"/>
      <c r="AC875" s="1627"/>
      <c r="AU875" s="4"/>
      <c r="AZ875" s="34"/>
      <c r="BA875" s="34"/>
      <c r="BB875" s="34"/>
      <c r="BC875" s="34"/>
    </row>
    <row r="876" spans="3:55" ht="12.95" customHeight="1">
      <c r="J876" s="45" t="s">
        <v>521</v>
      </c>
      <c r="K876" s="5"/>
      <c r="L876" s="5"/>
      <c r="M876" s="5"/>
      <c r="N876" s="5"/>
      <c r="O876" s="5"/>
      <c r="P876" s="5"/>
      <c r="Q876" s="5"/>
      <c r="R876" s="5"/>
      <c r="S876" s="5"/>
      <c r="T876" s="5"/>
      <c r="U876" s="5"/>
      <c r="V876" s="46"/>
      <c r="W876" s="1627">
        <v>30489</v>
      </c>
      <c r="X876" s="1627"/>
      <c r="Y876" s="1627"/>
      <c r="Z876" s="1627"/>
      <c r="AA876" s="1627"/>
      <c r="AB876" s="1627"/>
      <c r="AC876" s="1627"/>
      <c r="AU876" s="4"/>
      <c r="AZ876" s="34"/>
      <c r="BA876" s="34"/>
      <c r="BB876" s="34"/>
      <c r="BC876" s="34"/>
    </row>
    <row r="877" spans="3:55" ht="12.95" customHeight="1">
      <c r="J877" s="45" t="s">
        <v>520</v>
      </c>
      <c r="K877" s="5"/>
      <c r="L877" s="5"/>
      <c r="M877" s="5"/>
      <c r="N877" s="5"/>
      <c r="O877" s="5"/>
      <c r="P877" s="5"/>
      <c r="Q877" s="5"/>
      <c r="R877" s="5"/>
      <c r="S877" s="5"/>
      <c r="T877" s="5"/>
      <c r="U877" s="5"/>
      <c r="V877" s="46"/>
      <c r="W877" s="1627">
        <v>14172</v>
      </c>
      <c r="X877" s="1627"/>
      <c r="Y877" s="1627"/>
      <c r="Z877" s="1627"/>
      <c r="AA877" s="1627"/>
      <c r="AB877" s="1627"/>
      <c r="AC877" s="1627"/>
      <c r="AU877" s="4"/>
      <c r="AZ877" s="34"/>
      <c r="BA877" s="34"/>
      <c r="BB877" s="34"/>
      <c r="BC877" s="34"/>
    </row>
    <row r="878" spans="3:55" ht="12.95" customHeight="1">
      <c r="J878" s="45" t="s">
        <v>519</v>
      </c>
      <c r="K878" s="5"/>
      <c r="L878" s="5"/>
      <c r="M878" s="5"/>
      <c r="N878" s="5"/>
      <c r="O878" s="5"/>
      <c r="P878" s="5"/>
      <c r="Q878" s="5"/>
      <c r="R878" s="5"/>
      <c r="S878" s="5"/>
      <c r="T878" s="5"/>
      <c r="U878" s="5"/>
      <c r="V878" s="46"/>
      <c r="W878" s="1627">
        <v>51513</v>
      </c>
      <c r="X878" s="1627"/>
      <c r="Y878" s="1627"/>
      <c r="Z878" s="1627"/>
      <c r="AA878" s="1627"/>
      <c r="AB878" s="1627"/>
      <c r="AC878" s="1627"/>
      <c r="AU878" s="4"/>
      <c r="AZ878" s="34"/>
      <c r="BA878" s="34"/>
      <c r="BB878" s="34"/>
      <c r="BC878" s="34"/>
    </row>
    <row r="879" spans="3:55" ht="12.95" customHeight="1">
      <c r="J879" s="45" t="s">
        <v>518</v>
      </c>
      <c r="K879" s="5"/>
      <c r="L879" s="5"/>
      <c r="M879" s="5"/>
      <c r="N879" s="5"/>
      <c r="O879" s="5"/>
      <c r="P879" s="5"/>
      <c r="Q879" s="5"/>
      <c r="R879" s="5"/>
      <c r="S879" s="5"/>
      <c r="T879" s="5"/>
      <c r="U879" s="5"/>
      <c r="V879" s="46"/>
      <c r="W879" s="1627">
        <v>5197</v>
      </c>
      <c r="X879" s="1627"/>
      <c r="Y879" s="1627"/>
      <c r="Z879" s="1627"/>
      <c r="AA879" s="1627"/>
      <c r="AB879" s="1627"/>
      <c r="AC879" s="1627"/>
      <c r="AU879" s="4"/>
      <c r="AZ879" s="34"/>
      <c r="BA879" s="34"/>
      <c r="BB879" s="34"/>
      <c r="BC879" s="34"/>
    </row>
    <row r="880" spans="3:55" ht="12.95" customHeight="1">
      <c r="J880" s="45" t="s">
        <v>170</v>
      </c>
      <c r="K880" s="5"/>
      <c r="L880" s="5"/>
      <c r="M880" s="1629" t="s">
        <v>2683</v>
      </c>
      <c r="N880" s="1630"/>
      <c r="O880" s="1630"/>
      <c r="P880" s="1630"/>
      <c r="Q880" s="1630"/>
      <c r="R880" s="1630"/>
      <c r="S880" s="1630"/>
      <c r="T880" s="1630"/>
      <c r="U880" s="1630"/>
      <c r="V880" s="1638"/>
      <c r="W880" s="1627">
        <v>36342</v>
      </c>
      <c r="X880" s="1627"/>
      <c r="Y880" s="1627"/>
      <c r="Z880" s="1627"/>
      <c r="AA880" s="1627"/>
      <c r="AB880" s="1627"/>
      <c r="AC880" s="1627"/>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597">
        <f>SUM(W874:W880)</f>
        <v>180630</v>
      </c>
      <c r="X881" s="1597"/>
      <c r="Y881" s="1597"/>
      <c r="Z881" s="1597"/>
      <c r="AA881" s="1597"/>
      <c r="AB881" s="1597"/>
      <c r="AC881" s="1597"/>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1243</v>
      </c>
      <c r="J883" s="45" t="s">
        <v>170</v>
      </c>
      <c r="K883" s="5"/>
      <c r="L883" s="5"/>
      <c r="M883" s="1629" t="s">
        <v>2684</v>
      </c>
      <c r="N883" s="1630"/>
      <c r="O883" s="1630"/>
      <c r="P883" s="1630"/>
      <c r="Q883" s="1630"/>
      <c r="R883" s="1630"/>
      <c r="S883" s="1630"/>
      <c r="T883" s="1630"/>
      <c r="U883" s="1630"/>
      <c r="V883" s="1638"/>
      <c r="W883" s="1488">
        <v>9455</v>
      </c>
      <c r="X883" s="1345"/>
      <c r="Y883" s="1345"/>
      <c r="Z883" s="1345"/>
      <c r="AA883" s="1345"/>
      <c r="AB883" s="1345"/>
      <c r="AC883" s="1346"/>
      <c r="AD883" s="533"/>
      <c r="AV883" s="14"/>
      <c r="AW883" s="14"/>
      <c r="AX883" s="14"/>
      <c r="AY883" s="14"/>
      <c r="AZ883" s="34"/>
      <c r="BA883" s="34"/>
      <c r="BB883" s="34"/>
      <c r="BC883" s="34"/>
    </row>
    <row r="884" spans="3:55" ht="12.95" customHeight="1">
      <c r="C884" s="2" t="s">
        <v>1244</v>
      </c>
      <c r="J884" s="45" t="s">
        <v>170</v>
      </c>
      <c r="K884" s="5"/>
      <c r="L884" s="5"/>
      <c r="M884" s="1629" t="s">
        <v>334</v>
      </c>
      <c r="N884" s="1630"/>
      <c r="O884" s="1630"/>
      <c r="P884" s="1630"/>
      <c r="Q884" s="1630"/>
      <c r="R884" s="1630"/>
      <c r="S884" s="1630"/>
      <c r="T884" s="1630"/>
      <c r="U884" s="1630"/>
      <c r="V884" s="1638"/>
      <c r="W884" s="1488"/>
      <c r="X884" s="1345"/>
      <c r="Y884" s="1345"/>
      <c r="Z884" s="1345"/>
      <c r="AA884" s="1345"/>
      <c r="AB884" s="1345"/>
      <c r="AC884" s="1346"/>
      <c r="AD884" s="533"/>
      <c r="AV884" s="14"/>
      <c r="AW884" s="14"/>
      <c r="AX884" s="14"/>
      <c r="AY884" s="14"/>
      <c r="AZ884" s="34"/>
      <c r="BA884" s="34"/>
      <c r="BB884" s="34"/>
      <c r="BC884" s="34"/>
    </row>
    <row r="885" spans="3:55" ht="12.95" customHeight="1">
      <c r="J885" s="45" t="s">
        <v>170</v>
      </c>
      <c r="K885" s="5"/>
      <c r="L885" s="5"/>
      <c r="M885" s="1629" t="s">
        <v>334</v>
      </c>
      <c r="N885" s="1630"/>
      <c r="O885" s="1630"/>
      <c r="P885" s="1630"/>
      <c r="Q885" s="1630"/>
      <c r="R885" s="1630"/>
      <c r="S885" s="1630"/>
      <c r="T885" s="1630"/>
      <c r="U885" s="1630"/>
      <c r="V885" s="1638"/>
      <c r="W885" s="1488"/>
      <c r="X885" s="1345"/>
      <c r="Y885" s="1345"/>
      <c r="Z885" s="1345"/>
      <c r="AA885" s="1345"/>
      <c r="AB885" s="1345"/>
      <c r="AC885" s="1346"/>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629" t="s">
        <v>334</v>
      </c>
      <c r="N886" s="1630"/>
      <c r="O886" s="1630"/>
      <c r="P886" s="1630"/>
      <c r="Q886" s="1630"/>
      <c r="R886" s="1630"/>
      <c r="S886" s="1630"/>
      <c r="T886" s="1630"/>
      <c r="U886" s="1630"/>
      <c r="V886" s="1638"/>
      <c r="W886" s="1488"/>
      <c r="X886" s="1345"/>
      <c r="Y886" s="1345"/>
      <c r="Z886" s="1345"/>
      <c r="AA886" s="1345"/>
      <c r="AB886" s="1345"/>
      <c r="AC886" s="1346"/>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629" t="s">
        <v>334</v>
      </c>
      <c r="N887" s="1630"/>
      <c r="O887" s="1630"/>
      <c r="P887" s="1630"/>
      <c r="Q887" s="1630"/>
      <c r="R887" s="1630"/>
      <c r="S887" s="1630"/>
      <c r="T887" s="1630"/>
      <c r="U887" s="1630"/>
      <c r="V887" s="1638"/>
      <c r="W887" s="1488"/>
      <c r="X887" s="1345"/>
      <c r="Y887" s="1345"/>
      <c r="Z887" s="1345"/>
      <c r="AA887" s="1345"/>
      <c r="AB887" s="1345"/>
      <c r="AC887" s="1346"/>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485">
        <f>SUM(W883:W887)</f>
        <v>9455</v>
      </c>
      <c r="X888" s="1486"/>
      <c r="Y888" s="1486"/>
      <c r="Z888" s="1486"/>
      <c r="AA888" s="1486"/>
      <c r="AB888" s="1486"/>
      <c r="AC888" s="1487"/>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86">
        <f>W855+W863+W870+W872+W881+W888+W857</f>
        <v>1197000</v>
      </c>
      <c r="AD892" s="1486"/>
      <c r="AE892" s="1486"/>
      <c r="AF892" s="1486"/>
      <c r="AG892" s="1486"/>
      <c r="AH892" s="1487"/>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639">
        <f>O805+O785+G761</f>
        <v>190</v>
      </c>
      <c r="AD893" s="1639"/>
      <c r="AE893" s="1639"/>
      <c r="AF893" s="1639"/>
      <c r="AG893" s="1639"/>
      <c r="AH893" s="1640"/>
      <c r="AL893" s="4"/>
      <c r="AM893" s="4"/>
      <c r="AN893" s="4"/>
      <c r="AO893" s="4"/>
      <c r="AP893" s="4"/>
      <c r="AQ893" s="4"/>
      <c r="AR893" s="4"/>
      <c r="AS893" s="4"/>
      <c r="AT893" s="4"/>
      <c r="AZ893" s="34"/>
      <c r="BA893" s="34"/>
      <c r="BB893" s="34"/>
      <c r="BC893" s="34"/>
    </row>
    <row r="894" spans="3:55" ht="12.95" customHeight="1">
      <c r="C894" s="41"/>
      <c r="D894" s="42"/>
      <c r="E894" s="1635" t="s">
        <v>32</v>
      </c>
      <c r="F894" s="1635"/>
      <c r="G894" s="1635"/>
      <c r="H894" s="1635"/>
      <c r="I894" s="1635"/>
      <c r="J894" s="1635"/>
      <c r="K894" s="1635"/>
      <c r="L894" s="1635"/>
      <c r="M894" s="1635"/>
      <c r="N894" s="1635"/>
      <c r="O894" s="1635"/>
      <c r="P894" s="1635"/>
      <c r="Q894" s="1635"/>
      <c r="R894" s="1635"/>
      <c r="S894" s="1635"/>
      <c r="T894" s="1635"/>
      <c r="U894" s="1635"/>
      <c r="V894" s="1635"/>
      <c r="W894" s="1635"/>
      <c r="X894" s="1635"/>
      <c r="Y894" s="1635"/>
      <c r="Z894" s="1635"/>
      <c r="AA894" s="1635"/>
      <c r="AB894" s="1636"/>
      <c r="AC894" s="1597">
        <f>IF(ISERROR((ROUNDDOWN(AC892/AC893,0))),0,(ROUNDDOWN(AC892/AC893,0)))</f>
        <v>6300</v>
      </c>
      <c r="AD894" s="1597"/>
      <c r="AE894" s="1597"/>
      <c r="AF894" s="1597"/>
      <c r="AG894" s="1597"/>
      <c r="AH894" s="1597"/>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641">
        <f>'Sources and Uses Budget'!C75</f>
        <v>981362</v>
      </c>
      <c r="AD895" s="1642"/>
      <c r="AE895" s="1642"/>
      <c r="AF895" s="1642"/>
      <c r="AG895" s="1642"/>
      <c r="AH895" s="1642"/>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346"/>
      <c r="AD896" s="1627"/>
      <c r="AE896" s="1627"/>
      <c r="AF896" s="1627"/>
      <c r="AG896" s="1627"/>
      <c r="AH896" s="1627"/>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345">
        <v>25200</v>
      </c>
      <c r="AD897" s="1345"/>
      <c r="AE897" s="1345"/>
      <c r="AF897" s="1345"/>
      <c r="AG897" s="1345"/>
      <c r="AH897" s="1346"/>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45">
        <v>57000</v>
      </c>
      <c r="AD898" s="1345"/>
      <c r="AE898" s="1345"/>
      <c r="AF898" s="1345"/>
      <c r="AG898" s="1345"/>
      <c r="AH898" s="1346"/>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583"/>
      <c r="AD899" s="1584"/>
      <c r="AE899" s="1584"/>
      <c r="AF899" s="1584"/>
      <c r="AG899" s="1584"/>
      <c r="AH899" s="1585"/>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45">
        <v>25000</v>
      </c>
      <c r="AD900" s="1345"/>
      <c r="AE900" s="1345"/>
      <c r="AF900" s="1345"/>
      <c r="AG900" s="1345"/>
      <c r="AH900" s="1346"/>
      <c r="AZ900" s="34"/>
      <c r="BA900" s="34"/>
      <c r="BB900" s="34"/>
      <c r="BC900" s="34"/>
    </row>
    <row r="901" spans="1:58" ht="12.95" hidden="1" customHeight="1">
      <c r="C901" s="1427" t="s">
        <v>2188</v>
      </c>
      <c r="D901" s="1428"/>
      <c r="E901" s="1428"/>
      <c r="F901" s="1428"/>
      <c r="G901" s="1428"/>
      <c r="H901" s="1428"/>
      <c r="I901" s="1428"/>
      <c r="J901" s="1428"/>
      <c r="K901" s="1428"/>
      <c r="L901" s="1428"/>
      <c r="M901" s="1428"/>
      <c r="N901" s="1428"/>
      <c r="O901" s="1428"/>
      <c r="P901" s="1428"/>
      <c r="Q901" s="1428"/>
      <c r="R901" s="1428"/>
      <c r="S901" s="1428"/>
      <c r="T901" s="1428"/>
      <c r="U901" s="1428"/>
      <c r="V901" s="1428"/>
      <c r="W901" s="1428"/>
      <c r="X901" s="1428"/>
      <c r="Y901" s="1428"/>
      <c r="Z901" s="1428"/>
      <c r="AA901" s="1428"/>
      <c r="AB901" s="1430"/>
      <c r="AC901" s="1345"/>
      <c r="AD901" s="1345"/>
      <c r="AE901" s="1345"/>
      <c r="AF901" s="1345"/>
      <c r="AG901" s="1345"/>
      <c r="AH901" s="1346"/>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345"/>
      <c r="AD902" s="1345"/>
      <c r="AE902" s="1345"/>
      <c r="AF902" s="1345"/>
      <c r="AG902" s="1345"/>
      <c r="AH902" s="1346"/>
      <c r="AZ902" s="34"/>
      <c r="BA902" s="34"/>
      <c r="BB902" s="34"/>
      <c r="BC902" s="34"/>
    </row>
    <row r="903" spans="1:58" ht="12.95" customHeight="1">
      <c r="C903" s="1700" t="s">
        <v>2672</v>
      </c>
      <c r="D903" s="1701"/>
      <c r="E903" s="1701"/>
      <c r="F903" s="1701"/>
      <c r="G903" s="1701"/>
      <c r="H903" s="1701"/>
      <c r="I903" s="1701"/>
      <c r="J903" s="1701"/>
      <c r="K903" s="1701"/>
      <c r="L903" s="1701"/>
      <c r="M903" s="1701"/>
      <c r="N903" s="1701"/>
      <c r="O903" s="1701"/>
      <c r="P903" s="1701"/>
      <c r="Q903" s="1701"/>
      <c r="R903" s="1701"/>
      <c r="S903" s="1701"/>
      <c r="T903" s="1701"/>
      <c r="U903" s="1701"/>
      <c r="V903" s="1701"/>
      <c r="W903" s="1701"/>
      <c r="X903" s="1701"/>
      <c r="Y903" s="1701"/>
      <c r="Z903" s="1701"/>
      <c r="AA903" s="1701"/>
      <c r="AB903" s="1702"/>
      <c r="AC903" s="1627">
        <v>9096</v>
      </c>
      <c r="AD903" s="1627"/>
      <c r="AE903" s="1627"/>
      <c r="AF903" s="1627"/>
      <c r="AG903" s="1627"/>
      <c r="AH903" s="1627"/>
      <c r="AZ903" s="34"/>
      <c r="BA903" s="34"/>
      <c r="BB903" s="34"/>
      <c r="BC903" s="34"/>
    </row>
    <row r="904" spans="1:58" ht="12.95" customHeight="1">
      <c r="C904" s="1700" t="s">
        <v>956</v>
      </c>
      <c r="D904" s="1701"/>
      <c r="E904" s="1701"/>
      <c r="F904" s="1701"/>
      <c r="G904" s="1701"/>
      <c r="H904" s="1701"/>
      <c r="I904" s="1701"/>
      <c r="J904" s="1701"/>
      <c r="K904" s="1701"/>
      <c r="L904" s="1701"/>
      <c r="M904" s="1701"/>
      <c r="N904" s="1701"/>
      <c r="O904" s="1701"/>
      <c r="P904" s="1701"/>
      <c r="Q904" s="1701"/>
      <c r="R904" s="1701"/>
      <c r="S904" s="1701"/>
      <c r="T904" s="1701"/>
      <c r="U904" s="1701"/>
      <c r="V904" s="1701"/>
      <c r="W904" s="1701"/>
      <c r="X904" s="1701"/>
      <c r="Y904" s="1701"/>
      <c r="Z904" s="1701"/>
      <c r="AA904" s="1701"/>
      <c r="AB904" s="1702"/>
      <c r="AC904" s="1627"/>
      <c r="AD904" s="1627"/>
      <c r="AE904" s="1627"/>
      <c r="AF904" s="1627"/>
      <c r="AG904" s="1627"/>
      <c r="AH904" s="1627"/>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613</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488"/>
      <c r="AA908" s="1345"/>
      <c r="AB908" s="1345"/>
      <c r="AC908" s="1345"/>
      <c r="AD908" s="1345"/>
      <c r="AE908" s="1346"/>
      <c r="AF908" s="533"/>
      <c r="AZ908" s="34"/>
      <c r="BB908" s="30"/>
      <c r="BC908" s="812"/>
      <c r="BD908" s="1631"/>
      <c r="BE908" s="1631"/>
      <c r="BF908" s="14"/>
    </row>
    <row r="909" spans="1:58" ht="12.95" customHeight="1">
      <c r="H909" s="121" t="s">
        <v>239</v>
      </c>
      <c r="I909" s="5"/>
      <c r="J909" s="5"/>
      <c r="K909" s="5"/>
      <c r="L909" s="5"/>
      <c r="M909" s="5"/>
      <c r="N909" s="5"/>
      <c r="O909" s="5"/>
      <c r="P909" s="5"/>
      <c r="Q909" s="5"/>
      <c r="R909" s="5"/>
      <c r="S909" s="5"/>
      <c r="T909" s="5"/>
      <c r="U909" s="5"/>
      <c r="V909" s="5"/>
      <c r="W909" s="5"/>
      <c r="X909" s="5"/>
      <c r="Y909" s="5"/>
      <c r="Z909" s="1488"/>
      <c r="AA909" s="1345"/>
      <c r="AB909" s="1345"/>
      <c r="AC909" s="1345"/>
      <c r="AD909" s="1345"/>
      <c r="AE909" s="1346"/>
      <c r="AZ909" s="34"/>
      <c r="BB909" s="30"/>
      <c r="BC909" s="812"/>
      <c r="BD909" s="1631"/>
      <c r="BE909" s="1631"/>
      <c r="BF909" s="14"/>
    </row>
    <row r="910" spans="1:58" ht="12.95" customHeight="1">
      <c r="H910" s="121" t="s">
        <v>240</v>
      </c>
      <c r="I910" s="5"/>
      <c r="J910" s="5"/>
      <c r="K910" s="5"/>
      <c r="L910" s="5"/>
      <c r="M910" s="5"/>
      <c r="N910" s="5"/>
      <c r="O910" s="5"/>
      <c r="P910" s="5"/>
      <c r="Q910" s="5"/>
      <c r="R910" s="5"/>
      <c r="S910" s="5"/>
      <c r="T910" s="5"/>
      <c r="U910" s="5"/>
      <c r="V910" s="5"/>
      <c r="W910" s="5"/>
      <c r="X910" s="5"/>
      <c r="Y910" s="5"/>
      <c r="Z910" s="1488"/>
      <c r="AA910" s="1345"/>
      <c r="AB910" s="1345"/>
      <c r="AC910" s="1345"/>
      <c r="AD910" s="1345"/>
      <c r="AE910" s="1346"/>
      <c r="AZ910" s="34"/>
      <c r="BB910" s="30"/>
      <c r="BC910" s="812"/>
      <c r="BD910" s="1632"/>
      <c r="BE910" s="1632"/>
      <c r="BF910" s="14"/>
    </row>
    <row r="911" spans="1:58" ht="12.95" customHeight="1">
      <c r="H911" s="45"/>
      <c r="I911" s="5"/>
      <c r="J911" s="5"/>
      <c r="K911" s="5"/>
      <c r="L911" s="5"/>
      <c r="M911" s="5"/>
      <c r="N911" s="5"/>
      <c r="O911" s="5"/>
      <c r="P911" s="5"/>
      <c r="Q911" s="5"/>
      <c r="R911" s="5"/>
      <c r="S911" s="5"/>
      <c r="T911" s="5"/>
      <c r="U911" s="5"/>
      <c r="V911" s="5"/>
      <c r="W911" s="5"/>
      <c r="X911" s="5"/>
      <c r="Y911" s="181" t="s">
        <v>241</v>
      </c>
      <c r="Z911" s="1485">
        <f>Z908-(Z909+Z910)</f>
        <v>0</v>
      </c>
      <c r="AA911" s="1486"/>
      <c r="AB911" s="1486"/>
      <c r="AC911" s="1486"/>
      <c r="AD911" s="1486"/>
      <c r="AE911" s="1487"/>
      <c r="AZ911" s="34"/>
      <c r="BB911" s="30"/>
      <c r="BC911" s="812"/>
      <c r="BD911" s="1632"/>
      <c r="BE911" s="1632"/>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32"/>
      <c r="BE912" s="1632"/>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31"/>
      <c r="BE913" s="1632"/>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34"/>
      <c r="BE914" s="1634"/>
      <c r="BF914" s="1634"/>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33"/>
      <c r="BE915" s="1633"/>
      <c r="BF915" s="1633"/>
    </row>
    <row r="916" spans="1:58" ht="12.95"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32"/>
      <c r="BE916" s="1632"/>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31"/>
      <c r="BE917" s="1632"/>
      <c r="BF917" s="14"/>
    </row>
    <row r="918" spans="1:58" ht="12.95" customHeight="1">
      <c r="AZ918" s="34"/>
      <c r="BB918" s="30"/>
      <c r="BC918" s="812"/>
    </row>
    <row r="919" spans="1:58" ht="12.95" customHeight="1">
      <c r="A919" s="1532" t="s">
        <v>96</v>
      </c>
      <c r="B919" s="1532"/>
      <c r="C919" s="1532"/>
      <c r="D919" s="1532"/>
      <c r="E919" s="1532"/>
      <c r="F919" s="1532"/>
      <c r="G919" s="1532"/>
      <c r="H919" s="1532"/>
      <c r="I919" s="1532"/>
      <c r="J919" s="1532"/>
      <c r="K919" s="1532"/>
      <c r="L919" s="1532"/>
      <c r="M919" s="1532"/>
      <c r="N919" s="1532"/>
      <c r="O919" s="1532"/>
      <c r="P919" s="1532"/>
      <c r="Q919" s="1532"/>
      <c r="R919" s="1532"/>
      <c r="S919" s="1532"/>
      <c r="T919" s="1532"/>
      <c r="U919" s="1532"/>
      <c r="V919" s="1532"/>
      <c r="W919" s="1532"/>
      <c r="X919" s="1532"/>
      <c r="Y919" s="1532"/>
      <c r="Z919" s="1532"/>
      <c r="AA919" s="1532"/>
      <c r="AB919" s="1532"/>
      <c r="AC919" s="1532"/>
      <c r="AD919" s="1532"/>
      <c r="AE919" s="1532"/>
      <c r="AF919" s="1532"/>
      <c r="AG919" s="1532"/>
      <c r="AH919" s="1532"/>
      <c r="AI919" s="1532"/>
      <c r="AJ919" s="1532"/>
      <c r="AK919" s="1532"/>
      <c r="AL919" s="1532"/>
      <c r="AM919" s="1532"/>
      <c r="AN919" s="1532"/>
      <c r="AO919" s="1532"/>
      <c r="AP919" s="1532"/>
      <c r="AQ919" s="1532"/>
      <c r="AR919" s="1532"/>
      <c r="AS919" s="1532"/>
      <c r="AT919" s="1532"/>
      <c r="AZ919" s="34"/>
      <c r="BA919" s="34"/>
      <c r="BB919" s="30"/>
      <c r="BC919" s="30"/>
      <c r="BD919" s="1631"/>
      <c r="BE919" s="1632"/>
      <c r="BF919" s="907"/>
    </row>
    <row r="920" spans="1:58" ht="12.95" customHeight="1">
      <c r="A920" s="1532"/>
      <c r="B920" s="1532"/>
      <c r="C920" s="1532"/>
      <c r="D920" s="1532"/>
      <c r="E920" s="1532"/>
      <c r="F920" s="1532"/>
      <c r="G920" s="1532"/>
      <c r="H920" s="1532"/>
      <c r="I920" s="1532"/>
      <c r="J920" s="1532"/>
      <c r="K920" s="1532"/>
      <c r="L920" s="1532"/>
      <c r="M920" s="1532"/>
      <c r="N920" s="1532"/>
      <c r="O920" s="1532"/>
      <c r="P920" s="1532"/>
      <c r="Q920" s="1532"/>
      <c r="R920" s="1532"/>
      <c r="S920" s="1532"/>
      <c r="T920" s="1532"/>
      <c r="U920" s="1532"/>
      <c r="V920" s="1532"/>
      <c r="W920" s="1532"/>
      <c r="X920" s="1532"/>
      <c r="Y920" s="1532"/>
      <c r="Z920" s="1532"/>
      <c r="AA920" s="1532"/>
      <c r="AB920" s="1532"/>
      <c r="AC920" s="1532"/>
      <c r="AD920" s="1532"/>
      <c r="AE920" s="1532"/>
      <c r="AF920" s="1532"/>
      <c r="AG920" s="1532"/>
      <c r="AH920" s="1532"/>
      <c r="AI920" s="1532"/>
      <c r="AJ920" s="1532"/>
      <c r="AK920" s="1532"/>
      <c r="AL920" s="1532"/>
      <c r="AM920" s="1532"/>
      <c r="AN920" s="1532"/>
      <c r="AO920" s="1532"/>
      <c r="AP920" s="1532"/>
      <c r="AQ920" s="1532"/>
      <c r="AR920" s="1532"/>
      <c r="AS920" s="1532"/>
      <c r="AT920" s="1532"/>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693" t="s">
        <v>792</v>
      </c>
      <c r="G924" s="1694"/>
      <c r="H924" s="1694"/>
      <c r="I924" s="1694"/>
      <c r="J924" s="1694"/>
      <c r="K924" s="1694"/>
      <c r="L924" s="1694"/>
      <c r="M924" s="1694"/>
      <c r="N924" s="1694"/>
      <c r="O924" s="1694"/>
      <c r="P924" s="1694"/>
      <c r="Q924" s="1694"/>
      <c r="R924" s="1694"/>
      <c r="S924" s="1694"/>
      <c r="T924" s="1695"/>
      <c r="U924" s="1780" t="s">
        <v>31</v>
      </c>
      <c r="V924" s="1703"/>
      <c r="W924" s="1703"/>
      <c r="X924" s="1703"/>
      <c r="Y924" s="1703"/>
      <c r="Z924" s="1703"/>
      <c r="AA924" s="43"/>
      <c r="AB924" s="105"/>
      <c r="AC924" s="105"/>
      <c r="AD924" s="105"/>
      <c r="AE924" s="105"/>
      <c r="AF924" s="106"/>
      <c r="AZ924" s="34"/>
      <c r="BA924" s="34"/>
      <c r="BB924" s="34"/>
      <c r="BC924" s="34"/>
    </row>
    <row r="925" spans="1:58" ht="12.95" customHeight="1">
      <c r="B925" s="2"/>
      <c r="F925" s="1731" t="s">
        <v>818</v>
      </c>
      <c r="G925" s="1732"/>
      <c r="H925" s="1732"/>
      <c r="I925" s="1732"/>
      <c r="J925" s="1732"/>
      <c r="K925" s="1732"/>
      <c r="L925" s="1732"/>
      <c r="M925" s="1732"/>
      <c r="N925" s="1732"/>
      <c r="O925" s="1732"/>
      <c r="P925" s="1732"/>
      <c r="Q925" s="1732"/>
      <c r="R925" s="1732"/>
      <c r="S925" s="1732"/>
      <c r="T925" s="1733"/>
      <c r="U925" s="1731"/>
      <c r="V925" s="1732"/>
      <c r="W925" s="1732"/>
      <c r="X925" s="1732"/>
      <c r="Y925" s="1732"/>
      <c r="Z925" s="1732"/>
      <c r="AA925" s="44"/>
      <c r="AB925" s="4"/>
      <c r="AC925" s="4"/>
      <c r="AD925" s="4"/>
      <c r="AE925" s="4"/>
      <c r="AF925" s="107"/>
      <c r="AZ925" s="34"/>
      <c r="BA925" s="34"/>
      <c r="BB925" s="34"/>
      <c r="BC925" s="34"/>
    </row>
    <row r="926" spans="1:58" ht="12.95" customHeight="1">
      <c r="B926" s="2"/>
      <c r="F926" s="1734"/>
      <c r="G926" s="1705"/>
      <c r="H926" s="1705"/>
      <c r="I926" s="1705"/>
      <c r="J926" s="1705"/>
      <c r="K926" s="1705"/>
      <c r="L926" s="1705"/>
      <c r="M926" s="1705"/>
      <c r="N926" s="1705"/>
      <c r="O926" s="1705"/>
      <c r="P926" s="1705"/>
      <c r="Q926" s="1705"/>
      <c r="R926" s="1705"/>
      <c r="S926" s="1705"/>
      <c r="T926" s="1706"/>
      <c r="U926" s="1734"/>
      <c r="V926" s="1705"/>
      <c r="W926" s="1705"/>
      <c r="X926" s="1705"/>
      <c r="Y926" s="1705"/>
      <c r="Z926" s="1705"/>
      <c r="AA926" s="108"/>
      <c r="AB926" s="1434" t="s">
        <v>391</v>
      </c>
      <c r="AC926" s="1434"/>
      <c r="AD926" s="1434"/>
      <c r="AE926" s="1434"/>
      <c r="AF926" s="109"/>
      <c r="AZ926" s="34"/>
      <c r="BA926" s="34"/>
      <c r="BB926" s="34"/>
      <c r="BC926" s="34"/>
    </row>
    <row r="927" spans="1:58" ht="12.95" customHeight="1">
      <c r="B927" s="2"/>
      <c r="F927" s="45" t="s">
        <v>758</v>
      </c>
      <c r="G927" s="48"/>
      <c r="H927" s="48"/>
      <c r="I927" s="48"/>
      <c r="J927" s="48"/>
      <c r="K927" s="48"/>
      <c r="L927" s="48"/>
      <c r="M927" s="48"/>
      <c r="N927" s="48"/>
      <c r="O927" s="48"/>
      <c r="P927" s="48"/>
      <c r="Q927" s="48"/>
      <c r="R927" s="48"/>
      <c r="S927" s="48"/>
      <c r="T927" s="49"/>
      <c r="U927" s="1620" t="s">
        <v>545</v>
      </c>
      <c r="V927" s="1393"/>
      <c r="W927" s="1393"/>
      <c r="X927" s="1393"/>
      <c r="Y927" s="1393"/>
      <c r="Z927" s="1394"/>
      <c r="AA927" s="1621">
        <f>AM562</f>
        <v>18192172</v>
      </c>
      <c r="AB927" s="1519"/>
      <c r="AC927" s="1519"/>
      <c r="AD927" s="1519"/>
      <c r="AE927" s="1519"/>
      <c r="AF927" s="1622"/>
      <c r="AG927" s="1191" t="str">
        <f>IF(NOT(AA927=AW927),"!","")</f>
        <v/>
      </c>
      <c r="AH927" s="3"/>
      <c r="AW927" s="1448">
        <f>SUMIF($M$562:$M$573,"Loan, Tax-Exempt",$AM$562:$AM$573)</f>
        <v>18192172</v>
      </c>
      <c r="AX927" s="1448"/>
      <c r="AY927" s="1448"/>
      <c r="AZ927" s="3" t="s">
        <v>2540</v>
      </c>
      <c r="BA927" s="34"/>
      <c r="BB927" s="34"/>
      <c r="BC927" s="34"/>
    </row>
    <row r="928" spans="1:58" ht="12.95" customHeight="1">
      <c r="B928" s="2"/>
      <c r="F928" s="66" t="s">
        <v>675</v>
      </c>
      <c r="G928" s="48"/>
      <c r="H928" s="48"/>
      <c r="I928" s="48"/>
      <c r="J928" s="48"/>
      <c r="K928" s="48"/>
      <c r="L928" s="48"/>
      <c r="M928" s="48"/>
      <c r="N928" s="48"/>
      <c r="O928" s="48"/>
      <c r="P928" s="48"/>
      <c r="Q928" s="48"/>
      <c r="R928" s="48"/>
      <c r="S928" s="48"/>
      <c r="T928" s="49"/>
      <c r="U928" s="1620" t="s">
        <v>545</v>
      </c>
      <c r="V928" s="1393"/>
      <c r="W928" s="1393"/>
      <c r="X928" s="1393"/>
      <c r="Y928" s="1393"/>
      <c r="Z928" s="1394"/>
      <c r="AA928" s="1621">
        <f>AM564</f>
        <v>32971208</v>
      </c>
      <c r="AB928" s="1519"/>
      <c r="AC928" s="1519"/>
      <c r="AD928" s="1519"/>
      <c r="AE928" s="1519"/>
      <c r="AF928" s="1622"/>
      <c r="AZ928" s="34"/>
      <c r="BA928" s="34"/>
      <c r="BB928" s="34"/>
      <c r="BC928" s="34"/>
    </row>
    <row r="929" spans="6:55" ht="12.95" customHeight="1">
      <c r="F929" s="45" t="s">
        <v>801</v>
      </c>
      <c r="G929" s="5"/>
      <c r="H929" s="5"/>
      <c r="I929" s="5"/>
      <c r="J929" s="5"/>
      <c r="K929" s="5"/>
      <c r="L929" s="5"/>
      <c r="M929" s="5"/>
      <c r="N929" s="5"/>
      <c r="O929" s="5"/>
      <c r="P929" s="5"/>
      <c r="Q929" s="5"/>
      <c r="R929" s="5"/>
      <c r="S929" s="5"/>
      <c r="T929" s="46"/>
      <c r="U929" s="1620" t="s">
        <v>591</v>
      </c>
      <c r="V929" s="1393"/>
      <c r="W929" s="1393"/>
      <c r="X929" s="1393"/>
      <c r="Y929" s="1393"/>
      <c r="Z929" s="1394"/>
      <c r="AA929" s="1621"/>
      <c r="AB929" s="1519"/>
      <c r="AC929" s="1519"/>
      <c r="AD929" s="1519"/>
      <c r="AE929" s="1519"/>
      <c r="AF929" s="1622"/>
      <c r="AZ929" s="34"/>
      <c r="BA929" s="34"/>
      <c r="BB929" s="34"/>
      <c r="BC929" s="34"/>
    </row>
    <row r="930" spans="6:55" ht="12.95" customHeight="1">
      <c r="F930" s="45" t="s">
        <v>678</v>
      </c>
      <c r="G930" s="5"/>
      <c r="H930" s="5"/>
      <c r="I930" s="5"/>
      <c r="J930" s="5"/>
      <c r="K930" s="5"/>
      <c r="L930" s="5"/>
      <c r="M930" s="5"/>
      <c r="N930" s="5"/>
      <c r="O930" s="5"/>
      <c r="P930" s="5"/>
      <c r="Q930" s="5"/>
      <c r="R930" s="5"/>
      <c r="S930" s="5"/>
      <c r="T930" s="46"/>
      <c r="U930" s="1620" t="s">
        <v>591</v>
      </c>
      <c r="V930" s="1393"/>
      <c r="W930" s="1393"/>
      <c r="X930" s="1393"/>
      <c r="Y930" s="1393"/>
      <c r="Z930" s="1394"/>
      <c r="AA930" s="1621"/>
      <c r="AB930" s="1519"/>
      <c r="AC930" s="1519"/>
      <c r="AD930" s="1519"/>
      <c r="AE930" s="1519"/>
      <c r="AF930" s="1622"/>
      <c r="AZ930" s="34"/>
      <c r="BA930" s="34"/>
      <c r="BB930" s="34"/>
      <c r="BC930" s="34"/>
    </row>
    <row r="931" spans="6:55" ht="12.95" customHeight="1">
      <c r="F931" s="66" t="s">
        <v>786</v>
      </c>
      <c r="G931" s="5"/>
      <c r="H931" s="5"/>
      <c r="I931" s="5"/>
      <c r="J931" s="5"/>
      <c r="K931" s="5"/>
      <c r="L931" s="5"/>
      <c r="M931" s="5"/>
      <c r="N931" s="5"/>
      <c r="O931" s="5"/>
      <c r="P931" s="5"/>
      <c r="Q931" s="5"/>
      <c r="R931" s="5"/>
      <c r="S931" s="5"/>
      <c r="T931" s="46"/>
      <c r="U931" s="1620" t="s">
        <v>591</v>
      </c>
      <c r="V931" s="1393"/>
      <c r="W931" s="1393"/>
      <c r="X931" s="1393"/>
      <c r="Y931" s="1393"/>
      <c r="Z931" s="1394"/>
      <c r="AA931" s="1621"/>
      <c r="AB931" s="1519"/>
      <c r="AC931" s="1519"/>
      <c r="AD931" s="1519"/>
      <c r="AE931" s="1519"/>
      <c r="AF931" s="1622"/>
      <c r="AZ931" s="34"/>
      <c r="BA931" s="34"/>
      <c r="BB931" s="34"/>
      <c r="BC931" s="34"/>
    </row>
    <row r="932" spans="6:55" ht="12.95" customHeight="1">
      <c r="F932" s="66" t="s">
        <v>787</v>
      </c>
      <c r="G932" s="5"/>
      <c r="H932" s="5"/>
      <c r="I932" s="5"/>
      <c r="J932" s="5"/>
      <c r="K932" s="5"/>
      <c r="L932" s="5"/>
      <c r="M932" s="5"/>
      <c r="N932" s="5"/>
      <c r="O932" s="5"/>
      <c r="P932" s="5"/>
      <c r="Q932" s="5"/>
      <c r="R932" s="5"/>
      <c r="S932" s="5"/>
      <c r="T932" s="46"/>
      <c r="U932" s="1620" t="s">
        <v>591</v>
      </c>
      <c r="V932" s="1393"/>
      <c r="W932" s="1393"/>
      <c r="X932" s="1393"/>
      <c r="Y932" s="1393"/>
      <c r="Z932" s="1394"/>
      <c r="AA932" s="1621"/>
      <c r="AB932" s="1519"/>
      <c r="AC932" s="1519"/>
      <c r="AD932" s="1519"/>
      <c r="AE932" s="1519"/>
      <c r="AF932" s="1622"/>
      <c r="AZ932" s="34"/>
      <c r="BA932" s="34"/>
      <c r="BB932" s="34"/>
      <c r="BC932" s="34"/>
    </row>
    <row r="933" spans="6:55" ht="12.95" customHeight="1">
      <c r="F933" s="66" t="s">
        <v>788</v>
      </c>
      <c r="G933" s="5"/>
      <c r="H933" s="5"/>
      <c r="I933" s="5"/>
      <c r="J933" s="5"/>
      <c r="K933" s="5"/>
      <c r="L933" s="5"/>
      <c r="M933" s="5"/>
      <c r="N933" s="5"/>
      <c r="O933" s="5"/>
      <c r="P933" s="5"/>
      <c r="Q933" s="5"/>
      <c r="R933" s="5"/>
      <c r="S933" s="5"/>
      <c r="T933" s="46"/>
      <c r="U933" s="1620" t="s">
        <v>591</v>
      </c>
      <c r="V933" s="1393"/>
      <c r="W933" s="1393"/>
      <c r="X933" s="1393"/>
      <c r="Y933" s="1393"/>
      <c r="Z933" s="1394"/>
      <c r="AA933" s="1621"/>
      <c r="AB933" s="1519"/>
      <c r="AC933" s="1519"/>
      <c r="AD933" s="1519"/>
      <c r="AE933" s="1519"/>
      <c r="AF933" s="1622"/>
      <c r="AZ933" s="34"/>
      <c r="BA933" s="34"/>
      <c r="BB933" s="34"/>
      <c r="BC933" s="34"/>
    </row>
    <row r="934" spans="6:55" ht="12.95" customHeight="1">
      <c r="F934" s="45" t="s">
        <v>677</v>
      </c>
      <c r="G934" s="5"/>
      <c r="H934" s="5"/>
      <c r="I934" s="5"/>
      <c r="J934" s="5"/>
      <c r="K934" s="5"/>
      <c r="L934" s="5"/>
      <c r="M934" s="5"/>
      <c r="N934" s="5"/>
      <c r="O934" s="5"/>
      <c r="P934" s="5"/>
      <c r="Q934" s="5"/>
      <c r="R934" s="5"/>
      <c r="S934" s="5"/>
      <c r="T934" s="46"/>
      <c r="U934" s="1620" t="s">
        <v>591</v>
      </c>
      <c r="V934" s="1393"/>
      <c r="W934" s="1393"/>
      <c r="X934" s="1393"/>
      <c r="Y934" s="1393"/>
      <c r="Z934" s="1394"/>
      <c r="AA934" s="1621"/>
      <c r="AB934" s="1519"/>
      <c r="AC934" s="1519"/>
      <c r="AD934" s="1519"/>
      <c r="AE934" s="1519"/>
      <c r="AF934" s="1622"/>
      <c r="AZ934" s="34"/>
      <c r="BA934" s="34"/>
      <c r="BB934" s="34"/>
      <c r="BC934" s="34"/>
    </row>
    <row r="935" spans="6:55" ht="12.95" customHeight="1">
      <c r="F935" s="1687" t="s">
        <v>2148</v>
      </c>
      <c r="G935" s="1688"/>
      <c r="H935" s="1688"/>
      <c r="I935" s="1688"/>
      <c r="J935" s="1688"/>
      <c r="K935" s="1688"/>
      <c r="L935" s="1688"/>
      <c r="M935" s="1688"/>
      <c r="N935" s="1688"/>
      <c r="O935" s="1688"/>
      <c r="P935" s="1688"/>
      <c r="Q935" s="1688"/>
      <c r="R935" s="1688"/>
      <c r="S935" s="1688"/>
      <c r="T935" s="1689"/>
      <c r="U935" s="1620" t="s">
        <v>591</v>
      </c>
      <c r="V935" s="1393"/>
      <c r="W935" s="1393"/>
      <c r="X935" s="1393"/>
      <c r="Y935" s="1393"/>
      <c r="Z935" s="1394"/>
      <c r="AA935" s="1621"/>
      <c r="AB935" s="1519"/>
      <c r="AC935" s="1519"/>
      <c r="AD935" s="1519"/>
      <c r="AE935" s="1519"/>
      <c r="AF935" s="1622"/>
      <c r="AZ935" s="34"/>
      <c r="BA935" s="34"/>
      <c r="BB935" s="34"/>
      <c r="BC935" s="34"/>
    </row>
    <row r="936" spans="6:55" ht="12.95" customHeight="1">
      <c r="F936" s="1687" t="s">
        <v>679</v>
      </c>
      <c r="G936" s="1688"/>
      <c r="H936" s="1688"/>
      <c r="I936" s="1688"/>
      <c r="J936" s="1688"/>
      <c r="K936" s="1688"/>
      <c r="L936" s="1688"/>
      <c r="M936" s="1688"/>
      <c r="N936" s="1688"/>
      <c r="O936" s="1688"/>
      <c r="P936" s="1688"/>
      <c r="Q936" s="1688"/>
      <c r="R936" s="1688"/>
      <c r="S936" s="1688"/>
      <c r="T936" s="1689"/>
      <c r="U936" s="1620" t="s">
        <v>591</v>
      </c>
      <c r="V936" s="1393"/>
      <c r="W936" s="1393"/>
      <c r="X936" s="1393"/>
      <c r="Y936" s="1393"/>
      <c r="Z936" s="1394"/>
      <c r="AA936" s="1621"/>
      <c r="AB936" s="1519"/>
      <c r="AC936" s="1519"/>
      <c r="AD936" s="1519"/>
      <c r="AE936" s="1519"/>
      <c r="AF936" s="1622"/>
      <c r="AU936" s="2"/>
      <c r="AZ936" s="34"/>
      <c r="BA936" s="34"/>
      <c r="BB936" s="34"/>
      <c r="BC936" s="34"/>
    </row>
    <row r="937" spans="6:55" ht="12.95" customHeight="1">
      <c r="F937" s="1687" t="s">
        <v>2149</v>
      </c>
      <c r="G937" s="1688"/>
      <c r="H937" s="1688"/>
      <c r="I937" s="1688"/>
      <c r="J937" s="1688"/>
      <c r="K937" s="1688"/>
      <c r="L937" s="1688"/>
      <c r="M937" s="1688"/>
      <c r="N937" s="1688"/>
      <c r="O937" s="1688"/>
      <c r="P937" s="1688"/>
      <c r="Q937" s="1688"/>
      <c r="R937" s="1688"/>
      <c r="S937" s="1688"/>
      <c r="T937" s="1689"/>
      <c r="U937" s="1620" t="s">
        <v>591</v>
      </c>
      <c r="V937" s="1393"/>
      <c r="W937" s="1393"/>
      <c r="X937" s="1393"/>
      <c r="Y937" s="1393"/>
      <c r="Z937" s="1394"/>
      <c r="AA937" s="1621"/>
      <c r="AB937" s="1519"/>
      <c r="AC937" s="1519"/>
      <c r="AD937" s="1519"/>
      <c r="AE937" s="1519"/>
      <c r="AF937" s="1622"/>
      <c r="AU937" s="2"/>
      <c r="AZ937" s="34"/>
      <c r="BA937" s="34"/>
      <c r="BB937" s="34"/>
      <c r="BC937" s="34"/>
    </row>
    <row r="938" spans="6:55" ht="12.95" customHeight="1">
      <c r="F938" s="1687" t="s">
        <v>2150</v>
      </c>
      <c r="G938" s="1688"/>
      <c r="H938" s="1688"/>
      <c r="I938" s="1688"/>
      <c r="J938" s="1688"/>
      <c r="K938" s="1688"/>
      <c r="L938" s="1688"/>
      <c r="M938" s="1688"/>
      <c r="N938" s="1688"/>
      <c r="O938" s="1688"/>
      <c r="P938" s="1688"/>
      <c r="Q938" s="1688"/>
      <c r="R938" s="1688"/>
      <c r="S938" s="1688"/>
      <c r="T938" s="1689"/>
      <c r="U938" s="1620" t="s">
        <v>591</v>
      </c>
      <c r="V938" s="1393"/>
      <c r="W938" s="1393"/>
      <c r="X938" s="1393"/>
      <c r="Y938" s="1393"/>
      <c r="Z938" s="1394"/>
      <c r="AA938" s="1621"/>
      <c r="AB938" s="1519"/>
      <c r="AC938" s="1519"/>
      <c r="AD938" s="1519"/>
      <c r="AE938" s="1519"/>
      <c r="AF938" s="1622"/>
      <c r="AU938" s="2"/>
      <c r="AZ938" s="34"/>
      <c r="BA938" s="34"/>
      <c r="BB938" s="34"/>
      <c r="BC938" s="34"/>
    </row>
    <row r="939" spans="6:55" ht="12.95" customHeight="1">
      <c r="F939" s="1687" t="s">
        <v>2151</v>
      </c>
      <c r="G939" s="1688"/>
      <c r="H939" s="1688"/>
      <c r="I939" s="1688"/>
      <c r="J939" s="1688"/>
      <c r="K939" s="1688"/>
      <c r="L939" s="1688"/>
      <c r="M939" s="1688"/>
      <c r="N939" s="1688"/>
      <c r="O939" s="1688"/>
      <c r="P939" s="1688"/>
      <c r="Q939" s="1688"/>
      <c r="R939" s="1688"/>
      <c r="S939" s="1688"/>
      <c r="T939" s="1689"/>
      <c r="U939" s="1620" t="s">
        <v>591</v>
      </c>
      <c r="V939" s="1393"/>
      <c r="W939" s="1393"/>
      <c r="X939" s="1393"/>
      <c r="Y939" s="1393"/>
      <c r="Z939" s="1394"/>
      <c r="AA939" s="1621"/>
      <c r="AB939" s="1519"/>
      <c r="AC939" s="1519"/>
      <c r="AD939" s="1519"/>
      <c r="AE939" s="1519"/>
      <c r="AF939" s="1622"/>
      <c r="AU939" s="2"/>
      <c r="AZ939" s="34"/>
      <c r="BA939" s="34"/>
      <c r="BB939" s="34"/>
      <c r="BC939" s="34"/>
    </row>
    <row r="940" spans="6:55" ht="12.95" customHeight="1">
      <c r="F940" s="1687" t="s">
        <v>2152</v>
      </c>
      <c r="G940" s="1688"/>
      <c r="H940" s="1688"/>
      <c r="I940" s="1688"/>
      <c r="J940" s="1688"/>
      <c r="K940" s="1688"/>
      <c r="L940" s="1688"/>
      <c r="M940" s="1688"/>
      <c r="N940" s="1688"/>
      <c r="O940" s="1688"/>
      <c r="P940" s="1688"/>
      <c r="Q940" s="1688"/>
      <c r="R940" s="1688"/>
      <c r="S940" s="1688"/>
      <c r="T940" s="1689"/>
      <c r="U940" s="1620" t="s">
        <v>591</v>
      </c>
      <c r="V940" s="1393"/>
      <c r="W940" s="1393"/>
      <c r="X940" s="1393"/>
      <c r="Y940" s="1393"/>
      <c r="Z940" s="1394"/>
      <c r="AA940" s="1621"/>
      <c r="AB940" s="1519"/>
      <c r="AC940" s="1519"/>
      <c r="AD940" s="1519"/>
      <c r="AE940" s="1519"/>
      <c r="AF940" s="1622"/>
      <c r="AU940" s="2"/>
      <c r="AZ940" s="34"/>
      <c r="BA940" s="34"/>
      <c r="BB940" s="34"/>
      <c r="BC940" s="34"/>
    </row>
    <row r="941" spans="6:55" ht="12.95" customHeight="1">
      <c r="F941" s="1687" t="s">
        <v>2153</v>
      </c>
      <c r="G941" s="1688"/>
      <c r="H941" s="1688"/>
      <c r="I941" s="1688"/>
      <c r="J941" s="1688"/>
      <c r="K941" s="1688"/>
      <c r="L941" s="1688"/>
      <c r="M941" s="1688"/>
      <c r="N941" s="1688"/>
      <c r="O941" s="1688"/>
      <c r="P941" s="1688"/>
      <c r="Q941" s="1688"/>
      <c r="R941" s="1688"/>
      <c r="S941" s="1688"/>
      <c r="T941" s="1689"/>
      <c r="U941" s="1620" t="s">
        <v>591</v>
      </c>
      <c r="V941" s="1393"/>
      <c r="W941" s="1393"/>
      <c r="X941" s="1393"/>
      <c r="Y941" s="1393"/>
      <c r="Z941" s="1394"/>
      <c r="AA941" s="1621"/>
      <c r="AB941" s="1519"/>
      <c r="AC941" s="1519"/>
      <c r="AD941" s="1519"/>
      <c r="AE941" s="1519"/>
      <c r="AF941" s="1622"/>
      <c r="AZ941" s="30"/>
      <c r="BA941" s="30"/>
    </row>
    <row r="942" spans="6:55" ht="12.95" customHeight="1">
      <c r="F942" s="178" t="s">
        <v>676</v>
      </c>
      <c r="G942" s="5"/>
      <c r="H942" s="5"/>
      <c r="I942" s="5"/>
      <c r="J942" s="5"/>
      <c r="K942" s="5"/>
      <c r="L942" s="5"/>
      <c r="M942" s="5"/>
      <c r="N942" s="5"/>
      <c r="O942" s="5"/>
      <c r="P942" s="5"/>
      <c r="Q942" s="5"/>
      <c r="R942" s="5"/>
      <c r="S942" s="5"/>
      <c r="T942" s="46"/>
      <c r="U942" s="1620" t="s">
        <v>591</v>
      </c>
      <c r="V942" s="1393"/>
      <c r="W942" s="1393"/>
      <c r="X942" s="1393"/>
      <c r="Y942" s="1393"/>
      <c r="Z942" s="1394"/>
      <c r="AA942" s="1621"/>
      <c r="AB942" s="1519"/>
      <c r="AC942" s="1519"/>
      <c r="AD942" s="1519"/>
      <c r="AE942" s="1519"/>
      <c r="AF942" s="1622"/>
    </row>
    <row r="943" spans="6:55" ht="12.95" customHeight="1">
      <c r="F943" s="121" t="s">
        <v>1277</v>
      </c>
      <c r="G943" s="5"/>
      <c r="H943" s="5"/>
      <c r="I943" s="5"/>
      <c r="J943" s="5"/>
      <c r="K943" s="5"/>
      <c r="L943" s="5"/>
      <c r="M943" s="5"/>
      <c r="N943" s="5"/>
      <c r="O943" s="5"/>
      <c r="P943" s="5"/>
      <c r="Q943" s="5"/>
      <c r="R943" s="5"/>
      <c r="S943" s="5"/>
      <c r="T943" s="46"/>
      <c r="U943" s="1620" t="s">
        <v>591</v>
      </c>
      <c r="V943" s="1393"/>
      <c r="W943" s="1393"/>
      <c r="X943" s="1393"/>
      <c r="Y943" s="1393"/>
      <c r="Z943" s="1394"/>
      <c r="AA943" s="1621"/>
      <c r="AB943" s="1519"/>
      <c r="AC943" s="1519"/>
      <c r="AD943" s="1519"/>
      <c r="AE943" s="1519"/>
      <c r="AF943" s="1622"/>
      <c r="AZ943" s="30"/>
      <c r="BA943" s="14"/>
    </row>
    <row r="944" spans="6:55" ht="12.95" customHeight="1">
      <c r="F944" s="66" t="s">
        <v>802</v>
      </c>
      <c r="G944" s="5"/>
      <c r="H944" s="5"/>
      <c r="I944" s="5"/>
      <c r="J944" s="5"/>
      <c r="K944" s="5"/>
      <c r="L944" s="5"/>
      <c r="M944" s="5"/>
      <c r="N944" s="5"/>
      <c r="O944" s="5"/>
      <c r="P944" s="5"/>
      <c r="Q944" s="5"/>
      <c r="R944" s="5"/>
      <c r="S944" s="5"/>
      <c r="T944" s="46"/>
      <c r="U944" s="1620" t="s">
        <v>591</v>
      </c>
      <c r="V944" s="1393"/>
      <c r="W944" s="1393"/>
      <c r="X944" s="1393"/>
      <c r="Y944" s="1393"/>
      <c r="Z944" s="1394"/>
      <c r="AA944" s="1621"/>
      <c r="AB944" s="1519"/>
      <c r="AC944" s="1519"/>
      <c r="AD944" s="1519"/>
      <c r="AE944" s="1519"/>
      <c r="AF944" s="1622"/>
      <c r="AZ944" s="30"/>
      <c r="BA944" s="14"/>
    </row>
    <row r="945" spans="6:55" ht="12.95" customHeight="1">
      <c r="F945" s="1690" t="s">
        <v>2157</v>
      </c>
      <c r="G945" s="1691"/>
      <c r="H945" s="1691"/>
      <c r="I945" s="1691"/>
      <c r="J945" s="1691"/>
      <c r="K945" s="1691"/>
      <c r="L945" s="1691"/>
      <c r="M945" s="1691"/>
      <c r="N945" s="1691"/>
      <c r="O945" s="1691"/>
      <c r="P945" s="1691"/>
      <c r="Q945" s="1691"/>
      <c r="R945" s="1691"/>
      <c r="S945" s="1691"/>
      <c r="T945" s="1692"/>
      <c r="U945" s="1620" t="s">
        <v>591</v>
      </c>
      <c r="V945" s="1393"/>
      <c r="W945" s="1393"/>
      <c r="X945" s="1393"/>
      <c r="Y945" s="1393"/>
      <c r="Z945" s="1394"/>
      <c r="AA945" s="1621"/>
      <c r="AB945" s="1519"/>
      <c r="AC945" s="1519"/>
      <c r="AD945" s="1519"/>
      <c r="AE945" s="1519"/>
      <c r="AF945" s="1622"/>
      <c r="AZ945" s="30"/>
      <c r="BA945" s="14"/>
    </row>
    <row r="946" spans="6:55" ht="12.95" customHeight="1">
      <c r="F946" s="1690" t="s">
        <v>2158</v>
      </c>
      <c r="G946" s="1691"/>
      <c r="H946" s="1691"/>
      <c r="I946" s="1691"/>
      <c r="J946" s="1691"/>
      <c r="K946" s="1691"/>
      <c r="L946" s="1691"/>
      <c r="M946" s="1691"/>
      <c r="N946" s="1691"/>
      <c r="O946" s="1691"/>
      <c r="P946" s="1691"/>
      <c r="Q946" s="1691"/>
      <c r="R946" s="1691"/>
      <c r="S946" s="1691"/>
      <c r="T946" s="1692"/>
      <c r="U946" s="1620" t="s">
        <v>591</v>
      </c>
      <c r="V946" s="1393"/>
      <c r="W946" s="1393"/>
      <c r="X946" s="1393"/>
      <c r="Y946" s="1393"/>
      <c r="Z946" s="1394"/>
      <c r="AA946" s="1621"/>
      <c r="AB946" s="1519"/>
      <c r="AC946" s="1519"/>
      <c r="AD946" s="1519"/>
      <c r="AE946" s="1519"/>
      <c r="AF946" s="1622"/>
      <c r="AZ946" s="30"/>
      <c r="BA946" s="30"/>
    </row>
    <row r="947" spans="6:55" ht="12.95" customHeight="1">
      <c r="F947" s="1687" t="s">
        <v>2154</v>
      </c>
      <c r="G947" s="1688"/>
      <c r="H947" s="1688"/>
      <c r="I947" s="1688"/>
      <c r="J947" s="1688"/>
      <c r="K947" s="1688"/>
      <c r="L947" s="1688"/>
      <c r="M947" s="1688"/>
      <c r="N947" s="1688"/>
      <c r="O947" s="1688"/>
      <c r="P947" s="1688"/>
      <c r="Q947" s="1688"/>
      <c r="R947" s="1688"/>
      <c r="S947" s="1688"/>
      <c r="T947" s="1689"/>
      <c r="U947" s="1620" t="s">
        <v>591</v>
      </c>
      <c r="V947" s="1393"/>
      <c r="W947" s="1393"/>
      <c r="X947" s="1393"/>
      <c r="Y947" s="1393"/>
      <c r="Z947" s="1394"/>
      <c r="AA947" s="1621"/>
      <c r="AB947" s="1519"/>
      <c r="AC947" s="1519"/>
      <c r="AD947" s="1519"/>
      <c r="AE947" s="1519"/>
      <c r="AF947" s="1622"/>
      <c r="AZ947" s="30"/>
      <c r="BA947" s="30"/>
    </row>
    <row r="948" spans="6:55" ht="12.95" customHeight="1">
      <c r="F948" s="1687" t="s">
        <v>2155</v>
      </c>
      <c r="G948" s="1688"/>
      <c r="H948" s="1688"/>
      <c r="I948" s="1688"/>
      <c r="J948" s="1688"/>
      <c r="K948" s="1688"/>
      <c r="L948" s="1688"/>
      <c r="M948" s="1688"/>
      <c r="N948" s="1688"/>
      <c r="O948" s="1688"/>
      <c r="P948" s="1688"/>
      <c r="Q948" s="1688"/>
      <c r="R948" s="1688"/>
      <c r="S948" s="1688"/>
      <c r="T948" s="1689"/>
      <c r="U948" s="1620" t="s">
        <v>591</v>
      </c>
      <c r="V948" s="1393"/>
      <c r="W948" s="1393"/>
      <c r="X948" s="1393"/>
      <c r="Y948" s="1393"/>
      <c r="Z948" s="1394"/>
      <c r="AA948" s="1621"/>
      <c r="AB948" s="1519"/>
      <c r="AC948" s="1519"/>
      <c r="AD948" s="1519"/>
      <c r="AE948" s="1519"/>
      <c r="AF948" s="1622"/>
      <c r="AZ948" s="30"/>
      <c r="BA948" s="30"/>
    </row>
    <row r="949" spans="6:55" ht="12.95" customHeight="1">
      <c r="F949" s="1687" t="s">
        <v>2156</v>
      </c>
      <c r="G949" s="1688"/>
      <c r="H949" s="1688"/>
      <c r="I949" s="1688"/>
      <c r="J949" s="1688"/>
      <c r="K949" s="1688"/>
      <c r="L949" s="1688"/>
      <c r="M949" s="1688"/>
      <c r="N949" s="1688"/>
      <c r="O949" s="1688"/>
      <c r="P949" s="1688"/>
      <c r="Q949" s="1688"/>
      <c r="R949" s="1688"/>
      <c r="S949" s="1688"/>
      <c r="T949" s="1689"/>
      <c r="U949" s="1620" t="s">
        <v>591</v>
      </c>
      <c r="V949" s="1393"/>
      <c r="W949" s="1393"/>
      <c r="X949" s="1393"/>
      <c r="Y949" s="1393"/>
      <c r="Z949" s="1394"/>
      <c r="AA949" s="1621"/>
      <c r="AB949" s="1519"/>
      <c r="AC949" s="1519"/>
      <c r="AD949" s="1519"/>
      <c r="AE949" s="1519"/>
      <c r="AF949" s="1622"/>
      <c r="AZ949" s="34"/>
      <c r="BA949" s="34"/>
      <c r="BB949" s="14"/>
      <c r="BC949" s="14"/>
    </row>
    <row r="950" spans="6:55" ht="12.95" customHeight="1">
      <c r="F950" s="121" t="s">
        <v>1261</v>
      </c>
      <c r="G950" s="5"/>
      <c r="H950" s="5"/>
      <c r="I950" s="5"/>
      <c r="J950" s="5"/>
      <c r="K950" s="5"/>
      <c r="L950" s="5"/>
      <c r="M950" s="5"/>
      <c r="N950" s="5"/>
      <c r="O950" s="5"/>
      <c r="P950" s="5"/>
      <c r="Q950" s="5"/>
      <c r="R950" s="5"/>
      <c r="S950" s="5"/>
      <c r="T950" s="46"/>
      <c r="U950" s="1620" t="s">
        <v>591</v>
      </c>
      <c r="V950" s="1393"/>
      <c r="W950" s="1393"/>
      <c r="X950" s="1393"/>
      <c r="Y950" s="1393"/>
      <c r="Z950" s="1394"/>
      <c r="AA950" s="1621"/>
      <c r="AB950" s="1519"/>
      <c r="AC950" s="1519"/>
      <c r="AD950" s="1519"/>
      <c r="AE950" s="1519"/>
      <c r="AF950" s="1622"/>
      <c r="AZ950" s="34"/>
      <c r="BA950" s="34"/>
      <c r="BB950" s="14"/>
      <c r="BC950" s="14"/>
    </row>
    <row r="951" spans="6:55" ht="12.95" customHeight="1">
      <c r="F951" s="1690" t="s">
        <v>2159</v>
      </c>
      <c r="G951" s="1691"/>
      <c r="H951" s="1691"/>
      <c r="I951" s="1691"/>
      <c r="J951" s="1691"/>
      <c r="K951" s="1691"/>
      <c r="L951" s="1691"/>
      <c r="M951" s="1691"/>
      <c r="N951" s="1691"/>
      <c r="O951" s="1691"/>
      <c r="P951" s="1691"/>
      <c r="Q951" s="1691"/>
      <c r="R951" s="1691"/>
      <c r="S951" s="1691"/>
      <c r="T951" s="1692"/>
      <c r="U951" s="1620" t="s">
        <v>591</v>
      </c>
      <c r="V951" s="1393"/>
      <c r="W951" s="1393"/>
      <c r="X951" s="1393"/>
      <c r="Y951" s="1393"/>
      <c r="Z951" s="1394"/>
      <c r="AA951" s="1621"/>
      <c r="AB951" s="1519"/>
      <c r="AC951" s="1519"/>
      <c r="AD951" s="1519"/>
      <c r="AE951" s="1519"/>
      <c r="AF951" s="1622"/>
      <c r="AZ951" s="34"/>
      <c r="BA951" s="34"/>
      <c r="BB951" s="34"/>
      <c r="BC951" s="34"/>
    </row>
    <row r="952" spans="6:55" ht="12.95" customHeight="1">
      <c r="F952" s="121" t="s">
        <v>1262</v>
      </c>
      <c r="G952" s="5"/>
      <c r="H952" s="5"/>
      <c r="I952" s="5"/>
      <c r="J952" s="5"/>
      <c r="K952" s="5"/>
      <c r="L952" s="5"/>
      <c r="M952" s="5"/>
      <c r="N952" s="5"/>
      <c r="O952" s="5"/>
      <c r="P952" s="5"/>
      <c r="Q952" s="5"/>
      <c r="R952" s="5"/>
      <c r="S952" s="5"/>
      <c r="T952" s="46"/>
      <c r="U952" s="1620" t="s">
        <v>591</v>
      </c>
      <c r="V952" s="1393"/>
      <c r="W952" s="1393"/>
      <c r="X952" s="1393"/>
      <c r="Y952" s="1393"/>
      <c r="Z952" s="1394"/>
      <c r="AA952" s="1621"/>
      <c r="AB952" s="1519"/>
      <c r="AC952" s="1519"/>
      <c r="AD952" s="1519"/>
      <c r="AE952" s="1519"/>
      <c r="AF952" s="1622"/>
      <c r="AZ952" s="34"/>
      <c r="BA952" s="34"/>
      <c r="BB952" s="34"/>
      <c r="BC952" s="34"/>
    </row>
    <row r="953" spans="6:55" ht="12.95" customHeight="1">
      <c r="F953" s="1690" t="s">
        <v>2160</v>
      </c>
      <c r="G953" s="1691"/>
      <c r="H953" s="1691"/>
      <c r="I953" s="1691"/>
      <c r="J953" s="1691"/>
      <c r="K953" s="1691"/>
      <c r="L953" s="1691"/>
      <c r="M953" s="1691"/>
      <c r="N953" s="1691"/>
      <c r="O953" s="1691"/>
      <c r="P953" s="1691"/>
      <c r="Q953" s="1691"/>
      <c r="R953" s="1691"/>
      <c r="S953" s="1691"/>
      <c r="T953" s="1692"/>
      <c r="U953" s="1620" t="s">
        <v>591</v>
      </c>
      <c r="V953" s="1393"/>
      <c r="W953" s="1393"/>
      <c r="X953" s="1393"/>
      <c r="Y953" s="1393"/>
      <c r="Z953" s="1394"/>
      <c r="AA953" s="1621"/>
      <c r="AB953" s="1519"/>
      <c r="AC953" s="1519"/>
      <c r="AD953" s="1519"/>
      <c r="AE953" s="1519"/>
      <c r="AF953" s="1622"/>
      <c r="AZ953" s="34"/>
      <c r="BA953" s="34"/>
      <c r="BB953" s="34"/>
      <c r="BC953" s="34"/>
    </row>
    <row r="954" spans="6:55" ht="12.95" customHeight="1">
      <c r="F954" s="45" t="s">
        <v>806</v>
      </c>
      <c r="G954" s="5"/>
      <c r="H954" s="5"/>
      <c r="I954" s="5"/>
      <c r="J954" s="5"/>
      <c r="K954" s="5"/>
      <c r="L954" s="5"/>
      <c r="M954" s="5"/>
      <c r="N954" s="5"/>
      <c r="O954" s="5"/>
      <c r="P954" s="1620" t="s">
        <v>669</v>
      </c>
      <c r="Q954" s="1393"/>
      <c r="R954" s="1393"/>
      <c r="S954" s="1393"/>
      <c r="T954" s="1394"/>
      <c r="U954" s="1620" t="s">
        <v>591</v>
      </c>
      <c r="V954" s="1393"/>
      <c r="W954" s="1393"/>
      <c r="X954" s="1393"/>
      <c r="Y954" s="1393"/>
      <c r="Z954" s="1394"/>
      <c r="AA954" s="1621"/>
      <c r="AB954" s="1519"/>
      <c r="AC954" s="1519"/>
      <c r="AD954" s="1519"/>
      <c r="AE954" s="1519"/>
      <c r="AF954" s="1622"/>
      <c r="AZ954" s="34"/>
      <c r="BA954" s="34"/>
      <c r="BB954" s="34"/>
      <c r="BC954" s="34"/>
    </row>
    <row r="955" spans="6:55" ht="12.95" customHeight="1">
      <c r="F955" s="1687" t="s">
        <v>2147</v>
      </c>
      <c r="G955" s="1688"/>
      <c r="H955" s="1689"/>
      <c r="I955" s="1629" t="s">
        <v>334</v>
      </c>
      <c r="J955" s="1630"/>
      <c r="K955" s="1630"/>
      <c r="L955" s="1630"/>
      <c r="M955" s="1630"/>
      <c r="N955" s="1630"/>
      <c r="O955" s="1630"/>
      <c r="P955" s="1630"/>
      <c r="Q955" s="1630"/>
      <c r="R955" s="1630"/>
      <c r="S955" s="1630"/>
      <c r="T955" s="1638"/>
      <c r="U955" s="1620" t="s">
        <v>591</v>
      </c>
      <c r="V955" s="1393"/>
      <c r="W955" s="1393"/>
      <c r="X955" s="1393"/>
      <c r="Y955" s="1393"/>
      <c r="Z955" s="1394"/>
      <c r="AA955" s="1621"/>
      <c r="AB955" s="1519"/>
      <c r="AC955" s="1519"/>
      <c r="AD955" s="1519"/>
      <c r="AE955" s="1519"/>
      <c r="AF955" s="1622"/>
      <c r="AZ955" s="34"/>
      <c r="BA955" s="34"/>
      <c r="BB955" s="34"/>
      <c r="BC955" s="34"/>
    </row>
    <row r="956" spans="6:55" ht="12.95" customHeight="1">
      <c r="F956" s="45" t="s">
        <v>86</v>
      </c>
      <c r="G956" s="48"/>
      <c r="H956" s="48"/>
      <c r="I956" s="1629" t="s">
        <v>334</v>
      </c>
      <c r="J956" s="1630"/>
      <c r="K956" s="1630"/>
      <c r="L956" s="1630"/>
      <c r="M956" s="1630"/>
      <c r="N956" s="1630"/>
      <c r="O956" s="1630"/>
      <c r="P956" s="1630"/>
      <c r="Q956" s="1630"/>
      <c r="R956" s="1630"/>
      <c r="S956" s="1630"/>
      <c r="T956" s="1638"/>
      <c r="U956" s="1620" t="s">
        <v>591</v>
      </c>
      <c r="V956" s="1393"/>
      <c r="W956" s="1393"/>
      <c r="X956" s="1393"/>
      <c r="Y956" s="1393"/>
      <c r="Z956" s="1394"/>
      <c r="AA956" s="1621"/>
      <c r="AB956" s="1519"/>
      <c r="AC956" s="1519"/>
      <c r="AD956" s="1519"/>
      <c r="AE956" s="1519"/>
      <c r="AF956" s="1622"/>
      <c r="AZ956" s="34"/>
      <c r="BA956" s="34"/>
      <c r="BB956" s="34"/>
      <c r="BC956" s="34"/>
    </row>
    <row r="957" spans="6:55" ht="12.95" customHeight="1">
      <c r="F957" s="45" t="s">
        <v>10</v>
      </c>
      <c r="G957" s="48"/>
      <c r="H957" s="48"/>
      <c r="I957" s="1684" t="s">
        <v>334</v>
      </c>
      <c r="J957" s="1685"/>
      <c r="K957" s="1685"/>
      <c r="L957" s="1685"/>
      <c r="M957" s="1685"/>
      <c r="N957" s="1685"/>
      <c r="O957" s="1685"/>
      <c r="P957" s="1685"/>
      <c r="Q957" s="1685"/>
      <c r="R957" s="1685"/>
      <c r="S957" s="1685"/>
      <c r="T957" s="1686"/>
      <c r="U957" s="1620" t="s">
        <v>591</v>
      </c>
      <c r="V957" s="1393"/>
      <c r="W957" s="1393"/>
      <c r="X957" s="1393"/>
      <c r="Y957" s="1393"/>
      <c r="Z957" s="1394"/>
      <c r="AA957" s="1621"/>
      <c r="AB957" s="1519"/>
      <c r="AC957" s="1519"/>
      <c r="AD957" s="1519"/>
      <c r="AE957" s="1519"/>
      <c r="AF957" s="1622"/>
      <c r="AV957" s="2"/>
      <c r="AW957" s="2"/>
      <c r="AX957" s="2"/>
      <c r="AY957" s="2"/>
      <c r="AZ957" s="34"/>
      <c r="BA957" s="34"/>
      <c r="BB957" s="34"/>
      <c r="BC957" s="34"/>
    </row>
    <row r="958" spans="6:55" ht="12.95" customHeight="1">
      <c r="F958" s="47" t="s">
        <v>170</v>
      </c>
      <c r="G958" s="48"/>
      <c r="H958" s="48"/>
      <c r="I958" s="1684" t="s">
        <v>334</v>
      </c>
      <c r="J958" s="1685"/>
      <c r="K958" s="1685"/>
      <c r="L958" s="1685"/>
      <c r="M958" s="1685"/>
      <c r="N958" s="1685"/>
      <c r="O958" s="1685"/>
      <c r="P958" s="1685"/>
      <c r="Q958" s="1685"/>
      <c r="R958" s="1685"/>
      <c r="S958" s="1685"/>
      <c r="T958" s="1686"/>
      <c r="U958" s="1620" t="s">
        <v>591</v>
      </c>
      <c r="V958" s="1393"/>
      <c r="W958" s="1393"/>
      <c r="X958" s="1393"/>
      <c r="Y958" s="1393"/>
      <c r="Z958" s="1394"/>
      <c r="AA958" s="1621"/>
      <c r="AB958" s="1519"/>
      <c r="AC958" s="1519"/>
      <c r="AD958" s="1519"/>
      <c r="AE958" s="1519"/>
      <c r="AF958" s="1622"/>
      <c r="AU958" s="2"/>
      <c r="AZ958" s="34"/>
      <c r="BA958" s="34"/>
      <c r="BB958" s="34"/>
      <c r="BC958" s="34"/>
    </row>
    <row r="959" spans="6:55" ht="12.95" customHeight="1">
      <c r="F959" s="47" t="s">
        <v>170</v>
      </c>
      <c r="G959" s="48"/>
      <c r="H959" s="48"/>
      <c r="I959" s="1684" t="s">
        <v>334</v>
      </c>
      <c r="J959" s="1685"/>
      <c r="K959" s="1685"/>
      <c r="L959" s="1685"/>
      <c r="M959" s="1685"/>
      <c r="N959" s="1685"/>
      <c r="O959" s="1685"/>
      <c r="P959" s="1685"/>
      <c r="Q959" s="1685"/>
      <c r="R959" s="1685"/>
      <c r="S959" s="1685"/>
      <c r="T959" s="1686"/>
      <c r="U959" s="1620" t="s">
        <v>591</v>
      </c>
      <c r="V959" s="1393"/>
      <c r="W959" s="1393"/>
      <c r="X959" s="1393"/>
      <c r="Y959" s="1393"/>
      <c r="Z959" s="1394"/>
      <c r="AA959" s="1621"/>
      <c r="AB959" s="1519"/>
      <c r="AC959" s="1519"/>
      <c r="AD959" s="1519"/>
      <c r="AE959" s="1519"/>
      <c r="AF959" s="1622"/>
      <c r="AU959" s="2"/>
      <c r="AZ959" s="34"/>
      <c r="BA959" s="34"/>
      <c r="BB959" s="34"/>
      <c r="BC959" s="34"/>
    </row>
    <row r="960" spans="6:55" ht="12.95" customHeight="1">
      <c r="AU960" s="2"/>
      <c r="AZ960" s="34"/>
      <c r="BA960" s="34"/>
      <c r="BB960" s="34"/>
      <c r="BC960" s="34"/>
    </row>
    <row r="961" spans="1:64" ht="12.95" customHeight="1">
      <c r="A961" s="2" t="s">
        <v>576</v>
      </c>
      <c r="C961" s="2" t="s">
        <v>751</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99"/>
      <c r="N964" s="1506"/>
      <c r="O964" s="1506"/>
      <c r="P964" s="1506"/>
      <c r="Q964" s="1506"/>
      <c r="R964" s="1506"/>
      <c r="S964" s="1658"/>
      <c r="U964" s="66" t="s">
        <v>11</v>
      </c>
      <c r="V964" s="5"/>
      <c r="W964" s="5"/>
      <c r="X964" s="5"/>
      <c r="Y964" s="5"/>
      <c r="Z964" s="5"/>
      <c r="AA964" s="5"/>
      <c r="AB964" s="5"/>
      <c r="AC964" s="5"/>
      <c r="AD964" s="46"/>
      <c r="AE964" s="1699"/>
      <c r="AF964" s="1506"/>
      <c r="AG964" s="1506"/>
      <c r="AH964" s="1506"/>
      <c r="AI964" s="1506"/>
      <c r="AJ964" s="1506"/>
      <c r="AK964" s="1658"/>
      <c r="AZ964" s="34"/>
      <c r="BA964" s="34"/>
      <c r="BB964" s="34"/>
      <c r="BC964" s="34"/>
    </row>
    <row r="965" spans="1:64" ht="12.95" customHeight="1">
      <c r="C965" s="66" t="s">
        <v>12</v>
      </c>
      <c r="D965" s="5"/>
      <c r="E965" s="5"/>
      <c r="F965" s="5"/>
      <c r="G965" s="5"/>
      <c r="H965" s="5"/>
      <c r="I965" s="5"/>
      <c r="J965" s="5"/>
      <c r="K965" s="5"/>
      <c r="L965" s="46"/>
      <c r="M965" s="1467"/>
      <c r="N965" s="1524"/>
      <c r="O965" s="1524"/>
      <c r="P965" s="1524"/>
      <c r="Q965" s="1524"/>
      <c r="R965" s="1524"/>
      <c r="S965" s="1723"/>
      <c r="U965" s="66" t="s">
        <v>12</v>
      </c>
      <c r="V965" s="5"/>
      <c r="W965" s="5"/>
      <c r="X965" s="5"/>
      <c r="Y965" s="5"/>
      <c r="Z965" s="5"/>
      <c r="AA965" s="5"/>
      <c r="AB965" s="5"/>
      <c r="AC965" s="5"/>
      <c r="AD965" s="46"/>
      <c r="AE965" s="1467"/>
      <c r="AF965" s="1524"/>
      <c r="AG965" s="1524"/>
      <c r="AH965" s="1524"/>
      <c r="AI965" s="1524"/>
      <c r="AJ965" s="1524"/>
      <c r="AK965" s="1723"/>
      <c r="AZ965" s="34"/>
      <c r="BA965" s="34"/>
      <c r="BB965" s="34"/>
      <c r="BC965" s="34"/>
    </row>
    <row r="966" spans="1:64" ht="12.95" customHeight="1">
      <c r="C966" s="66" t="s">
        <v>880</v>
      </c>
      <c r="D966" s="5"/>
      <c r="E966" s="5"/>
      <c r="J966" s="1739" t="s">
        <v>307</v>
      </c>
      <c r="K966" s="1740"/>
      <c r="L966" s="1740"/>
      <c r="M966" s="1740"/>
      <c r="N966" s="1740"/>
      <c r="O966" s="1740"/>
      <c r="P966" s="1740"/>
      <c r="Q966" s="1740"/>
      <c r="R966" s="1740"/>
      <c r="S966" s="1741"/>
      <c r="U966" s="66" t="s">
        <v>880</v>
      </c>
      <c r="V966" s="5"/>
      <c r="W966" s="5"/>
      <c r="AB966" s="1739" t="s">
        <v>307</v>
      </c>
      <c r="AC966" s="1740"/>
      <c r="AD966" s="1740"/>
      <c r="AE966" s="1740"/>
      <c r="AF966" s="1740"/>
      <c r="AG966" s="1740"/>
      <c r="AH966" s="1740"/>
      <c r="AI966" s="1740"/>
      <c r="AJ966" s="1740"/>
      <c r="AK966" s="1741"/>
      <c r="AZ966" s="34"/>
      <c r="BA966" s="34"/>
      <c r="BB966" s="34"/>
      <c r="BC966" s="34"/>
    </row>
    <row r="967" spans="1:64" ht="12.95" customHeight="1">
      <c r="C967" s="66" t="s">
        <v>13</v>
      </c>
      <c r="D967" s="5"/>
      <c r="E967" s="5"/>
      <c r="F967" s="5"/>
      <c r="G967" s="5"/>
      <c r="H967" s="5"/>
      <c r="I967" s="5"/>
      <c r="J967" s="5"/>
      <c r="K967" s="5"/>
      <c r="L967" s="46"/>
      <c r="M967" s="1710"/>
      <c r="N967" s="1711"/>
      <c r="O967" s="1711"/>
      <c r="P967" s="1711"/>
      <c r="Q967" s="1711"/>
      <c r="R967" s="1711"/>
      <c r="S967" s="1712"/>
      <c r="U967" s="66" t="s">
        <v>13</v>
      </c>
      <c r="V967" s="5"/>
      <c r="W967" s="5"/>
      <c r="X967" s="5"/>
      <c r="Y967" s="5"/>
      <c r="Z967" s="5"/>
      <c r="AA967" s="5"/>
      <c r="AB967" s="5"/>
      <c r="AC967" s="5"/>
      <c r="AD967" s="46"/>
      <c r="AE967" s="1730"/>
      <c r="AF967" s="1711"/>
      <c r="AG967" s="1711"/>
      <c r="AH967" s="1711"/>
      <c r="AI967" s="1711"/>
      <c r="AJ967" s="1711"/>
      <c r="AK967" s="1712"/>
      <c r="AZ967" s="34"/>
      <c r="BA967" s="34"/>
      <c r="BB967" s="34"/>
      <c r="BC967" s="34"/>
    </row>
    <row r="968" spans="1:64" ht="12.95" customHeight="1">
      <c r="C968" s="66" t="s">
        <v>14</v>
      </c>
      <c r="D968" s="5"/>
      <c r="E968" s="5"/>
      <c r="F968" s="5"/>
      <c r="G968" s="5"/>
      <c r="H968" s="5"/>
      <c r="I968" s="5"/>
      <c r="J968" s="5"/>
      <c r="K968" s="5"/>
      <c r="L968" s="46"/>
      <c r="M968" s="1626"/>
      <c r="N968" s="1624"/>
      <c r="O968" s="1624"/>
      <c r="P968" s="1624"/>
      <c r="Q968" s="1624"/>
      <c r="R968" s="1624"/>
      <c r="S968" s="1625"/>
      <c r="U968" s="66" t="s">
        <v>14</v>
      </c>
      <c r="V968" s="5"/>
      <c r="W968" s="5"/>
      <c r="X968" s="5"/>
      <c r="Y968" s="5"/>
      <c r="Z968" s="5"/>
      <c r="AA968" s="5"/>
      <c r="AB968" s="5"/>
      <c r="AC968" s="5"/>
      <c r="AD968" s="46"/>
      <c r="AE968" s="1626"/>
      <c r="AF968" s="1624"/>
      <c r="AG968" s="1624"/>
      <c r="AH968" s="1624"/>
      <c r="AI968" s="1624"/>
      <c r="AJ968" s="1624"/>
      <c r="AK968" s="1625"/>
      <c r="AV968" s="2"/>
      <c r="AW968" s="2"/>
      <c r="AX968" s="2"/>
      <c r="AY968" s="2"/>
      <c r="AZ968" s="34"/>
      <c r="BA968" s="34"/>
      <c r="BB968" s="34"/>
      <c r="BC968" s="34"/>
    </row>
    <row r="969" spans="1:64" ht="12.95" customHeight="1">
      <c r="C969" s="66" t="s">
        <v>15</v>
      </c>
      <c r="D969" s="5"/>
      <c r="E969" s="5"/>
      <c r="F969" s="5"/>
      <c r="G969" s="5"/>
      <c r="H969" s="5"/>
      <c r="I969" s="5"/>
      <c r="J969" s="5"/>
      <c r="K969" s="5"/>
      <c r="L969" s="46"/>
      <c r="M969" s="1621"/>
      <c r="N969" s="1519"/>
      <c r="O969" s="1519"/>
      <c r="P969" s="1519"/>
      <c r="Q969" s="1519"/>
      <c r="R969" s="1519"/>
      <c r="S969" s="1622"/>
      <c r="U969" s="66" t="s">
        <v>15</v>
      </c>
      <c r="V969" s="5"/>
      <c r="W969" s="5"/>
      <c r="X969" s="5"/>
      <c r="Y969" s="5"/>
      <c r="Z969" s="5"/>
      <c r="AA969" s="5"/>
      <c r="AB969" s="5"/>
      <c r="AC969" s="5"/>
      <c r="AD969" s="46"/>
      <c r="AE969" s="1621"/>
      <c r="AF969" s="1519"/>
      <c r="AG969" s="1519"/>
      <c r="AH969" s="1519"/>
      <c r="AI969" s="1519"/>
      <c r="AJ969" s="1519"/>
      <c r="AK969" s="1622"/>
      <c r="AV969" s="2"/>
      <c r="AW969" s="2"/>
      <c r="AX969" s="2"/>
      <c r="AY969" s="2"/>
      <c r="AZ969" s="34"/>
      <c r="BA969" s="34"/>
      <c r="BB969" s="34"/>
      <c r="BC969" s="34"/>
    </row>
    <row r="970" spans="1:64" ht="12.95" customHeight="1">
      <c r="C970" s="66" t="s">
        <v>16</v>
      </c>
      <c r="D970" s="5"/>
      <c r="E970" s="5"/>
      <c r="F970" s="5"/>
      <c r="G970" s="5"/>
      <c r="H970" s="5"/>
      <c r="I970" s="5"/>
      <c r="J970" s="5"/>
      <c r="K970" s="5"/>
      <c r="L970" s="46"/>
      <c r="M970" s="1621"/>
      <c r="N970" s="1519"/>
      <c r="O970" s="1519"/>
      <c r="P970" s="1519"/>
      <c r="Q970" s="1519"/>
      <c r="R970" s="1519"/>
      <c r="S970" s="1622"/>
      <c r="U970" s="66" t="s">
        <v>16</v>
      </c>
      <c r="V970" s="5"/>
      <c r="W970" s="5"/>
      <c r="X970" s="5"/>
      <c r="Y970" s="5"/>
      <c r="Z970" s="5"/>
      <c r="AA970" s="5"/>
      <c r="AB970" s="5"/>
      <c r="AC970" s="5"/>
      <c r="AD970" s="46"/>
      <c r="AE970" s="1621"/>
      <c r="AF970" s="1519"/>
      <c r="AG970" s="1519"/>
      <c r="AH970" s="1519"/>
      <c r="AI970" s="1519"/>
      <c r="AJ970" s="1519"/>
      <c r="AK970" s="1622"/>
      <c r="AV970" s="2"/>
      <c r="AW970" s="2"/>
      <c r="AX970" s="2"/>
      <c r="AY970" s="2"/>
      <c r="AZ970" s="34"/>
      <c r="BB970" s="34"/>
      <c r="BC970" s="34"/>
    </row>
    <row r="971" spans="1:64" ht="12.95" customHeight="1">
      <c r="C971" s="121" t="s">
        <v>1650</v>
      </c>
      <c r="D971" s="5"/>
      <c r="E971" s="5"/>
      <c r="F971" s="5"/>
      <c r="G971" s="5"/>
      <c r="H971" s="5"/>
      <c r="I971" s="5"/>
      <c r="J971" s="5"/>
      <c r="K971" s="5"/>
      <c r="L971" s="46"/>
      <c r="M971" s="1727"/>
      <c r="N971" s="1728"/>
      <c r="O971" s="1728"/>
      <c r="P971" s="1728"/>
      <c r="Q971" s="1728"/>
      <c r="R971" s="1728"/>
      <c r="S971" s="1729"/>
      <c r="U971" s="121" t="s">
        <v>1650</v>
      </c>
      <c r="V971" s="5"/>
      <c r="W971" s="5"/>
      <c r="X971" s="5"/>
      <c r="Y971" s="5"/>
      <c r="Z971" s="5"/>
      <c r="AA971" s="5"/>
      <c r="AB971" s="5"/>
      <c r="AC971" s="5"/>
      <c r="AD971" s="46"/>
      <c r="AE971" s="1727"/>
      <c r="AF971" s="1728"/>
      <c r="AG971" s="1728"/>
      <c r="AH971" s="1728"/>
      <c r="AI971" s="1728"/>
      <c r="AJ971" s="1728"/>
      <c r="AK971" s="1729"/>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571</v>
      </c>
      <c r="G976" s="5"/>
      <c r="H976" s="5"/>
      <c r="I976" s="5"/>
      <c r="J976" s="5"/>
      <c r="K976" s="5"/>
      <c r="L976" s="46"/>
      <c r="M976" s="1696"/>
      <c r="N976" s="1697"/>
      <c r="O976" s="1697"/>
      <c r="P976" s="1697"/>
      <c r="Q976" s="1697"/>
      <c r="R976" s="1697"/>
      <c r="S976" s="1698"/>
      <c r="T976" s="66" t="s">
        <v>790</v>
      </c>
      <c r="U976" s="5"/>
      <c r="V976" s="5"/>
      <c r="W976" s="5"/>
      <c r="X976" s="5"/>
      <c r="Y976" s="5"/>
      <c r="Z976" s="46"/>
      <c r="AA976" s="1696"/>
      <c r="AB976" s="1697"/>
      <c r="AC976" s="1697"/>
      <c r="AD976" s="1697"/>
      <c r="AE976" s="1697"/>
      <c r="AF976" s="1697"/>
      <c r="AG976" s="1698"/>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572</v>
      </c>
      <c r="G977" s="5"/>
      <c r="H977" s="5"/>
      <c r="I977" s="5"/>
      <c r="J977" s="5"/>
      <c r="K977" s="5"/>
      <c r="L977" s="46"/>
      <c r="M977" s="1696"/>
      <c r="N977" s="1697"/>
      <c r="O977" s="1697"/>
      <c r="P977" s="1697"/>
      <c r="Q977" s="1697"/>
      <c r="R977" s="1697"/>
      <c r="S977" s="1698"/>
      <c r="T977" s="66" t="s">
        <v>789</v>
      </c>
      <c r="U977" s="5"/>
      <c r="V977" s="5"/>
      <c r="W977" s="5"/>
      <c r="X977" s="5"/>
      <c r="Y977" s="5"/>
      <c r="Z977" s="46"/>
      <c r="AA977" s="1696"/>
      <c r="AB977" s="1697"/>
      <c r="AC977" s="1697"/>
      <c r="AD977" s="1697"/>
      <c r="AE977" s="1697"/>
      <c r="AF977" s="1697"/>
      <c r="AG977" s="1698"/>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901</v>
      </c>
      <c r="G978" s="5"/>
      <c r="H978" s="5"/>
      <c r="I978" s="5"/>
      <c r="J978" s="5"/>
      <c r="K978" s="5"/>
      <c r="L978" s="46"/>
      <c r="M978" s="1713" t="s">
        <v>591</v>
      </c>
      <c r="N978" s="1714"/>
      <c r="O978" s="1714"/>
      <c r="P978" s="1714"/>
      <c r="Q978" s="1714"/>
      <c r="R978" s="1714"/>
      <c r="S978" s="1715"/>
      <c r="T978" s="45" t="s">
        <v>337</v>
      </c>
      <c r="U978" s="5"/>
      <c r="V978" s="5"/>
      <c r="W978" s="5"/>
      <c r="X978" s="5"/>
      <c r="Y978" s="5"/>
      <c r="Z978" s="46"/>
      <c r="AA978" s="1696"/>
      <c r="AB978" s="1697"/>
      <c r="AC978" s="1697"/>
      <c r="AD978" s="1697"/>
      <c r="AE978" s="1697"/>
      <c r="AF978" s="1697"/>
      <c r="AG978" s="1698"/>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573</v>
      </c>
      <c r="G979" s="5"/>
      <c r="H979" s="5"/>
      <c r="I979" s="5"/>
      <c r="J979" s="5"/>
      <c r="K979" s="5"/>
      <c r="L979" s="46"/>
      <c r="M979" s="1696"/>
      <c r="N979" s="1697"/>
      <c r="O979" s="1697"/>
      <c r="P979" s="1697"/>
      <c r="Q979" s="1697"/>
      <c r="R979" s="1697"/>
      <c r="S979" s="1698"/>
      <c r="T979" s="45" t="s">
        <v>338</v>
      </c>
      <c r="U979" s="5"/>
      <c r="V979" s="5"/>
      <c r="W979" s="5"/>
      <c r="X979" s="5"/>
      <c r="Y979" s="5"/>
      <c r="Z979" s="46"/>
      <c r="AA979" s="1696"/>
      <c r="AB979" s="1697"/>
      <c r="AC979" s="1697"/>
      <c r="AD979" s="1697"/>
      <c r="AE979" s="1697"/>
      <c r="AF979" s="1697"/>
      <c r="AG979" s="1698"/>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464</v>
      </c>
      <c r="G980" s="5"/>
      <c r="H980" s="5"/>
      <c r="I980" s="5"/>
      <c r="J980" s="5"/>
      <c r="K980" s="5"/>
      <c r="L980" s="46"/>
      <c r="M980" s="1696"/>
      <c r="N980" s="1697"/>
      <c r="O980" s="1697"/>
      <c r="P980" s="1697"/>
      <c r="Q980" s="1697"/>
      <c r="R980" s="1697"/>
      <c r="S980" s="1698"/>
      <c r="T980" s="45" t="s">
        <v>376</v>
      </c>
      <c r="U980" s="5"/>
      <c r="V980" s="5"/>
      <c r="W980" s="5"/>
      <c r="X980" s="5"/>
      <c r="Y980" s="5"/>
      <c r="Z980" s="46"/>
      <c r="AA980" s="1696"/>
      <c r="AB980" s="1697"/>
      <c r="AC980" s="1697"/>
      <c r="AD980" s="1697"/>
      <c r="AE980" s="1697"/>
      <c r="AF980" s="1697"/>
      <c r="AG980" s="1698"/>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880</v>
      </c>
      <c r="G981" s="42"/>
      <c r="H981" s="42"/>
      <c r="I981" s="42"/>
      <c r="J981" s="42"/>
      <c r="K981" s="42"/>
      <c r="L981" s="58"/>
      <c r="M981" s="1739" t="s">
        <v>307</v>
      </c>
      <c r="N981" s="1740"/>
      <c r="O981" s="1740"/>
      <c r="P981" s="1740"/>
      <c r="Q981" s="1740"/>
      <c r="R981" s="1740"/>
      <c r="S981" s="1741"/>
      <c r="T981" s="1720"/>
      <c r="U981" s="1721"/>
      <c r="V981" s="1721"/>
      <c r="W981" s="1721"/>
      <c r="X981" s="1721"/>
      <c r="Y981" s="1721"/>
      <c r="Z981" s="1722"/>
      <c r="AA981" s="1696"/>
      <c r="AB981" s="1697"/>
      <c r="AC981" s="1697"/>
      <c r="AD981" s="1697"/>
      <c r="AE981" s="1697"/>
      <c r="AF981" s="1697"/>
      <c r="AG981" s="1698"/>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465</v>
      </c>
      <c r="G982" s="42"/>
      <c r="H982" s="42"/>
      <c r="I982" s="42"/>
      <c r="J982" s="42"/>
      <c r="K982" s="42"/>
      <c r="L982" s="58"/>
      <c r="M982" s="1696"/>
      <c r="N982" s="1697"/>
      <c r="O982" s="1697"/>
      <c r="P982" s="1697"/>
      <c r="Q982" s="1697"/>
      <c r="R982" s="1697"/>
      <c r="S982" s="1698"/>
      <c r="T982" s="1720"/>
      <c r="U982" s="1721"/>
      <c r="V982" s="1721"/>
      <c r="W982" s="1721"/>
      <c r="X982" s="1721"/>
      <c r="Y982" s="1721"/>
      <c r="Z982" s="1722"/>
      <c r="AA982" s="1696"/>
      <c r="AB982" s="1697"/>
      <c r="AC982" s="1697"/>
      <c r="AD982" s="1697"/>
      <c r="AE982" s="1697"/>
      <c r="AF982" s="1697"/>
      <c r="AG982" s="1698"/>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498" t="s">
        <v>669</v>
      </c>
      <c r="P983" s="1468"/>
      <c r="Q983" s="92"/>
      <c r="R983" s="92"/>
      <c r="S983" s="93"/>
      <c r="T983" s="41" t="s">
        <v>170</v>
      </c>
      <c r="U983" s="42"/>
      <c r="V983" s="42"/>
      <c r="W983" s="1811" t="s">
        <v>334</v>
      </c>
      <c r="X983" s="1812"/>
      <c r="Y983" s="1812"/>
      <c r="Z983" s="1812"/>
      <c r="AA983" s="1812"/>
      <c r="AB983" s="1812"/>
      <c r="AC983" s="1812"/>
      <c r="AD983" s="1812"/>
      <c r="AE983" s="1812"/>
      <c r="AF983" s="1812"/>
      <c r="AG983" s="1813"/>
      <c r="AU983" s="68"/>
      <c r="AV983" s="95"/>
      <c r="AW983" s="95"/>
      <c r="AX983" s="95"/>
      <c r="AY983" s="95"/>
      <c r="AZ983" s="34"/>
      <c r="BB983" s="34"/>
      <c r="BC983" s="34"/>
      <c r="BD983" s="34"/>
      <c r="BE983" s="34"/>
      <c r="BF983" s="34"/>
      <c r="BG983" s="34"/>
      <c r="BH983" s="34"/>
      <c r="BI983" s="34"/>
      <c r="BJ983" s="34"/>
      <c r="BK983" s="34"/>
      <c r="BL983" s="34"/>
    </row>
    <row r="984" spans="1:64" ht="12.95" customHeight="1">
      <c r="F984" s="1619" t="s">
        <v>33</v>
      </c>
      <c r="G984" s="1370"/>
      <c r="H984" s="1370"/>
      <c r="I984" s="1370"/>
      <c r="J984" s="1370"/>
      <c r="K984" s="1370"/>
      <c r="L984" s="1370"/>
      <c r="M984" s="1696"/>
      <c r="N984" s="1697"/>
      <c r="O984" s="1697"/>
      <c r="P984" s="1697"/>
      <c r="Q984" s="1697"/>
      <c r="R984" s="1697"/>
      <c r="S984" s="1698"/>
      <c r="T984" s="47"/>
      <c r="U984" s="48"/>
      <c r="V984" s="48"/>
      <c r="W984" s="48"/>
      <c r="X984" s="48"/>
      <c r="Y984" s="48"/>
      <c r="Z984" s="124" t="s">
        <v>134</v>
      </c>
      <c r="AA984" s="1781"/>
      <c r="AB984" s="1782"/>
      <c r="AC984" s="1782"/>
      <c r="AD984" s="1782"/>
      <c r="AE984" s="1782"/>
      <c r="AF984" s="1782"/>
      <c r="AG984" s="1783"/>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32"/>
      <c r="BH985" s="1632"/>
      <c r="BI985" s="1632"/>
      <c r="BJ985" s="1632"/>
      <c r="BK985" s="1632"/>
      <c r="BL985" s="1632"/>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532" t="s">
        <v>548</v>
      </c>
      <c r="B988" s="1532"/>
      <c r="C988" s="1532"/>
      <c r="D988" s="1532"/>
      <c r="E988" s="1532"/>
      <c r="F988" s="1532"/>
      <c r="G988" s="1532"/>
      <c r="H988" s="1532"/>
      <c r="I988" s="1532"/>
      <c r="J988" s="1532"/>
      <c r="K988" s="1532"/>
      <c r="L988" s="1532"/>
      <c r="M988" s="1532"/>
      <c r="N988" s="1532"/>
      <c r="O988" s="1532"/>
      <c r="P988" s="1532"/>
      <c r="Q988" s="1532"/>
      <c r="R988" s="1532"/>
      <c r="S988" s="1532"/>
      <c r="T988" s="1532"/>
      <c r="U988" s="1532"/>
      <c r="V988" s="1532"/>
      <c r="W988" s="1532"/>
      <c r="X988" s="1532"/>
      <c r="Y988" s="1532"/>
      <c r="Z988" s="1532"/>
      <c r="AA988" s="1532"/>
      <c r="AB988" s="1532"/>
      <c r="AC988" s="1532"/>
      <c r="AD988" s="1532"/>
      <c r="AE988" s="1532"/>
      <c r="AF988" s="1532"/>
      <c r="AG988" s="1532"/>
      <c r="AH988" s="1532"/>
      <c r="AI988" s="1532"/>
      <c r="AJ988" s="1532"/>
      <c r="AK988" s="1532"/>
      <c r="AL988" s="1532"/>
      <c r="AM988" s="1532"/>
      <c r="AN988" s="1532"/>
      <c r="AO988" s="1532"/>
      <c r="AP988" s="1532"/>
      <c r="AQ988" s="1532"/>
      <c r="AR988" s="1532"/>
      <c r="AS988" s="1532"/>
      <c r="AT988" s="1532"/>
      <c r="AU988" s="68"/>
      <c r="AV988" s="68"/>
      <c r="AW988" s="68"/>
      <c r="AX988" s="68"/>
      <c r="AY988" s="68"/>
      <c r="AZ988" s="14"/>
      <c r="BA988" s="14"/>
      <c r="BB988" s="908"/>
      <c r="BC988" s="908"/>
    </row>
    <row r="989" spans="1:64" ht="12.95" customHeight="1">
      <c r="A989" s="1532"/>
      <c r="B989" s="1532"/>
      <c r="C989" s="1532"/>
      <c r="D989" s="1532"/>
      <c r="E989" s="1532"/>
      <c r="F989" s="1532"/>
      <c r="G989" s="1532"/>
      <c r="H989" s="1532"/>
      <c r="I989" s="1532"/>
      <c r="J989" s="1532"/>
      <c r="K989" s="1532"/>
      <c r="L989" s="1532"/>
      <c r="M989" s="1532"/>
      <c r="N989" s="1532"/>
      <c r="O989" s="1532"/>
      <c r="P989" s="1532"/>
      <c r="Q989" s="1532"/>
      <c r="R989" s="1532"/>
      <c r="S989" s="1532"/>
      <c r="T989" s="1532"/>
      <c r="U989" s="1532"/>
      <c r="V989" s="1532"/>
      <c r="W989" s="1532"/>
      <c r="X989" s="1532"/>
      <c r="Y989" s="1532"/>
      <c r="Z989" s="1532"/>
      <c r="AA989" s="1532"/>
      <c r="AB989" s="1532"/>
      <c r="AC989" s="1532"/>
      <c r="AD989" s="1532"/>
      <c r="AE989" s="1532"/>
      <c r="AF989" s="1532"/>
      <c r="AG989" s="1532"/>
      <c r="AH989" s="1532"/>
      <c r="AI989" s="1532"/>
      <c r="AJ989" s="1532"/>
      <c r="AK989" s="1532"/>
      <c r="AL989" s="1532"/>
      <c r="AM989" s="1532"/>
      <c r="AN989" s="1532"/>
      <c r="AO989" s="1532"/>
      <c r="AP989" s="1532"/>
      <c r="AQ989" s="1532"/>
      <c r="AR989" s="1532"/>
      <c r="AS989" s="1532"/>
      <c r="AT989" s="1532"/>
      <c r="AU989" s="68"/>
      <c r="AV989" s="68"/>
      <c r="AW989" s="68"/>
      <c r="AX989" s="68"/>
      <c r="AY989" s="68"/>
      <c r="AZ989" s="30"/>
      <c r="BA989" s="14"/>
      <c r="BB989" s="14"/>
      <c r="BC989" s="14"/>
    </row>
    <row r="990" spans="1:64" ht="12.95" customHeight="1">
      <c r="A990" s="1532"/>
      <c r="B990" s="1532"/>
      <c r="C990" s="1532"/>
      <c r="D990" s="1532"/>
      <c r="E990" s="1532"/>
      <c r="F990" s="1532"/>
      <c r="G990" s="1532"/>
      <c r="H990" s="1532"/>
      <c r="I990" s="1532"/>
      <c r="J990" s="1532"/>
      <c r="K990" s="1532"/>
      <c r="L990" s="1532"/>
      <c r="M990" s="1532"/>
      <c r="N990" s="1532"/>
      <c r="O990" s="1532"/>
      <c r="P990" s="1532"/>
      <c r="Q990" s="1532"/>
      <c r="R990" s="1532"/>
      <c r="S990" s="1532"/>
      <c r="T990" s="1532"/>
      <c r="U990" s="1532"/>
      <c r="V990" s="1532"/>
      <c r="W990" s="1532"/>
      <c r="X990" s="1532"/>
      <c r="Y990" s="1532"/>
      <c r="Z990" s="1532"/>
      <c r="AA990" s="1532"/>
      <c r="AB990" s="1532"/>
      <c r="AC990" s="1532"/>
      <c r="AD990" s="1532"/>
      <c r="AE990" s="1532"/>
      <c r="AF990" s="1532"/>
      <c r="AG990" s="1532"/>
      <c r="AH990" s="1532"/>
      <c r="AI990" s="1532"/>
      <c r="AJ990" s="1532"/>
      <c r="AK990" s="1532"/>
      <c r="AL990" s="1532"/>
      <c r="AM990" s="1532"/>
      <c r="AN990" s="1532"/>
      <c r="AO990" s="1532"/>
      <c r="AP990" s="1532"/>
      <c r="AQ990" s="1532"/>
      <c r="AR990" s="1532"/>
      <c r="AS990" s="1532"/>
      <c r="AT990" s="1532"/>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807" t="s">
        <v>638</v>
      </c>
      <c r="E994" s="1808"/>
      <c r="F994" s="1808"/>
      <c r="G994" s="1808"/>
      <c r="H994" s="1808"/>
      <c r="I994" s="1808"/>
      <c r="J994" s="1808"/>
      <c r="K994" s="1808"/>
      <c r="L994" s="1808"/>
      <c r="M994" s="1808"/>
      <c r="N994" s="1808"/>
      <c r="O994" s="1808"/>
      <c r="P994" s="1808"/>
      <c r="Q994" s="1809"/>
      <c r="R994" s="1807" t="s">
        <v>639</v>
      </c>
      <c r="S994" s="1808"/>
      <c r="T994" s="1808"/>
      <c r="U994" s="1808"/>
      <c r="V994" s="1808"/>
      <c r="W994" s="1808"/>
      <c r="X994" s="1808"/>
      <c r="Y994" s="1808"/>
      <c r="Z994" s="1808"/>
      <c r="AA994" s="1809"/>
      <c r="AB994" s="1807" t="s">
        <v>640</v>
      </c>
      <c r="AC994" s="1808"/>
      <c r="AD994" s="1808"/>
      <c r="AE994" s="1808"/>
      <c r="AF994" s="1808"/>
      <c r="AG994" s="1808"/>
      <c r="AH994" s="1808"/>
      <c r="AI994" s="1809"/>
      <c r="AJ994" s="1807" t="s">
        <v>641</v>
      </c>
      <c r="AK994" s="1808"/>
      <c r="AL994" s="1808"/>
      <c r="AM994" s="1808"/>
      <c r="AN994" s="1808"/>
      <c r="AO994" s="1808"/>
      <c r="AP994" s="1808"/>
      <c r="AQ994" s="1809"/>
      <c r="AR994" s="68"/>
      <c r="AS994" s="68"/>
      <c r="AT994" s="68"/>
      <c r="AU994" s="68"/>
      <c r="AV994" s="68"/>
      <c r="AW994" s="68"/>
      <c r="AX994" s="68"/>
      <c r="AY994" s="68"/>
      <c r="AZ994" s="30"/>
      <c r="BB994" s="14"/>
      <c r="BC994" s="14"/>
    </row>
    <row r="995" spans="1:55" ht="12.95" customHeight="1">
      <c r="A995" s="14"/>
      <c r="B995" s="73"/>
      <c r="C995" s="925"/>
      <c r="D995" s="1675" t="s">
        <v>633</v>
      </c>
      <c r="E995" s="1676"/>
      <c r="F995" s="1676"/>
      <c r="G995" s="1676"/>
      <c r="H995" s="1676"/>
      <c r="I995" s="1676"/>
      <c r="J995" s="1676"/>
      <c r="K995" s="1676"/>
      <c r="L995" s="1676"/>
      <c r="M995" s="1676"/>
      <c r="N995" s="1676"/>
      <c r="O995" s="1676"/>
      <c r="P995" s="1676"/>
      <c r="Q995" s="1677"/>
      <c r="R995" s="1738">
        <f>IF(ISNA(IF($CU$122="4%",(INDEX($CS$160:$CW$217,MATCH($DG$122,$CR$160:$CR$217,0),MATCH(D995,$CS$159:$CW$159,0))),(INDEX($CZ$160:$DD$217,MATCH($DG$122,$CY$160:$CY$217,0),MATCH(D995,$CZ$159:$DD$159,0))))),0,IF($CU$122="4%",(INDEX($CS$160:$CW$217,MATCH($DG$122,$CR$160:$CR$217,0),MATCH(D995,$CS$159:$CW$159,0))),(INDEX($CZ$160:$DD$217,MATCH($DG$122,$CY$160:$CY$217,0),MATCH(D995,$CZ$159:$DD$159,0)))))</f>
        <v>402065</v>
      </c>
      <c r="S995" s="1738"/>
      <c r="T995" s="1738"/>
      <c r="U995" s="1738"/>
      <c r="V995" s="1738"/>
      <c r="W995" s="1738"/>
      <c r="X995" s="1738"/>
      <c r="Y995" s="1738"/>
      <c r="Z995" s="1738"/>
      <c r="AA995" s="1738"/>
      <c r="AB995" s="1735">
        <f>CP810</f>
        <v>16</v>
      </c>
      <c r="AC995" s="1736"/>
      <c r="AD995" s="1736"/>
      <c r="AE995" s="1736"/>
      <c r="AF995" s="1736"/>
      <c r="AG995" s="1736"/>
      <c r="AH995" s="1736"/>
      <c r="AI995" s="1737"/>
      <c r="AJ995" s="1707">
        <f>IF(ISERROR((R995*AB995)),0,(R995*AB995))</f>
        <v>6433040</v>
      </c>
      <c r="AK995" s="1708"/>
      <c r="AL995" s="1708"/>
      <c r="AM995" s="1708"/>
      <c r="AN995" s="1708"/>
      <c r="AO995" s="1708"/>
      <c r="AP995" s="1708"/>
      <c r="AQ995" s="1709"/>
      <c r="AR995" s="68"/>
      <c r="AS995" s="68"/>
      <c r="AT995" s="68"/>
      <c r="AU995" s="68"/>
      <c r="AV995" s="68"/>
      <c r="AW995" s="68"/>
      <c r="AX995" s="68"/>
      <c r="AY995" s="68"/>
      <c r="AZ995" s="30"/>
      <c r="BB995" s="14"/>
      <c r="BC995" s="14"/>
    </row>
    <row r="996" spans="1:55" ht="12.95" customHeight="1">
      <c r="A996" s="14"/>
      <c r="B996" s="73"/>
      <c r="C996" s="83"/>
      <c r="D996" s="1675" t="s">
        <v>325</v>
      </c>
      <c r="E996" s="1676"/>
      <c r="F996" s="1676"/>
      <c r="G996" s="1676"/>
      <c r="H996" s="1676"/>
      <c r="I996" s="1676"/>
      <c r="J996" s="1676"/>
      <c r="K996" s="1676"/>
      <c r="L996" s="1676"/>
      <c r="M996" s="1676"/>
      <c r="N996" s="1676"/>
      <c r="O996" s="1676"/>
      <c r="P996" s="1676"/>
      <c r="Q996" s="1677"/>
      <c r="R996" s="1738">
        <f>IF(ISNA(IF($CU$122="4%",(INDEX($CS$160:$CW$217,MATCH($DG$122,$CR$160:$CR$217,0),MATCH(D996,$CS$159:$CW$159,0))),(INDEX($CZ$160:$DD$217,MATCH($DG$122,$CY$160:$CY$217,0),MATCH(D996,$CZ$159:$DD$159,0))))),0,IF($CU$122="4%",(INDEX($CS$160:$CW$217,MATCH($DG$122,$CR$160:$CR$217,0),MATCH(D996,$CS$159:$CW$159,0))),(INDEX($CZ$160:$DD$217,MATCH($DG$122,$CY$160:$CY$217,0),MATCH(D996,$CZ$159:$DD$159,0)))))</f>
        <v>463577</v>
      </c>
      <c r="S996" s="1738"/>
      <c r="T996" s="1738"/>
      <c r="U996" s="1738"/>
      <c r="V996" s="1738"/>
      <c r="W996" s="1738"/>
      <c r="X996" s="1738"/>
      <c r="Y996" s="1738"/>
      <c r="Z996" s="1738"/>
      <c r="AA996" s="1738"/>
      <c r="AB996" s="1735">
        <f>CU810</f>
        <v>168</v>
      </c>
      <c r="AC996" s="1736"/>
      <c r="AD996" s="1736"/>
      <c r="AE996" s="1736"/>
      <c r="AF996" s="1736"/>
      <c r="AG996" s="1736"/>
      <c r="AH996" s="1736"/>
      <c r="AI996" s="1737"/>
      <c r="AJ996" s="1707">
        <f>IF(ISERROR((R996*AB996)),0,(R996*AB996))</f>
        <v>77880936</v>
      </c>
      <c r="AK996" s="1708"/>
      <c r="AL996" s="1708"/>
      <c r="AM996" s="1708"/>
      <c r="AN996" s="1708"/>
      <c r="AO996" s="1708"/>
      <c r="AP996" s="1708"/>
      <c r="AQ996" s="1709"/>
      <c r="AR996" s="68"/>
      <c r="AS996" s="68"/>
      <c r="AT996" s="68"/>
      <c r="AU996" s="68"/>
      <c r="AV996" s="68"/>
      <c r="AW996" s="68"/>
      <c r="AX996" s="68"/>
      <c r="AY996" s="68"/>
      <c r="AZ996" s="30"/>
      <c r="BB996" s="14"/>
      <c r="BC996" s="14"/>
    </row>
    <row r="997" spans="1:55" ht="12.95" customHeight="1">
      <c r="A997" s="14"/>
      <c r="B997" s="73"/>
      <c r="C997" s="83"/>
      <c r="D997" s="1675" t="s">
        <v>163</v>
      </c>
      <c r="E997" s="1676"/>
      <c r="F997" s="1676"/>
      <c r="G997" s="1676"/>
      <c r="H997" s="1676"/>
      <c r="I997" s="1676"/>
      <c r="J997" s="1676"/>
      <c r="K997" s="1676"/>
      <c r="L997" s="1676"/>
      <c r="M997" s="1676"/>
      <c r="N997" s="1676"/>
      <c r="O997" s="1676"/>
      <c r="P997" s="1676"/>
      <c r="Q997" s="1677"/>
      <c r="R997" s="1738">
        <f>IF(ISNA(IF($CU$122="4%",(INDEX($CS$160:$CW$217,MATCH($DG$122,$CR$160:$CR$217,0),MATCH(D997,$CS$159:$CW$159,0))),(INDEX($CZ$160:$DD$217,MATCH($DG$122,$CY$160:$CY$217,0),MATCH(D997,$CZ$159:$DD$159,0))))),0,IF($CU$122="4%",(INDEX($CS$160:$CW$217,MATCH($DG$122,$CR$160:$CR$217,0),MATCH(D997,$CS$159:$CW$159,0))),(INDEX($CZ$160:$DD$217,MATCH($DG$122,$CY$160:$CY$217,0),MATCH(D997,$CZ$159:$DD$159,0)))))</f>
        <v>559200</v>
      </c>
      <c r="S997" s="1738"/>
      <c r="T997" s="1738"/>
      <c r="U997" s="1738"/>
      <c r="V997" s="1738"/>
      <c r="W997" s="1738"/>
      <c r="X997" s="1738"/>
      <c r="Y997" s="1738"/>
      <c r="Z997" s="1738"/>
      <c r="AA997" s="1738"/>
      <c r="AB997" s="1735">
        <f>CZ810</f>
        <v>6</v>
      </c>
      <c r="AC997" s="1736"/>
      <c r="AD997" s="1736"/>
      <c r="AE997" s="1736"/>
      <c r="AF997" s="1736"/>
      <c r="AG997" s="1736"/>
      <c r="AH997" s="1736"/>
      <c r="AI997" s="1737"/>
      <c r="AJ997" s="1707">
        <f>IF(ISERROR((R997*AB997)),0,(R997*AB997))</f>
        <v>3355200</v>
      </c>
      <c r="AK997" s="1708"/>
      <c r="AL997" s="1708"/>
      <c r="AM997" s="1708"/>
      <c r="AN997" s="1708"/>
      <c r="AO997" s="1708"/>
      <c r="AP997" s="1708"/>
      <c r="AQ997" s="1709"/>
      <c r="AR997" s="68"/>
      <c r="AS997" s="68"/>
      <c r="AT997" s="68"/>
      <c r="AU997" s="68"/>
      <c r="AV997" s="68"/>
      <c r="AW997" s="68"/>
      <c r="AX997" s="68"/>
      <c r="AY997" s="68"/>
      <c r="AZ997" s="30"/>
      <c r="BB997" s="14"/>
      <c r="BC997" s="14"/>
    </row>
    <row r="998" spans="1:55" ht="12.95" customHeight="1">
      <c r="A998" s="14"/>
      <c r="B998" s="73"/>
      <c r="C998" s="83"/>
      <c r="D998" s="1675" t="s">
        <v>164</v>
      </c>
      <c r="E998" s="1676"/>
      <c r="F998" s="1676"/>
      <c r="G998" s="1676"/>
      <c r="H998" s="1676"/>
      <c r="I998" s="1676"/>
      <c r="J998" s="1676"/>
      <c r="K998" s="1676"/>
      <c r="L998" s="1676"/>
      <c r="M998" s="1676"/>
      <c r="N998" s="1676"/>
      <c r="O998" s="1676"/>
      <c r="P998" s="1676"/>
      <c r="Q998" s="1677"/>
      <c r="R998" s="1738">
        <f>IF(ISNA(IF($CU$122="4%",(INDEX($CS$160:$CW$217,MATCH($DG$122,$CR$160:$CR$217,0),MATCH(D998,$CS$159:$CW$159,0))),(INDEX($CZ$160:$DD$217,MATCH($DG$122,$CY$160:$CY$217,0),MATCH(D998,$CZ$159:$DD$159,0))))),0,IF($CU$122="4%",(INDEX($CS$160:$CW$217,MATCH($DG$122,$CR$160:$CR$217,0),MATCH(D998,$CS$159:$CW$159,0))),(INDEX($CZ$160:$DD$217,MATCH($DG$122,$CY$160:$CY$217,0),MATCH(D998,$CZ$159:$DD$159,0)))))</f>
        <v>715776</v>
      </c>
      <c r="S998" s="1738"/>
      <c r="T998" s="1738"/>
      <c r="U998" s="1738"/>
      <c r="V998" s="1738"/>
      <c r="W998" s="1738"/>
      <c r="X998" s="1738"/>
      <c r="Y998" s="1738"/>
      <c r="Z998" s="1738"/>
      <c r="AA998" s="1738"/>
      <c r="AB998" s="1735">
        <f>DE810</f>
        <v>0</v>
      </c>
      <c r="AC998" s="1736"/>
      <c r="AD998" s="1736"/>
      <c r="AE998" s="1736"/>
      <c r="AF998" s="1736"/>
      <c r="AG998" s="1736"/>
      <c r="AH998" s="1736"/>
      <c r="AI998" s="1737"/>
      <c r="AJ998" s="1707">
        <f>IF(ISERROR((R998*AB998)),0,(R998*AB998))</f>
        <v>0</v>
      </c>
      <c r="AK998" s="1708"/>
      <c r="AL998" s="1708"/>
      <c r="AM998" s="1708"/>
      <c r="AN998" s="1708"/>
      <c r="AO998" s="1708"/>
      <c r="AP998" s="1708"/>
      <c r="AQ998" s="1709"/>
      <c r="AR998" s="68"/>
      <c r="AS998" s="68"/>
      <c r="AT998" s="68"/>
      <c r="AU998" s="68"/>
      <c r="AV998" s="68"/>
      <c r="AW998" s="68"/>
      <c r="AX998" s="68"/>
      <c r="AY998" s="68"/>
      <c r="AZ998" s="30"/>
      <c r="BA998" s="34"/>
      <c r="BB998" s="14"/>
      <c r="BC998" s="14"/>
    </row>
    <row r="999" spans="1:55" ht="12.95" customHeight="1">
      <c r="A999" s="14"/>
      <c r="B999" s="47"/>
      <c r="C999" s="78"/>
      <c r="D999" s="1675" t="s">
        <v>460</v>
      </c>
      <c r="E999" s="1676"/>
      <c r="F999" s="1676"/>
      <c r="G999" s="1676"/>
      <c r="H999" s="1676"/>
      <c r="I999" s="1676"/>
      <c r="J999" s="1676"/>
      <c r="K999" s="1676"/>
      <c r="L999" s="1676"/>
      <c r="M999" s="1676"/>
      <c r="N999" s="1676"/>
      <c r="O999" s="1676"/>
      <c r="P999" s="1676"/>
      <c r="Q999" s="1677"/>
      <c r="R999" s="1738">
        <f>IF(ISNA(IF($CU$122="4%",(INDEX($CS$160:$CW$217,MATCH($DG$122,$CR$160:$CR$217,0),MATCH(D999,$CS$159:$CW$159,0))),(INDEX($CZ$160:$DD$217,MATCH($DG$122,$CY$160:$CY$217,0),MATCH(D999,$CZ$159:$DD$159,0))))),0,IF($CU$122="4%",(INDEX($CS$160:$CW$217,MATCH($DG$122,$CR$160:$CR$217,0),MATCH(D999,$CS$159:$CW$159,0))),(INDEX($CZ$160:$DD$217,MATCH($DG$122,$CY$160:$CY$217,0),MATCH(D999,$CZ$159:$DD$159,0)))))</f>
        <v>797419</v>
      </c>
      <c r="S999" s="1738"/>
      <c r="T999" s="1738"/>
      <c r="U999" s="1738"/>
      <c r="V999" s="1738"/>
      <c r="W999" s="1738"/>
      <c r="X999" s="1738"/>
      <c r="Y999" s="1738"/>
      <c r="Z999" s="1738"/>
      <c r="AA999" s="1738"/>
      <c r="AB999" s="1735">
        <f>DO810+DJ810</f>
        <v>0</v>
      </c>
      <c r="AC999" s="1736"/>
      <c r="AD999" s="1736"/>
      <c r="AE999" s="1736"/>
      <c r="AF999" s="1736"/>
      <c r="AG999" s="1736"/>
      <c r="AH999" s="1736"/>
      <c r="AI999" s="1737"/>
      <c r="AJ999" s="1707">
        <f>IF(ISERROR((R999*AB999)),0,(R999*AB999))</f>
        <v>0</v>
      </c>
      <c r="AK999" s="1708"/>
      <c r="AL999" s="1708"/>
      <c r="AM999" s="1708"/>
      <c r="AN999" s="1708"/>
      <c r="AO999" s="1708"/>
      <c r="AP999" s="1708"/>
      <c r="AQ999" s="1709"/>
      <c r="AR999" s="68"/>
      <c r="AS999" s="68"/>
      <c r="AT999" s="68"/>
      <c r="AU999" s="68"/>
      <c r="AV999" s="68"/>
      <c r="AW999" s="68"/>
      <c r="AX999" s="68"/>
      <c r="AY999" s="68"/>
      <c r="AZ999" s="30"/>
      <c r="BB999" s="14"/>
      <c r="BC999" s="14"/>
    </row>
    <row r="1000" spans="1:55" ht="12.95" customHeight="1">
      <c r="A1000" s="14"/>
      <c r="B1000" s="1766" t="s">
        <v>791</v>
      </c>
      <c r="C1000" s="1767"/>
      <c r="D1000" s="1767"/>
      <c r="E1000" s="1767"/>
      <c r="F1000" s="1767"/>
      <c r="G1000" s="1767"/>
      <c r="H1000" s="1767"/>
      <c r="I1000" s="1767"/>
      <c r="J1000" s="1767"/>
      <c r="K1000" s="1767"/>
      <c r="L1000" s="1767"/>
      <c r="M1000" s="1767"/>
      <c r="N1000" s="1767"/>
      <c r="O1000" s="1767"/>
      <c r="P1000" s="1767"/>
      <c r="Q1000" s="1767"/>
      <c r="R1000" s="1767"/>
      <c r="S1000" s="1767"/>
      <c r="T1000" s="1767"/>
      <c r="U1000" s="1767"/>
      <c r="V1000" s="1767"/>
      <c r="W1000" s="1767"/>
      <c r="X1000" s="1767"/>
      <c r="Y1000" s="1767"/>
      <c r="Z1000" s="1767"/>
      <c r="AA1000" s="1768"/>
      <c r="AB1000" s="1735">
        <f>SUM(AB995:AI999)</f>
        <v>190</v>
      </c>
      <c r="AC1000" s="1736"/>
      <c r="AD1000" s="1736"/>
      <c r="AE1000" s="1736"/>
      <c r="AF1000" s="1736"/>
      <c r="AG1000" s="1736"/>
      <c r="AH1000" s="1736"/>
      <c r="AI1000" s="1737"/>
      <c r="AJ1000" s="1707"/>
      <c r="AK1000" s="1708"/>
      <c r="AL1000" s="1708"/>
      <c r="AM1000" s="1708"/>
      <c r="AN1000" s="1708"/>
      <c r="AO1000" s="1708"/>
      <c r="AP1000" s="1708"/>
      <c r="AQ1000" s="1709"/>
      <c r="AR1000" s="68"/>
      <c r="AS1000" s="68"/>
      <c r="AT1000" s="68"/>
      <c r="AU1000" s="68"/>
      <c r="AV1000" s="68"/>
      <c r="AW1000" s="68"/>
      <c r="AX1000" s="68"/>
      <c r="AY1000" s="68"/>
      <c r="AZ1000" s="34"/>
      <c r="BA1000" s="34"/>
      <c r="BB1000" s="14"/>
      <c r="BC1000" s="14"/>
    </row>
    <row r="1001" spans="1:55" ht="12.95" customHeight="1">
      <c r="A1001" s="14"/>
      <c r="B1001" s="1760" t="s">
        <v>512</v>
      </c>
      <c r="C1001" s="1761"/>
      <c r="D1001" s="1761"/>
      <c r="E1001" s="1761"/>
      <c r="F1001" s="1761"/>
      <c r="G1001" s="1761"/>
      <c r="H1001" s="1761"/>
      <c r="I1001" s="1761"/>
      <c r="J1001" s="1761"/>
      <c r="K1001" s="1761"/>
      <c r="L1001" s="1761"/>
      <c r="M1001" s="1761"/>
      <c r="N1001" s="1761"/>
      <c r="O1001" s="1761"/>
      <c r="P1001" s="1761"/>
      <c r="Q1001" s="1761"/>
      <c r="R1001" s="1761"/>
      <c r="S1001" s="1761"/>
      <c r="T1001" s="1761"/>
      <c r="U1001" s="1761"/>
      <c r="V1001" s="1761"/>
      <c r="W1001" s="1761"/>
      <c r="X1001" s="1761"/>
      <c r="Y1001" s="1761"/>
      <c r="Z1001" s="1761"/>
      <c r="AA1001" s="1761"/>
      <c r="AB1001" s="1761"/>
      <c r="AC1001" s="1761"/>
      <c r="AD1001" s="1761"/>
      <c r="AE1001" s="1761"/>
      <c r="AF1001" s="1761"/>
      <c r="AG1001" s="1761"/>
      <c r="AH1001" s="1761"/>
      <c r="AI1001" s="1762"/>
      <c r="AJ1001" s="1707">
        <f>SUM(AJ995:AQ999)</f>
        <v>87669176</v>
      </c>
      <c r="AK1001" s="1708"/>
      <c r="AL1001" s="1708"/>
      <c r="AM1001" s="1708"/>
      <c r="AN1001" s="1708"/>
      <c r="AO1001" s="1708"/>
      <c r="AP1001" s="1708"/>
      <c r="AQ1001" s="1709"/>
      <c r="AR1001" s="68"/>
      <c r="AS1001" s="68"/>
      <c r="AT1001" s="68"/>
      <c r="AU1001" s="68"/>
      <c r="AV1001" s="68"/>
      <c r="AW1001" s="68"/>
      <c r="AX1001" s="68"/>
      <c r="AY1001" s="68"/>
      <c r="AZ1001" s="34"/>
      <c r="BB1001" s="34"/>
      <c r="BC1001" s="34"/>
    </row>
    <row r="1002" spans="1:55" ht="12.95" customHeight="1">
      <c r="A1002" s="14"/>
      <c r="B1002" s="1757"/>
      <c r="C1002" s="1758"/>
      <c r="D1002" s="1758"/>
      <c r="E1002" s="1758"/>
      <c r="F1002" s="1758"/>
      <c r="G1002" s="1758"/>
      <c r="H1002" s="1758"/>
      <c r="I1002" s="1758"/>
      <c r="J1002" s="1758"/>
      <c r="K1002" s="1758"/>
      <c r="L1002" s="1758"/>
      <c r="M1002" s="1758"/>
      <c r="N1002" s="1758"/>
      <c r="O1002" s="1758"/>
      <c r="P1002" s="1758"/>
      <c r="Q1002" s="1758"/>
      <c r="R1002" s="1758"/>
      <c r="S1002" s="1758"/>
      <c r="T1002" s="1758"/>
      <c r="U1002" s="1758"/>
      <c r="V1002" s="1758"/>
      <c r="W1002" s="1758"/>
      <c r="X1002" s="1758"/>
      <c r="Y1002" s="1758"/>
      <c r="Z1002" s="1758"/>
      <c r="AA1002" s="1758"/>
      <c r="AB1002" s="1758"/>
      <c r="AC1002" s="1758"/>
      <c r="AD1002" s="1758"/>
      <c r="AE1002" s="1759"/>
      <c r="AF1002" s="1784" t="s">
        <v>666</v>
      </c>
      <c r="AG1002" s="1785"/>
      <c r="AH1002" s="1785"/>
      <c r="AI1002" s="1786"/>
      <c r="AJ1002" s="1757"/>
      <c r="AK1002" s="1758"/>
      <c r="AL1002" s="1758"/>
      <c r="AM1002" s="1758"/>
      <c r="AN1002" s="1758"/>
      <c r="AO1002" s="1758"/>
      <c r="AP1002" s="1758"/>
      <c r="AQ1002" s="1759"/>
      <c r="AR1002" s="68"/>
      <c r="AS1002" s="68"/>
      <c r="AT1002" s="68"/>
      <c r="AU1002" s="68"/>
      <c r="AV1002" s="68"/>
      <c r="AW1002" s="68"/>
      <c r="AX1002" s="68"/>
      <c r="AY1002" s="68"/>
      <c r="AZ1002" s="34"/>
      <c r="BA1002" s="34"/>
      <c r="BB1002" s="34"/>
      <c r="BC1002" s="34"/>
    </row>
    <row r="1003" spans="1:55" ht="12.95" customHeight="1">
      <c r="A1003" s="14"/>
      <c r="B1003" s="73"/>
      <c r="C1003" s="923" t="s">
        <v>668</v>
      </c>
      <c r="D1003" s="1763" t="s">
        <v>1220</v>
      </c>
      <c r="E1003" s="1764"/>
      <c r="F1003" s="1764"/>
      <c r="G1003" s="1764"/>
      <c r="H1003" s="1764"/>
      <c r="I1003" s="1764"/>
      <c r="J1003" s="1764"/>
      <c r="K1003" s="1764"/>
      <c r="L1003" s="1764"/>
      <c r="M1003" s="1764"/>
      <c r="N1003" s="1764"/>
      <c r="O1003" s="1764"/>
      <c r="P1003" s="1764"/>
      <c r="Q1003" s="1764"/>
      <c r="R1003" s="1764"/>
      <c r="S1003" s="1764"/>
      <c r="T1003" s="1764"/>
      <c r="U1003" s="1764"/>
      <c r="V1003" s="1764"/>
      <c r="W1003" s="1764"/>
      <c r="X1003" s="1764"/>
      <c r="Y1003" s="1764"/>
      <c r="Z1003" s="1764"/>
      <c r="AA1003" s="1764"/>
      <c r="AB1003" s="1764"/>
      <c r="AC1003" s="1764"/>
      <c r="AD1003" s="1764"/>
      <c r="AE1003" s="1765"/>
      <c r="AF1003" s="79"/>
      <c r="AG1003" s="1787" t="s">
        <v>669</v>
      </c>
      <c r="AH1003" s="1788"/>
      <c r="AI1003" s="87"/>
      <c r="AJ1003" s="1742">
        <f>ROUND(IF(AND(AG1003="yes",D1009&gt;0),AJ1001*0.2,0),0)</f>
        <v>0</v>
      </c>
      <c r="AK1003" s="1743"/>
      <c r="AL1003" s="1743"/>
      <c r="AM1003" s="1743"/>
      <c r="AN1003" s="1743"/>
      <c r="AO1003" s="1743"/>
      <c r="AP1003" s="1743"/>
      <c r="AQ1003" s="1744"/>
      <c r="AR1003" s="68"/>
      <c r="AS1003" s="68"/>
      <c r="AT1003" s="68"/>
      <c r="AU1003" s="68"/>
      <c r="AV1003" s="68"/>
      <c r="AW1003" s="68"/>
      <c r="AX1003" s="68"/>
      <c r="AY1003" s="68"/>
      <c r="AZ1003" s="34"/>
      <c r="BA1003" s="34"/>
      <c r="BB1003" s="34"/>
      <c r="BC1003" s="34"/>
    </row>
    <row r="1004" spans="1:55" ht="12.95" customHeight="1">
      <c r="A1004" s="14"/>
      <c r="B1004" s="257"/>
      <c r="C1004" s="256"/>
      <c r="D1004" s="1798" t="s">
        <v>2190</v>
      </c>
      <c r="E1004" s="1799"/>
      <c r="F1004" s="1799"/>
      <c r="G1004" s="1799"/>
      <c r="H1004" s="1799"/>
      <c r="I1004" s="1799"/>
      <c r="J1004" s="1799"/>
      <c r="K1004" s="1799"/>
      <c r="L1004" s="1799"/>
      <c r="M1004" s="1799"/>
      <c r="N1004" s="1799"/>
      <c r="O1004" s="1799"/>
      <c r="P1004" s="1799"/>
      <c r="Q1004" s="1799"/>
      <c r="R1004" s="1799"/>
      <c r="S1004" s="1799"/>
      <c r="T1004" s="1799"/>
      <c r="U1004" s="1799"/>
      <c r="V1004" s="1799"/>
      <c r="W1004" s="1799"/>
      <c r="X1004" s="1799"/>
      <c r="Y1004" s="1799"/>
      <c r="Z1004" s="1799"/>
      <c r="AA1004" s="1799"/>
      <c r="AB1004" s="1799"/>
      <c r="AC1004" s="1799"/>
      <c r="AD1004" s="1799"/>
      <c r="AE1004" s="1800"/>
      <c r="AF1004" s="73"/>
      <c r="AG1004" s="14"/>
      <c r="AH1004" s="14"/>
      <c r="AI1004" s="83"/>
      <c r="AJ1004" s="1745"/>
      <c r="AK1004" s="1746"/>
      <c r="AL1004" s="1746"/>
      <c r="AM1004" s="1746"/>
      <c r="AN1004" s="1746"/>
      <c r="AO1004" s="1746"/>
      <c r="AP1004" s="1746"/>
      <c r="AQ1004" s="1747"/>
      <c r="AR1004" s="68"/>
      <c r="AS1004" s="68"/>
      <c r="AT1004" s="68"/>
      <c r="AU1004" s="68"/>
      <c r="AV1004" s="68"/>
      <c r="AW1004" s="68"/>
      <c r="AX1004" s="68"/>
      <c r="AY1004" s="68"/>
      <c r="AZ1004" s="34"/>
      <c r="BA1004" s="34"/>
      <c r="BB1004" s="34"/>
      <c r="BC1004" s="34"/>
    </row>
    <row r="1005" spans="1:55" ht="12.95" customHeight="1">
      <c r="A1005" s="14"/>
      <c r="B1005" s="257"/>
      <c r="C1005" s="256"/>
      <c r="D1005" s="1798"/>
      <c r="E1005" s="1799"/>
      <c r="F1005" s="1799"/>
      <c r="G1005" s="1799"/>
      <c r="H1005" s="1799"/>
      <c r="I1005" s="1799"/>
      <c r="J1005" s="1799"/>
      <c r="K1005" s="1799"/>
      <c r="L1005" s="1799"/>
      <c r="M1005" s="1799"/>
      <c r="N1005" s="1799"/>
      <c r="O1005" s="1799"/>
      <c r="P1005" s="1799"/>
      <c r="Q1005" s="1799"/>
      <c r="R1005" s="1799"/>
      <c r="S1005" s="1799"/>
      <c r="T1005" s="1799"/>
      <c r="U1005" s="1799"/>
      <c r="V1005" s="1799"/>
      <c r="W1005" s="1799"/>
      <c r="X1005" s="1799"/>
      <c r="Y1005" s="1799"/>
      <c r="Z1005" s="1799"/>
      <c r="AA1005" s="1799"/>
      <c r="AB1005" s="1799"/>
      <c r="AC1005" s="1799"/>
      <c r="AD1005" s="1799"/>
      <c r="AE1005" s="1800"/>
      <c r="AF1005" s="73"/>
      <c r="AG1005" s="14"/>
      <c r="AH1005" s="14"/>
      <c r="AI1005" s="83"/>
      <c r="AJ1005" s="1745"/>
      <c r="AK1005" s="1746"/>
      <c r="AL1005" s="1746"/>
      <c r="AM1005" s="1746"/>
      <c r="AN1005" s="1746"/>
      <c r="AO1005" s="1746"/>
      <c r="AP1005" s="1746"/>
      <c r="AQ1005" s="1747"/>
      <c r="AR1005" s="68"/>
      <c r="AS1005" s="68"/>
      <c r="AT1005" s="68"/>
      <c r="AU1005" s="68"/>
      <c r="AV1005" s="68"/>
      <c r="AW1005" s="68"/>
      <c r="AX1005" s="68"/>
      <c r="AY1005" s="68"/>
      <c r="AZ1005" s="34"/>
      <c r="BA1005" s="34"/>
      <c r="BB1005" s="34"/>
      <c r="BC1005" s="34"/>
    </row>
    <row r="1006" spans="1:55" ht="12.95" customHeight="1">
      <c r="A1006" s="14"/>
      <c r="B1006" s="257"/>
      <c r="C1006" s="256"/>
      <c r="D1006" s="1798"/>
      <c r="E1006" s="1799"/>
      <c r="F1006" s="1799"/>
      <c r="G1006" s="1799"/>
      <c r="H1006" s="1799"/>
      <c r="I1006" s="1799"/>
      <c r="J1006" s="1799"/>
      <c r="K1006" s="1799"/>
      <c r="L1006" s="1799"/>
      <c r="M1006" s="1799"/>
      <c r="N1006" s="1799"/>
      <c r="O1006" s="1799"/>
      <c r="P1006" s="1799"/>
      <c r="Q1006" s="1799"/>
      <c r="R1006" s="1799"/>
      <c r="S1006" s="1799"/>
      <c r="T1006" s="1799"/>
      <c r="U1006" s="1799"/>
      <c r="V1006" s="1799"/>
      <c r="W1006" s="1799"/>
      <c r="X1006" s="1799"/>
      <c r="Y1006" s="1799"/>
      <c r="Z1006" s="1799"/>
      <c r="AA1006" s="1799"/>
      <c r="AB1006" s="1799"/>
      <c r="AC1006" s="1799"/>
      <c r="AD1006" s="1799"/>
      <c r="AE1006" s="1800"/>
      <c r="AF1006" s="73"/>
      <c r="AG1006" s="14"/>
      <c r="AH1006" s="14"/>
      <c r="AI1006" s="83"/>
      <c r="AJ1006" s="1745"/>
      <c r="AK1006" s="1746"/>
      <c r="AL1006" s="1746"/>
      <c r="AM1006" s="1746"/>
      <c r="AN1006" s="1746"/>
      <c r="AO1006" s="1746"/>
      <c r="AP1006" s="1746"/>
      <c r="AQ1006" s="1747"/>
      <c r="AR1006" s="68"/>
      <c r="AS1006" s="68"/>
      <c r="AT1006" s="68"/>
      <c r="AU1006" s="68"/>
      <c r="AV1006" s="68"/>
      <c r="AW1006" s="68"/>
      <c r="AX1006" s="68"/>
      <c r="AY1006" s="68"/>
      <c r="AZ1006" s="34"/>
      <c r="BA1006" s="34"/>
      <c r="BB1006" s="34"/>
      <c r="BC1006" s="34"/>
    </row>
    <row r="1007" spans="1:55" ht="12.95" customHeight="1">
      <c r="A1007" s="14"/>
      <c r="B1007" s="257"/>
      <c r="C1007" s="256"/>
      <c r="D1007" s="1798"/>
      <c r="E1007" s="1799"/>
      <c r="F1007" s="1799"/>
      <c r="G1007" s="1799"/>
      <c r="H1007" s="1799"/>
      <c r="I1007" s="1799"/>
      <c r="J1007" s="1799"/>
      <c r="K1007" s="1799"/>
      <c r="L1007" s="1799"/>
      <c r="M1007" s="1799"/>
      <c r="N1007" s="1799"/>
      <c r="O1007" s="1799"/>
      <c r="P1007" s="1799"/>
      <c r="Q1007" s="1799"/>
      <c r="R1007" s="1799"/>
      <c r="S1007" s="1799"/>
      <c r="T1007" s="1799"/>
      <c r="U1007" s="1799"/>
      <c r="V1007" s="1799"/>
      <c r="W1007" s="1799"/>
      <c r="X1007" s="1799"/>
      <c r="Y1007" s="1799"/>
      <c r="Z1007" s="1799"/>
      <c r="AA1007" s="1799"/>
      <c r="AB1007" s="1799"/>
      <c r="AC1007" s="1799"/>
      <c r="AD1007" s="1799"/>
      <c r="AE1007" s="1800"/>
      <c r="AF1007" s="73"/>
      <c r="AG1007" s="14"/>
      <c r="AH1007" s="14"/>
      <c r="AI1007" s="83"/>
      <c r="AJ1007" s="1745"/>
      <c r="AK1007" s="1746"/>
      <c r="AL1007" s="1746"/>
      <c r="AM1007" s="1746"/>
      <c r="AN1007" s="1746"/>
      <c r="AO1007" s="1746"/>
      <c r="AP1007" s="1746"/>
      <c r="AQ1007" s="1747"/>
      <c r="AR1007" s="68"/>
      <c r="AS1007" s="68"/>
      <c r="AT1007" s="68"/>
      <c r="AU1007" s="68"/>
      <c r="AV1007" s="68"/>
      <c r="AW1007" s="68"/>
      <c r="AX1007" s="68"/>
      <c r="AY1007" s="68"/>
      <c r="AZ1007" s="34"/>
      <c r="BA1007" s="34"/>
      <c r="BB1007" s="34"/>
      <c r="BC1007" s="34"/>
    </row>
    <row r="1008" spans="1:55" ht="12.95" customHeight="1">
      <c r="A1008" s="14"/>
      <c r="B1008" s="257"/>
      <c r="C1008" s="256"/>
      <c r="D1008" s="1823" t="s">
        <v>2161</v>
      </c>
      <c r="E1008" s="1824"/>
      <c r="F1008" s="1824"/>
      <c r="G1008" s="1824"/>
      <c r="H1008" s="1824"/>
      <c r="I1008" s="1824"/>
      <c r="J1008" s="1824"/>
      <c r="K1008" s="1824"/>
      <c r="L1008" s="1824"/>
      <c r="M1008" s="1824"/>
      <c r="N1008" s="1824"/>
      <c r="O1008" s="1824"/>
      <c r="P1008" s="1824"/>
      <c r="Q1008" s="1824"/>
      <c r="R1008" s="1824"/>
      <c r="S1008" s="1824"/>
      <c r="T1008" s="1824"/>
      <c r="U1008" s="1824"/>
      <c r="V1008" s="1824"/>
      <c r="W1008" s="1824"/>
      <c r="X1008" s="1824"/>
      <c r="Y1008" s="1824"/>
      <c r="Z1008" s="1824"/>
      <c r="AA1008" s="1824"/>
      <c r="AB1008" s="1824"/>
      <c r="AC1008" s="1824"/>
      <c r="AD1008" s="1824"/>
      <c r="AE1008" s="1825"/>
      <c r="AF1008" s="73"/>
      <c r="AG1008" s="14"/>
      <c r="AH1008" s="14"/>
      <c r="AI1008" s="83"/>
      <c r="AJ1008" s="1745"/>
      <c r="AK1008" s="1746"/>
      <c r="AL1008" s="1746"/>
      <c r="AM1008" s="1746"/>
      <c r="AN1008" s="1746"/>
      <c r="AO1008" s="1746"/>
      <c r="AP1008" s="1746"/>
      <c r="AQ1008" s="1747"/>
      <c r="AR1008" s="68"/>
      <c r="AS1008" s="68"/>
      <c r="AT1008" s="68"/>
      <c r="AU1008" s="68"/>
      <c r="AV1008" s="68"/>
      <c r="AW1008" s="68"/>
      <c r="AX1008" s="68"/>
      <c r="AY1008" s="68"/>
      <c r="AZ1008" s="34"/>
      <c r="BA1008" s="34"/>
      <c r="BB1008" s="34"/>
      <c r="BC1008" s="34"/>
    </row>
    <row r="1009" spans="1:55" ht="12.95" customHeight="1">
      <c r="A1009" s="14"/>
      <c r="B1009" s="257"/>
      <c r="C1009" s="256"/>
      <c r="D1009" s="1820"/>
      <c r="E1009" s="1821"/>
      <c r="F1009" s="1821"/>
      <c r="G1009" s="1821"/>
      <c r="H1009" s="1821"/>
      <c r="I1009" s="1821"/>
      <c r="J1009" s="1821"/>
      <c r="K1009" s="1821"/>
      <c r="L1009" s="1821"/>
      <c r="M1009" s="1821"/>
      <c r="N1009" s="1821"/>
      <c r="O1009" s="1821"/>
      <c r="P1009" s="1821"/>
      <c r="Q1009" s="1821"/>
      <c r="R1009" s="1821"/>
      <c r="S1009" s="1821"/>
      <c r="T1009" s="1821"/>
      <c r="U1009" s="1821"/>
      <c r="V1009" s="1821"/>
      <c r="W1009" s="1821"/>
      <c r="X1009" s="1821"/>
      <c r="Y1009" s="1821"/>
      <c r="Z1009" s="1821"/>
      <c r="AA1009" s="1821"/>
      <c r="AB1009" s="1821"/>
      <c r="AC1009" s="1821"/>
      <c r="AD1009" s="1821"/>
      <c r="AE1009" s="1822"/>
      <c r="AF1009" s="77"/>
      <c r="AG1009" s="7"/>
      <c r="AH1009" s="7"/>
      <c r="AI1009" s="78"/>
      <c r="AJ1009" s="1754"/>
      <c r="AK1009" s="1755"/>
      <c r="AL1009" s="1755"/>
      <c r="AM1009" s="1755"/>
      <c r="AN1009" s="1755"/>
      <c r="AO1009" s="1755"/>
      <c r="AP1009" s="1755"/>
      <c r="AQ1009" s="1756"/>
      <c r="AR1009" s="68"/>
      <c r="AS1009" s="68"/>
      <c r="AT1009" s="68"/>
      <c r="AU1009" s="68"/>
      <c r="AV1009" s="68"/>
      <c r="AW1009" s="68"/>
      <c r="AX1009" s="68"/>
      <c r="AY1009" s="68"/>
      <c r="AZ1009" s="34"/>
      <c r="BA1009" s="34"/>
      <c r="BB1009" s="34"/>
      <c r="BC1009" s="34"/>
    </row>
    <row r="1010" spans="1:55" ht="12.95" customHeight="1">
      <c r="A1010" s="14"/>
      <c r="B1010" s="255"/>
      <c r="C1010" s="318"/>
      <c r="D1010" s="1724" t="s">
        <v>1286</v>
      </c>
      <c r="E1010" s="1725"/>
      <c r="F1010" s="1725"/>
      <c r="G1010" s="1725"/>
      <c r="H1010" s="1725"/>
      <c r="I1010" s="1725"/>
      <c r="J1010" s="1725"/>
      <c r="K1010" s="1725"/>
      <c r="L1010" s="1725"/>
      <c r="M1010" s="1725"/>
      <c r="N1010" s="1725"/>
      <c r="O1010" s="1725"/>
      <c r="P1010" s="1725"/>
      <c r="Q1010" s="1725"/>
      <c r="R1010" s="1725"/>
      <c r="S1010" s="1725"/>
      <c r="T1010" s="1725"/>
      <c r="U1010" s="1725"/>
      <c r="V1010" s="1725"/>
      <c r="W1010" s="1725"/>
      <c r="X1010" s="1725"/>
      <c r="Y1010" s="1725"/>
      <c r="Z1010" s="1725"/>
      <c r="AA1010" s="1725"/>
      <c r="AB1010" s="1725"/>
      <c r="AC1010" s="1725"/>
      <c r="AD1010" s="1725"/>
      <c r="AE1010" s="1726"/>
      <c r="AF1010" s="79"/>
      <c r="AG1010" s="1769" t="s">
        <v>669</v>
      </c>
      <c r="AH1010" s="1770"/>
      <c r="AI1010" s="87"/>
      <c r="AJ1010" s="1742">
        <f>ROUND(IF(AG1010="yes",AJ1001*0.05,0),0)</f>
        <v>0</v>
      </c>
      <c r="AK1010" s="1743"/>
      <c r="AL1010" s="1743"/>
      <c r="AM1010" s="1743"/>
      <c r="AN1010" s="1743"/>
      <c r="AO1010" s="1743"/>
      <c r="AP1010" s="1743"/>
      <c r="AQ1010" s="1744"/>
      <c r="AR1010" s="68"/>
      <c r="AS1010" s="68"/>
      <c r="AT1010" s="68"/>
      <c r="AU1010" s="68"/>
      <c r="AV1010" s="68"/>
      <c r="AW1010" s="68"/>
      <c r="AX1010" s="68"/>
      <c r="AY1010" s="68"/>
      <c r="AZ1010" s="34"/>
      <c r="BA1010" s="34"/>
      <c r="BB1010" s="34"/>
      <c r="BC1010" s="34"/>
    </row>
    <row r="1011" spans="1:55" ht="12.95" customHeight="1">
      <c r="A1011" s="14"/>
      <c r="B1011" s="257"/>
      <c r="C1011" s="82"/>
      <c r="D1011" s="1798" t="s">
        <v>1284</v>
      </c>
      <c r="E1011" s="1799"/>
      <c r="F1011" s="1799"/>
      <c r="G1011" s="1799"/>
      <c r="H1011" s="1799"/>
      <c r="I1011" s="1799"/>
      <c r="J1011" s="1799"/>
      <c r="K1011" s="1799"/>
      <c r="L1011" s="1799"/>
      <c r="M1011" s="1799"/>
      <c r="N1011" s="1799"/>
      <c r="O1011" s="1799"/>
      <c r="P1011" s="1799"/>
      <c r="Q1011" s="1799"/>
      <c r="R1011" s="1799"/>
      <c r="S1011" s="1799"/>
      <c r="T1011" s="1799"/>
      <c r="U1011" s="1799"/>
      <c r="V1011" s="1799"/>
      <c r="W1011" s="1799"/>
      <c r="X1011" s="1799"/>
      <c r="Y1011" s="1799"/>
      <c r="Z1011" s="1799"/>
      <c r="AA1011" s="1799"/>
      <c r="AB1011" s="1799"/>
      <c r="AC1011" s="1799"/>
      <c r="AD1011" s="1799"/>
      <c r="AE1011" s="1800"/>
      <c r="AF1011" s="73"/>
      <c r="AG1011" s="14"/>
      <c r="AH1011" s="14"/>
      <c r="AI1011" s="83"/>
      <c r="AJ1011" s="1745"/>
      <c r="AK1011" s="1746"/>
      <c r="AL1011" s="1746"/>
      <c r="AM1011" s="1746"/>
      <c r="AN1011" s="1746"/>
      <c r="AO1011" s="1746"/>
      <c r="AP1011" s="1746"/>
      <c r="AQ1011" s="1747"/>
      <c r="AR1011" s="68"/>
      <c r="AS1011" s="68"/>
      <c r="AT1011" s="68"/>
      <c r="AU1011" s="68"/>
      <c r="AV1011" s="68"/>
      <c r="AW1011" s="68"/>
      <c r="AX1011" s="68"/>
      <c r="AY1011" s="34"/>
      <c r="AZ1011" s="34"/>
      <c r="BB1011" s="34"/>
    </row>
    <row r="1012" spans="1:55" ht="12.95" customHeight="1">
      <c r="A1012" s="14"/>
      <c r="B1012" s="257"/>
      <c r="C1012" s="82"/>
      <c r="D1012" s="1798"/>
      <c r="E1012" s="1799"/>
      <c r="F1012" s="1799"/>
      <c r="G1012" s="1799"/>
      <c r="H1012" s="1799"/>
      <c r="I1012" s="1799"/>
      <c r="J1012" s="1799"/>
      <c r="K1012" s="1799"/>
      <c r="L1012" s="1799"/>
      <c r="M1012" s="1799"/>
      <c r="N1012" s="1799"/>
      <c r="O1012" s="1799"/>
      <c r="P1012" s="1799"/>
      <c r="Q1012" s="1799"/>
      <c r="R1012" s="1799"/>
      <c r="S1012" s="1799"/>
      <c r="T1012" s="1799"/>
      <c r="U1012" s="1799"/>
      <c r="V1012" s="1799"/>
      <c r="W1012" s="1799"/>
      <c r="X1012" s="1799"/>
      <c r="Y1012" s="1799"/>
      <c r="Z1012" s="1799"/>
      <c r="AA1012" s="1799"/>
      <c r="AB1012" s="1799"/>
      <c r="AC1012" s="1799"/>
      <c r="AD1012" s="1799"/>
      <c r="AE1012" s="1800"/>
      <c r="AF1012" s="73"/>
      <c r="AG1012" s="14"/>
      <c r="AH1012" s="14"/>
      <c r="AI1012" s="83"/>
      <c r="AJ1012" s="1745"/>
      <c r="AK1012" s="1746"/>
      <c r="AL1012" s="1746"/>
      <c r="AM1012" s="1746"/>
      <c r="AN1012" s="1746"/>
      <c r="AO1012" s="1746"/>
      <c r="AP1012" s="1746"/>
      <c r="AQ1012" s="1747"/>
      <c r="AR1012" s="68"/>
      <c r="AS1012" s="68"/>
      <c r="AT1012" s="68"/>
      <c r="AU1012" s="68"/>
      <c r="AV1012" s="68"/>
      <c r="AW1012" s="68"/>
      <c r="AX1012" s="68"/>
      <c r="AY1012" s="910">
        <f>G761+O805</f>
        <v>188</v>
      </c>
      <c r="AZ1012" s="34"/>
      <c r="BB1012" s="34"/>
    </row>
    <row r="1013" spans="1:55" ht="12.95" customHeight="1">
      <c r="A1013" s="14"/>
      <c r="B1013" s="257"/>
      <c r="C1013" s="82"/>
      <c r="D1013" s="1798"/>
      <c r="E1013" s="1799"/>
      <c r="F1013" s="1799"/>
      <c r="G1013" s="1799"/>
      <c r="H1013" s="1799"/>
      <c r="I1013" s="1799"/>
      <c r="J1013" s="1799"/>
      <c r="K1013" s="1799"/>
      <c r="L1013" s="1799"/>
      <c r="M1013" s="1799"/>
      <c r="N1013" s="1799"/>
      <c r="O1013" s="1799"/>
      <c r="P1013" s="1799"/>
      <c r="Q1013" s="1799"/>
      <c r="R1013" s="1799"/>
      <c r="S1013" s="1799"/>
      <c r="T1013" s="1799"/>
      <c r="U1013" s="1799"/>
      <c r="V1013" s="1799"/>
      <c r="W1013" s="1799"/>
      <c r="X1013" s="1799"/>
      <c r="Y1013" s="1799"/>
      <c r="Z1013" s="1799"/>
      <c r="AA1013" s="1799"/>
      <c r="AB1013" s="1799"/>
      <c r="AC1013" s="1799"/>
      <c r="AD1013" s="1799"/>
      <c r="AE1013" s="1800"/>
      <c r="AF1013" s="73"/>
      <c r="AG1013" s="14"/>
      <c r="AH1013" s="14"/>
      <c r="AI1013" s="83"/>
      <c r="AJ1013" s="1745"/>
      <c r="AK1013" s="1746"/>
      <c r="AL1013" s="1746"/>
      <c r="AM1013" s="1746"/>
      <c r="AN1013" s="1746"/>
      <c r="AO1013" s="1746"/>
      <c r="AP1013" s="1746"/>
      <c r="AQ1013" s="1747"/>
      <c r="AR1013" s="68"/>
      <c r="AS1013" s="68"/>
      <c r="AT1013" s="68"/>
      <c r="AU1013" s="68"/>
      <c r="AV1013" s="68"/>
      <c r="AW1013" s="68"/>
      <c r="AX1013" s="68"/>
      <c r="AY1013" s="14"/>
      <c r="AZ1013" s="34"/>
      <c r="BB1013" s="34"/>
    </row>
    <row r="1014" spans="1:55" ht="12.95" customHeight="1">
      <c r="A1014" s="14"/>
      <c r="B1014" s="257"/>
      <c r="C1014" s="82"/>
      <c r="D1014" s="1798"/>
      <c r="E1014" s="1799"/>
      <c r="F1014" s="1799"/>
      <c r="G1014" s="1799"/>
      <c r="H1014" s="1799"/>
      <c r="I1014" s="1799"/>
      <c r="J1014" s="1799"/>
      <c r="K1014" s="1799"/>
      <c r="L1014" s="1799"/>
      <c r="M1014" s="1799"/>
      <c r="N1014" s="1799"/>
      <c r="O1014" s="1799"/>
      <c r="P1014" s="1799"/>
      <c r="Q1014" s="1799"/>
      <c r="R1014" s="1799"/>
      <c r="S1014" s="1799"/>
      <c r="T1014" s="1799"/>
      <c r="U1014" s="1799"/>
      <c r="V1014" s="1799"/>
      <c r="W1014" s="1799"/>
      <c r="X1014" s="1799"/>
      <c r="Y1014" s="1799"/>
      <c r="Z1014" s="1799"/>
      <c r="AA1014" s="1799"/>
      <c r="AB1014" s="1799"/>
      <c r="AC1014" s="1799"/>
      <c r="AD1014" s="1799"/>
      <c r="AE1014" s="1800"/>
      <c r="AF1014" s="73"/>
      <c r="AG1014" s="14"/>
      <c r="AH1014" s="14"/>
      <c r="AI1014" s="83"/>
      <c r="AJ1014" s="1745"/>
      <c r="AK1014" s="1746"/>
      <c r="AL1014" s="1746"/>
      <c r="AM1014" s="1746"/>
      <c r="AN1014" s="1746"/>
      <c r="AO1014" s="1746"/>
      <c r="AP1014" s="1746"/>
      <c r="AQ1014" s="1747"/>
      <c r="AR1014" s="68"/>
      <c r="AS1014" s="68"/>
      <c r="AT1014" s="68"/>
      <c r="AU1014" s="68"/>
      <c r="AV1014" s="68"/>
      <c r="AW1014" s="68"/>
      <c r="AX1014" s="68"/>
      <c r="AY1014" s="909">
        <f>ROUNDDOWN(X1057/I1057,2)</f>
        <v>0.1</v>
      </c>
      <c r="AZ1014" s="34"/>
      <c r="BB1014" s="34"/>
    </row>
    <row r="1015" spans="1:55" ht="12.95" customHeight="1">
      <c r="A1015" s="14"/>
      <c r="B1015" s="75"/>
      <c r="C1015" s="76"/>
      <c r="D1015" s="1823"/>
      <c r="E1015" s="1824"/>
      <c r="F1015" s="1824"/>
      <c r="G1015" s="1824"/>
      <c r="H1015" s="1824"/>
      <c r="I1015" s="1824"/>
      <c r="J1015" s="1824"/>
      <c r="K1015" s="1824"/>
      <c r="L1015" s="1824"/>
      <c r="M1015" s="1824"/>
      <c r="N1015" s="1824"/>
      <c r="O1015" s="1824"/>
      <c r="P1015" s="1824"/>
      <c r="Q1015" s="1824"/>
      <c r="R1015" s="1824"/>
      <c r="S1015" s="1824"/>
      <c r="T1015" s="1824"/>
      <c r="U1015" s="1824"/>
      <c r="V1015" s="1824"/>
      <c r="W1015" s="1824"/>
      <c r="X1015" s="1824"/>
      <c r="Y1015" s="1824"/>
      <c r="Z1015" s="1824"/>
      <c r="AA1015" s="1824"/>
      <c r="AB1015" s="1824"/>
      <c r="AC1015" s="1824"/>
      <c r="AD1015" s="1824"/>
      <c r="AE1015" s="1825"/>
      <c r="AF1015" s="77"/>
      <c r="AG1015" s="7"/>
      <c r="AH1015" s="7"/>
      <c r="AI1015" s="78"/>
      <c r="AJ1015" s="1754"/>
      <c r="AK1015" s="1755"/>
      <c r="AL1015" s="1755"/>
      <c r="AM1015" s="1755"/>
      <c r="AN1015" s="1755"/>
      <c r="AO1015" s="1755"/>
      <c r="AP1015" s="1755"/>
      <c r="AQ1015" s="1756"/>
      <c r="AR1015" s="68"/>
      <c r="AS1015" s="68"/>
      <c r="AT1015" s="68"/>
      <c r="AU1015" s="68"/>
      <c r="AV1015" s="68"/>
      <c r="AW1015" s="68"/>
      <c r="AX1015" s="68"/>
      <c r="AY1015" s="909">
        <f>ROUNDDOWN(X1061/I1061,2)</f>
        <v>0.1</v>
      </c>
      <c r="AZ1015" s="34"/>
      <c r="BB1015" s="34"/>
    </row>
    <row r="1016" spans="1:55" ht="12.95" customHeight="1">
      <c r="A1016" s="14"/>
      <c r="B1016" s="255"/>
      <c r="C1016" s="80" t="s">
        <v>672</v>
      </c>
      <c r="D1016" s="1724" t="s">
        <v>1672</v>
      </c>
      <c r="E1016" s="1725"/>
      <c r="F1016" s="1725"/>
      <c r="G1016" s="1725"/>
      <c r="H1016" s="1725"/>
      <c r="I1016" s="1725"/>
      <c r="J1016" s="1725"/>
      <c r="K1016" s="1725"/>
      <c r="L1016" s="1725"/>
      <c r="M1016" s="1725"/>
      <c r="N1016" s="1725"/>
      <c r="O1016" s="1725"/>
      <c r="P1016" s="1725"/>
      <c r="Q1016" s="1725"/>
      <c r="R1016" s="1725"/>
      <c r="S1016" s="1725"/>
      <c r="T1016" s="1725"/>
      <c r="U1016" s="1725"/>
      <c r="V1016" s="1725"/>
      <c r="W1016" s="1725"/>
      <c r="X1016" s="1725"/>
      <c r="Y1016" s="1725"/>
      <c r="Z1016" s="1725"/>
      <c r="AA1016" s="1725"/>
      <c r="AB1016" s="1725"/>
      <c r="AC1016" s="1725"/>
      <c r="AD1016" s="1725"/>
      <c r="AE1016" s="1726"/>
      <c r="AF1016" s="86"/>
      <c r="AG1016" s="1769" t="s">
        <v>669</v>
      </c>
      <c r="AH1016" s="1770"/>
      <c r="AI1016" s="87"/>
      <c r="AJ1016" s="1742">
        <f>ROUND(IF(AG1016="yes",AJ1001*0.1,0),0)</f>
        <v>0</v>
      </c>
      <c r="AK1016" s="1743"/>
      <c r="AL1016" s="1743"/>
      <c r="AM1016" s="1743"/>
      <c r="AN1016" s="1743"/>
      <c r="AO1016" s="1743"/>
      <c r="AP1016" s="1743"/>
      <c r="AQ1016" s="1744"/>
      <c r="AR1016" s="68"/>
      <c r="AS1016" s="68"/>
      <c r="AT1016" s="68"/>
      <c r="AU1016" s="68"/>
      <c r="AV1016" s="68"/>
      <c r="AW1016" s="68"/>
      <c r="AX1016" s="68"/>
      <c r="BB1016" s="34"/>
    </row>
    <row r="1017" spans="1:55" ht="12.95" customHeight="1">
      <c r="A1017" s="14"/>
      <c r="B1017" s="73"/>
      <c r="C1017" s="74"/>
      <c r="D1017" s="1748" t="s">
        <v>1285</v>
      </c>
      <c r="E1017" s="1749"/>
      <c r="F1017" s="1749"/>
      <c r="G1017" s="1749"/>
      <c r="H1017" s="1749"/>
      <c r="I1017" s="1749"/>
      <c r="J1017" s="1749"/>
      <c r="K1017" s="1749"/>
      <c r="L1017" s="1749"/>
      <c r="M1017" s="1749"/>
      <c r="N1017" s="1749"/>
      <c r="O1017" s="1749"/>
      <c r="P1017" s="1749"/>
      <c r="Q1017" s="1749"/>
      <c r="R1017" s="1749"/>
      <c r="S1017" s="1749"/>
      <c r="T1017" s="1749"/>
      <c r="U1017" s="1749"/>
      <c r="V1017" s="1749"/>
      <c r="W1017" s="1749"/>
      <c r="X1017" s="1749"/>
      <c r="Y1017" s="1749"/>
      <c r="Z1017" s="1749"/>
      <c r="AA1017" s="1749"/>
      <c r="AB1017" s="1749"/>
      <c r="AC1017" s="1749"/>
      <c r="AD1017" s="1749"/>
      <c r="AE1017" s="1750"/>
      <c r="AF1017" s="73"/>
      <c r="AI1017" s="83"/>
      <c r="AJ1017" s="1745"/>
      <c r="AK1017" s="1746"/>
      <c r="AL1017" s="1746"/>
      <c r="AM1017" s="1746"/>
      <c r="AN1017" s="1746"/>
      <c r="AO1017" s="1746"/>
      <c r="AP1017" s="1746"/>
      <c r="AQ1017" s="1747"/>
      <c r="AR1017" s="68"/>
      <c r="AS1017" s="68"/>
      <c r="AT1017" s="68"/>
      <c r="AU1017" s="68"/>
      <c r="AV1017" s="68"/>
      <c r="AW1017" s="68"/>
      <c r="AX1017" s="68"/>
    </row>
    <row r="1018" spans="1:55" ht="12.95" customHeight="1">
      <c r="A1018" s="14"/>
      <c r="B1018" s="73"/>
      <c r="C1018" s="74"/>
      <c r="D1018" s="1748"/>
      <c r="E1018" s="1749"/>
      <c r="F1018" s="1749"/>
      <c r="G1018" s="1749"/>
      <c r="H1018" s="1749"/>
      <c r="I1018" s="1749"/>
      <c r="J1018" s="1749"/>
      <c r="K1018" s="1749"/>
      <c r="L1018" s="1749"/>
      <c r="M1018" s="1749"/>
      <c r="N1018" s="1749"/>
      <c r="O1018" s="1749"/>
      <c r="P1018" s="1749"/>
      <c r="Q1018" s="1749"/>
      <c r="R1018" s="1749"/>
      <c r="S1018" s="1749"/>
      <c r="T1018" s="1749"/>
      <c r="U1018" s="1749"/>
      <c r="V1018" s="1749"/>
      <c r="W1018" s="1749"/>
      <c r="X1018" s="1749"/>
      <c r="Y1018" s="1749"/>
      <c r="Z1018" s="1749"/>
      <c r="AA1018" s="1749"/>
      <c r="AB1018" s="1749"/>
      <c r="AC1018" s="1749"/>
      <c r="AD1018" s="1749"/>
      <c r="AE1018" s="1750"/>
      <c r="AF1018" s="73"/>
      <c r="AG1018" s="14"/>
      <c r="AH1018" s="14"/>
      <c r="AI1018" s="83"/>
      <c r="AJ1018" s="1745"/>
      <c r="AK1018" s="1746"/>
      <c r="AL1018" s="1746"/>
      <c r="AM1018" s="1746"/>
      <c r="AN1018" s="1746"/>
      <c r="AO1018" s="1746"/>
      <c r="AP1018" s="1746"/>
      <c r="AQ1018" s="1747"/>
      <c r="AR1018" s="68"/>
      <c r="AS1018" s="68"/>
      <c r="AT1018" s="68"/>
      <c r="AU1018" s="68"/>
      <c r="AV1018" s="68"/>
      <c r="AW1018" s="68"/>
      <c r="AX1018" s="68"/>
    </row>
    <row r="1019" spans="1:55" ht="12.95" customHeight="1">
      <c r="A1019" s="14"/>
      <c r="B1019" s="85"/>
      <c r="C1019" s="76"/>
      <c r="D1019" s="1751"/>
      <c r="E1019" s="1752"/>
      <c r="F1019" s="1752"/>
      <c r="G1019" s="1752"/>
      <c r="H1019" s="1752"/>
      <c r="I1019" s="1752"/>
      <c r="J1019" s="1752"/>
      <c r="K1019" s="1752"/>
      <c r="L1019" s="1752"/>
      <c r="M1019" s="1752"/>
      <c r="N1019" s="1752"/>
      <c r="O1019" s="1752"/>
      <c r="P1019" s="1752"/>
      <c r="Q1019" s="1752"/>
      <c r="R1019" s="1752"/>
      <c r="S1019" s="1752"/>
      <c r="T1019" s="1752"/>
      <c r="U1019" s="1752"/>
      <c r="V1019" s="1752"/>
      <c r="W1019" s="1752"/>
      <c r="X1019" s="1752"/>
      <c r="Y1019" s="1752"/>
      <c r="Z1019" s="1752"/>
      <c r="AA1019" s="1752"/>
      <c r="AB1019" s="1752"/>
      <c r="AC1019" s="1752"/>
      <c r="AD1019" s="1752"/>
      <c r="AE1019" s="1753"/>
      <c r="AF1019" s="77"/>
      <c r="AG1019" s="7"/>
      <c r="AH1019" s="7"/>
      <c r="AI1019" s="78"/>
      <c r="AJ1019" s="1754"/>
      <c r="AK1019" s="1755"/>
      <c r="AL1019" s="1755"/>
      <c r="AM1019" s="1755"/>
      <c r="AN1019" s="1755"/>
      <c r="AO1019" s="1755"/>
      <c r="AP1019" s="1755"/>
      <c r="AQ1019" s="1756"/>
      <c r="AR1019" s="68"/>
      <c r="AS1019" s="68"/>
      <c r="AT1019" s="68"/>
      <c r="AU1019" s="68"/>
      <c r="AV1019" s="68"/>
      <c r="AW1019" s="68"/>
      <c r="AX1019" s="68"/>
    </row>
    <row r="1020" spans="1:55" ht="12.95" customHeight="1">
      <c r="A1020" s="14"/>
      <c r="B1020" s="79"/>
      <c r="C1020" s="80" t="s">
        <v>212</v>
      </c>
      <c r="D1020" s="1724" t="s">
        <v>1287</v>
      </c>
      <c r="E1020" s="1725"/>
      <c r="F1020" s="1725"/>
      <c r="G1020" s="1725"/>
      <c r="H1020" s="1725"/>
      <c r="I1020" s="1725"/>
      <c r="J1020" s="1725"/>
      <c r="K1020" s="1725"/>
      <c r="L1020" s="1725"/>
      <c r="M1020" s="1725"/>
      <c r="N1020" s="1725"/>
      <c r="O1020" s="1725"/>
      <c r="P1020" s="1725"/>
      <c r="Q1020" s="1725"/>
      <c r="R1020" s="1725"/>
      <c r="S1020" s="1725"/>
      <c r="T1020" s="1725"/>
      <c r="U1020" s="1725"/>
      <c r="V1020" s="1725"/>
      <c r="W1020" s="1725"/>
      <c r="X1020" s="1725"/>
      <c r="Y1020" s="1725"/>
      <c r="Z1020" s="1725"/>
      <c r="AA1020" s="1725"/>
      <c r="AB1020" s="1725"/>
      <c r="AC1020" s="1725"/>
      <c r="AD1020" s="1725"/>
      <c r="AE1020" s="1726"/>
      <c r="AF1020" s="79"/>
      <c r="AG1020" s="1769" t="s">
        <v>669</v>
      </c>
      <c r="AH1020" s="1770"/>
      <c r="AI1020" s="87"/>
      <c r="AJ1020" s="1742">
        <f>ROUND(IF(AG1020="yes",AJ1001*0.02,0),0)</f>
        <v>0</v>
      </c>
      <c r="AK1020" s="1743"/>
      <c r="AL1020" s="1743"/>
      <c r="AM1020" s="1743"/>
      <c r="AN1020" s="1743"/>
      <c r="AO1020" s="1743"/>
      <c r="AP1020" s="1743"/>
      <c r="AQ1020" s="1744"/>
      <c r="AR1020" s="68"/>
      <c r="AS1020" s="68"/>
      <c r="AT1020" s="68"/>
      <c r="AU1020" s="68"/>
      <c r="AV1020" s="68"/>
      <c r="AW1020" s="68"/>
      <c r="AX1020" s="68"/>
    </row>
    <row r="1021" spans="1:55" ht="14.25" customHeight="1">
      <c r="A1021" s="14"/>
      <c r="B1021" s="73"/>
      <c r="C1021" s="74"/>
      <c r="D1021" s="1751" t="s">
        <v>1288</v>
      </c>
      <c r="E1021" s="1752"/>
      <c r="F1021" s="1752"/>
      <c r="G1021" s="1752"/>
      <c r="H1021" s="1752"/>
      <c r="I1021" s="1752"/>
      <c r="J1021" s="1752"/>
      <c r="K1021" s="1752"/>
      <c r="L1021" s="1752"/>
      <c r="M1021" s="1752"/>
      <c r="N1021" s="1752"/>
      <c r="O1021" s="1752"/>
      <c r="P1021" s="1752"/>
      <c r="Q1021" s="1752"/>
      <c r="R1021" s="1752"/>
      <c r="S1021" s="1752"/>
      <c r="T1021" s="1752"/>
      <c r="U1021" s="1752"/>
      <c r="V1021" s="1752"/>
      <c r="W1021" s="1752"/>
      <c r="X1021" s="1752"/>
      <c r="Y1021" s="1752"/>
      <c r="Z1021" s="1752"/>
      <c r="AA1021" s="1752"/>
      <c r="AB1021" s="1752"/>
      <c r="AC1021" s="1752"/>
      <c r="AD1021" s="1752"/>
      <c r="AE1021" s="1753"/>
      <c r="AF1021" s="77"/>
      <c r="AG1021" s="7"/>
      <c r="AH1021" s="7"/>
      <c r="AI1021" s="78"/>
      <c r="AJ1021" s="1754"/>
      <c r="AK1021" s="1755"/>
      <c r="AL1021" s="1755"/>
      <c r="AM1021" s="1755"/>
      <c r="AN1021" s="1755"/>
      <c r="AO1021" s="1755"/>
      <c r="AP1021" s="1755"/>
      <c r="AQ1021" s="1756"/>
      <c r="AR1021" s="68"/>
      <c r="AS1021" s="68"/>
      <c r="AT1021" s="68"/>
      <c r="AU1021" s="68"/>
      <c r="AV1021" s="68"/>
      <c r="AW1021" s="68"/>
      <c r="AX1021" s="3" t="s">
        <v>1818</v>
      </c>
      <c r="AZ1021" s="3" t="s">
        <v>2534</v>
      </c>
    </row>
    <row r="1022" spans="1:55" ht="12.95" customHeight="1">
      <c r="A1022" s="14"/>
      <c r="B1022" s="79"/>
      <c r="C1022" s="80" t="s">
        <v>215</v>
      </c>
      <c r="D1022" s="1724" t="s">
        <v>1289</v>
      </c>
      <c r="E1022" s="1725"/>
      <c r="F1022" s="1725"/>
      <c r="G1022" s="1725"/>
      <c r="H1022" s="1725"/>
      <c r="I1022" s="1725"/>
      <c r="J1022" s="1725"/>
      <c r="K1022" s="1725"/>
      <c r="L1022" s="1725"/>
      <c r="M1022" s="1725"/>
      <c r="N1022" s="1725"/>
      <c r="O1022" s="1725"/>
      <c r="P1022" s="1725"/>
      <c r="Q1022" s="1725"/>
      <c r="R1022" s="1725"/>
      <c r="S1022" s="1725"/>
      <c r="T1022" s="1725"/>
      <c r="U1022" s="1725"/>
      <c r="V1022" s="1725"/>
      <c r="W1022" s="1725"/>
      <c r="X1022" s="1725"/>
      <c r="Y1022" s="1725"/>
      <c r="Z1022" s="1725"/>
      <c r="AA1022" s="1725"/>
      <c r="AB1022" s="1725"/>
      <c r="AC1022" s="1725"/>
      <c r="AD1022" s="1725"/>
      <c r="AE1022" s="1726"/>
      <c r="AF1022" s="79"/>
      <c r="AG1022" s="1769" t="s">
        <v>669</v>
      </c>
      <c r="AH1022" s="1770"/>
      <c r="AI1022" s="79"/>
      <c r="AJ1022" s="1742">
        <f>ROUND(IF(AG1022="yes",AJ1001*0.02,0),0)</f>
        <v>0</v>
      </c>
      <c r="AK1022" s="1743"/>
      <c r="AL1022" s="1743"/>
      <c r="AM1022" s="1743"/>
      <c r="AN1022" s="1743"/>
      <c r="AO1022" s="1743"/>
      <c r="AP1022" s="1743"/>
      <c r="AQ1022" s="1744"/>
      <c r="AR1022" s="68"/>
      <c r="AS1022" s="68"/>
      <c r="AT1022" s="68"/>
      <c r="AU1022" s="68"/>
      <c r="AV1022" s="68"/>
      <c r="AW1022" s="68"/>
      <c r="AX1022" s="3">
        <v>1</v>
      </c>
      <c r="AY1022" s="200">
        <f>IF((_xlfn.XLOOKUP(AX1022,$C$1074:$C$1112,$A$1074:$A$1112,"",0,1))="Yes",AZ1022,0)</f>
        <v>0</v>
      </c>
      <c r="AZ1022" s="1189">
        <v>0.2</v>
      </c>
    </row>
    <row r="1023" spans="1:55" ht="12.95" customHeight="1">
      <c r="A1023" s="14"/>
      <c r="B1023" s="73"/>
      <c r="C1023" s="74"/>
      <c r="D1023" s="1748" t="s">
        <v>1290</v>
      </c>
      <c r="E1023" s="1749"/>
      <c r="F1023" s="1749"/>
      <c r="G1023" s="1749"/>
      <c r="H1023" s="1749"/>
      <c r="I1023" s="1749"/>
      <c r="J1023" s="1749"/>
      <c r="K1023" s="1749"/>
      <c r="L1023" s="1749"/>
      <c r="M1023" s="1749"/>
      <c r="N1023" s="1749"/>
      <c r="O1023" s="1749"/>
      <c r="P1023" s="1749"/>
      <c r="Q1023" s="1749"/>
      <c r="R1023" s="1749"/>
      <c r="S1023" s="1749"/>
      <c r="T1023" s="1749"/>
      <c r="U1023" s="1749"/>
      <c r="V1023" s="1749"/>
      <c r="W1023" s="1749"/>
      <c r="X1023" s="1749"/>
      <c r="Y1023" s="1749"/>
      <c r="Z1023" s="1749"/>
      <c r="AA1023" s="1749"/>
      <c r="AB1023" s="1749"/>
      <c r="AC1023" s="1749"/>
      <c r="AD1023" s="1749"/>
      <c r="AE1023" s="1750"/>
      <c r="AF1023" s="1857" t="str">
        <f>IF(AND(AG1022="yes",T212&lt;&gt;1),"The project may not be eligible for this boost","")</f>
        <v/>
      </c>
      <c r="AG1023" s="1858"/>
      <c r="AH1023" s="1858"/>
      <c r="AI1023" s="1859"/>
      <c r="AJ1023" s="1745"/>
      <c r="AK1023" s="1746"/>
      <c r="AL1023" s="1746"/>
      <c r="AM1023" s="1746"/>
      <c r="AN1023" s="1746"/>
      <c r="AO1023" s="1746"/>
      <c r="AP1023" s="1746"/>
      <c r="AQ1023" s="1747"/>
      <c r="AR1023" s="68"/>
      <c r="AS1023" s="68"/>
      <c r="AT1023" s="68"/>
      <c r="AU1023" s="68"/>
      <c r="AV1023" s="68"/>
      <c r="AW1023" s="68"/>
      <c r="AX1023" s="3">
        <v>2</v>
      </c>
      <c r="AY1023" s="200">
        <f t="shared" ref="AY1023:AY1032" si="68">IF((_xlfn.XLOOKUP(AX1023,$C$1074:$C$1112,$A$1074:$A$1112,"",0,1))="Yes",AZ1023,0)</f>
        <v>0</v>
      </c>
      <c r="AZ1023" s="1189">
        <v>0.15</v>
      </c>
    </row>
    <row r="1024" spans="1:55" ht="12.95" customHeight="1">
      <c r="A1024" s="14"/>
      <c r="B1024" s="75"/>
      <c r="C1024" s="76"/>
      <c r="D1024" s="1751"/>
      <c r="E1024" s="1752"/>
      <c r="F1024" s="1752"/>
      <c r="G1024" s="1752"/>
      <c r="H1024" s="1752"/>
      <c r="I1024" s="1752"/>
      <c r="J1024" s="1752"/>
      <c r="K1024" s="1752"/>
      <c r="L1024" s="1752"/>
      <c r="M1024" s="1752"/>
      <c r="N1024" s="1752"/>
      <c r="O1024" s="1752"/>
      <c r="P1024" s="1752"/>
      <c r="Q1024" s="1752"/>
      <c r="R1024" s="1752"/>
      <c r="S1024" s="1752"/>
      <c r="T1024" s="1752"/>
      <c r="U1024" s="1752"/>
      <c r="V1024" s="1752"/>
      <c r="W1024" s="1752"/>
      <c r="X1024" s="1752"/>
      <c r="Y1024" s="1752"/>
      <c r="Z1024" s="1752"/>
      <c r="AA1024" s="1752"/>
      <c r="AB1024" s="1752"/>
      <c r="AC1024" s="1752"/>
      <c r="AD1024" s="1752"/>
      <c r="AE1024" s="1753"/>
      <c r="AF1024" s="1860"/>
      <c r="AG1024" s="1861"/>
      <c r="AH1024" s="1861"/>
      <c r="AI1024" s="1862"/>
      <c r="AJ1024" s="1754"/>
      <c r="AK1024" s="1755"/>
      <c r="AL1024" s="1755"/>
      <c r="AM1024" s="1755"/>
      <c r="AN1024" s="1755"/>
      <c r="AO1024" s="1755"/>
      <c r="AP1024" s="1755"/>
      <c r="AQ1024" s="1756"/>
      <c r="AR1024" s="68"/>
      <c r="AS1024" s="68"/>
      <c r="AT1024" s="68"/>
      <c r="AU1024" s="68"/>
      <c r="AV1024" s="68"/>
      <c r="AW1024" s="68"/>
      <c r="AX1024" s="3">
        <v>3</v>
      </c>
      <c r="AY1024" s="200">
        <f t="shared" si="68"/>
        <v>0</v>
      </c>
      <c r="AZ1024" s="1189">
        <v>0.05</v>
      </c>
    </row>
    <row r="1025" spans="1:52" ht="12.95" customHeight="1">
      <c r="A1025" s="14"/>
      <c r="B1025" s="79"/>
      <c r="C1025" s="80" t="s">
        <v>218</v>
      </c>
      <c r="D1025" s="1763" t="s">
        <v>2191</v>
      </c>
      <c r="E1025" s="1764"/>
      <c r="F1025" s="1764"/>
      <c r="G1025" s="1764"/>
      <c r="H1025" s="1764"/>
      <c r="I1025" s="1764"/>
      <c r="J1025" s="1764"/>
      <c r="K1025" s="1764"/>
      <c r="L1025" s="1764"/>
      <c r="M1025" s="1764"/>
      <c r="N1025" s="1764"/>
      <c r="O1025" s="1764"/>
      <c r="P1025" s="1764"/>
      <c r="Q1025" s="1764"/>
      <c r="R1025" s="1764"/>
      <c r="S1025" s="1764"/>
      <c r="T1025" s="1764"/>
      <c r="U1025" s="1764"/>
      <c r="V1025" s="1764"/>
      <c r="W1025" s="1764"/>
      <c r="X1025" s="1764"/>
      <c r="Y1025" s="1764"/>
      <c r="Z1025" s="1764"/>
      <c r="AA1025" s="1764"/>
      <c r="AB1025" s="1764"/>
      <c r="AC1025" s="1764"/>
      <c r="AD1025" s="1764"/>
      <c r="AE1025" s="1765"/>
      <c r="AF1025" s="79"/>
      <c r="AG1025" s="1769" t="s">
        <v>669</v>
      </c>
      <c r="AH1025" s="1770"/>
      <c r="AI1025" s="87"/>
      <c r="AJ1025" s="1742">
        <f>IF(AG1025="yes",AJ1001*AY1033,0)</f>
        <v>0</v>
      </c>
      <c r="AK1025" s="1743"/>
      <c r="AL1025" s="1743"/>
      <c r="AM1025" s="1743"/>
      <c r="AN1025" s="1743"/>
      <c r="AO1025" s="1743"/>
      <c r="AP1025" s="1743"/>
      <c r="AQ1025" s="1744"/>
      <c r="AR1025" s="68"/>
      <c r="AS1025" s="68"/>
      <c r="AT1025" s="68"/>
      <c r="AU1025" s="68"/>
      <c r="AV1025" s="68"/>
      <c r="AW1025" s="68"/>
      <c r="AX1025" s="3">
        <v>4</v>
      </c>
      <c r="AY1025" s="200">
        <f t="shared" si="68"/>
        <v>0</v>
      </c>
      <c r="AZ1025" s="1189">
        <v>0.02</v>
      </c>
    </row>
    <row r="1026" spans="1:52" ht="12.95" customHeight="1">
      <c r="A1026" s="14"/>
      <c r="B1026" s="73"/>
      <c r="C1026" s="74"/>
      <c r="D1026" s="1748" t="s">
        <v>2600</v>
      </c>
      <c r="E1026" s="1749"/>
      <c r="F1026" s="1749"/>
      <c r="G1026" s="1749"/>
      <c r="H1026" s="1749"/>
      <c r="I1026" s="1749"/>
      <c r="J1026" s="1749"/>
      <c r="K1026" s="1749"/>
      <c r="L1026" s="1749"/>
      <c r="M1026" s="1749"/>
      <c r="N1026" s="1749"/>
      <c r="O1026" s="1749"/>
      <c r="P1026" s="1749"/>
      <c r="Q1026" s="1749"/>
      <c r="R1026" s="1749"/>
      <c r="S1026" s="1749"/>
      <c r="T1026" s="1749"/>
      <c r="U1026" s="1749"/>
      <c r="V1026" s="1749"/>
      <c r="W1026" s="1749"/>
      <c r="X1026" s="1749"/>
      <c r="Y1026" s="1749"/>
      <c r="Z1026" s="1749"/>
      <c r="AA1026" s="1749"/>
      <c r="AB1026" s="1749"/>
      <c r="AC1026" s="1749"/>
      <c r="AD1026" s="1749"/>
      <c r="AE1026" s="1750"/>
      <c r="AF1026" s="1851" t="str">
        <f>IF(AND(AG1025="Yes",AY1033=0),AY1036,"")</f>
        <v/>
      </c>
      <c r="AG1026" s="1852"/>
      <c r="AH1026" s="1852"/>
      <c r="AI1026" s="1853"/>
      <c r="AJ1026" s="1745"/>
      <c r="AK1026" s="1746"/>
      <c r="AL1026" s="1746"/>
      <c r="AM1026" s="1746"/>
      <c r="AN1026" s="1746"/>
      <c r="AO1026" s="1746"/>
      <c r="AP1026" s="1746"/>
      <c r="AQ1026" s="1747"/>
      <c r="AR1026" s="68"/>
      <c r="AS1026" s="68"/>
      <c r="AT1026" s="68"/>
      <c r="AU1026" s="68"/>
      <c r="AV1026" s="68"/>
      <c r="AW1026" s="68"/>
      <c r="AX1026" s="3">
        <v>5</v>
      </c>
      <c r="AY1026" s="200">
        <f t="shared" si="68"/>
        <v>0</v>
      </c>
      <c r="AZ1026" s="1189">
        <v>0.04</v>
      </c>
    </row>
    <row r="1027" spans="1:52" ht="12.95" customHeight="1">
      <c r="A1027" s="14"/>
      <c r="B1027" s="73"/>
      <c r="C1027" s="74"/>
      <c r="D1027" s="1748"/>
      <c r="E1027" s="1749"/>
      <c r="F1027" s="1749"/>
      <c r="G1027" s="1749"/>
      <c r="H1027" s="1749"/>
      <c r="I1027" s="1749"/>
      <c r="J1027" s="1749"/>
      <c r="K1027" s="1749"/>
      <c r="L1027" s="1749"/>
      <c r="M1027" s="1749"/>
      <c r="N1027" s="1749"/>
      <c r="O1027" s="1749"/>
      <c r="P1027" s="1749"/>
      <c r="Q1027" s="1749"/>
      <c r="R1027" s="1749"/>
      <c r="S1027" s="1749"/>
      <c r="T1027" s="1749"/>
      <c r="U1027" s="1749"/>
      <c r="V1027" s="1749"/>
      <c r="W1027" s="1749"/>
      <c r="X1027" s="1749"/>
      <c r="Y1027" s="1749"/>
      <c r="Z1027" s="1749"/>
      <c r="AA1027" s="1749"/>
      <c r="AB1027" s="1749"/>
      <c r="AC1027" s="1749"/>
      <c r="AD1027" s="1749"/>
      <c r="AE1027" s="1750"/>
      <c r="AF1027" s="1851"/>
      <c r="AG1027" s="1852"/>
      <c r="AH1027" s="1852"/>
      <c r="AI1027" s="1853"/>
      <c r="AJ1027" s="1745"/>
      <c r="AK1027" s="1746"/>
      <c r="AL1027" s="1746"/>
      <c r="AM1027" s="1746"/>
      <c r="AN1027" s="1746"/>
      <c r="AO1027" s="1746"/>
      <c r="AP1027" s="1746"/>
      <c r="AQ1027" s="1747"/>
      <c r="AR1027" s="68"/>
      <c r="AS1027" s="68"/>
      <c r="AT1027" s="68"/>
      <c r="AU1027" s="68"/>
      <c r="AV1027" s="68"/>
      <c r="AW1027" s="68"/>
      <c r="AX1027" s="3">
        <v>6</v>
      </c>
      <c r="AY1027" s="200">
        <f t="shared" si="68"/>
        <v>0</v>
      </c>
      <c r="AZ1027" s="1189">
        <v>0.04</v>
      </c>
    </row>
    <row r="1028" spans="1:52" ht="12.95" customHeight="1">
      <c r="A1028" s="14"/>
      <c r="B1028" s="81"/>
      <c r="C1028" s="82"/>
      <c r="D1028" s="1751"/>
      <c r="E1028" s="1752"/>
      <c r="F1028" s="1752"/>
      <c r="G1028" s="1752"/>
      <c r="H1028" s="1752"/>
      <c r="I1028" s="1752"/>
      <c r="J1028" s="1752"/>
      <c r="K1028" s="1752"/>
      <c r="L1028" s="1752"/>
      <c r="M1028" s="1752"/>
      <c r="N1028" s="1752"/>
      <c r="O1028" s="1752"/>
      <c r="P1028" s="1752"/>
      <c r="Q1028" s="1752"/>
      <c r="R1028" s="1752"/>
      <c r="S1028" s="1752"/>
      <c r="T1028" s="1752"/>
      <c r="U1028" s="1752"/>
      <c r="V1028" s="1752"/>
      <c r="W1028" s="1752"/>
      <c r="X1028" s="1752"/>
      <c r="Y1028" s="1752"/>
      <c r="Z1028" s="1752"/>
      <c r="AA1028" s="1752"/>
      <c r="AB1028" s="1752"/>
      <c r="AC1028" s="1752"/>
      <c r="AD1028" s="1752"/>
      <c r="AE1028" s="1753"/>
      <c r="AF1028" s="1854"/>
      <c r="AG1028" s="1855"/>
      <c r="AH1028" s="1855"/>
      <c r="AI1028" s="1856"/>
      <c r="AJ1028" s="1754"/>
      <c r="AK1028" s="1755"/>
      <c r="AL1028" s="1755"/>
      <c r="AM1028" s="1755"/>
      <c r="AN1028" s="1755"/>
      <c r="AO1028" s="1755"/>
      <c r="AP1028" s="1755"/>
      <c r="AQ1028" s="1756"/>
      <c r="AR1028" s="68"/>
      <c r="AS1028" s="68"/>
      <c r="AT1028" s="68"/>
      <c r="AU1028" s="68"/>
      <c r="AV1028" s="68"/>
      <c r="AW1028" s="68"/>
      <c r="AX1028" s="3">
        <v>7</v>
      </c>
      <c r="AY1028" s="200">
        <f t="shared" si="68"/>
        <v>0</v>
      </c>
      <c r="AZ1028" s="1189">
        <v>0.01</v>
      </c>
    </row>
    <row r="1029" spans="1:52" ht="12.95" customHeight="1">
      <c r="A1029" s="14"/>
      <c r="B1029" s="79"/>
      <c r="C1029" s="80" t="s">
        <v>223</v>
      </c>
      <c r="D1029" s="1789" t="s">
        <v>1291</v>
      </c>
      <c r="E1029" s="1790"/>
      <c r="F1029" s="1790"/>
      <c r="G1029" s="1790"/>
      <c r="H1029" s="1790"/>
      <c r="I1029" s="1790"/>
      <c r="J1029" s="1790"/>
      <c r="K1029" s="1790"/>
      <c r="L1029" s="1790"/>
      <c r="M1029" s="1790"/>
      <c r="N1029" s="1790"/>
      <c r="O1029" s="1790"/>
      <c r="P1029" s="1790"/>
      <c r="Q1029" s="1790"/>
      <c r="R1029" s="1790"/>
      <c r="S1029" s="1790"/>
      <c r="T1029" s="1790"/>
      <c r="U1029" s="1790"/>
      <c r="V1029" s="1790"/>
      <c r="W1029" s="1790"/>
      <c r="X1029" s="1790"/>
      <c r="Y1029" s="1790"/>
      <c r="Z1029" s="1790"/>
      <c r="AA1029" s="1790"/>
      <c r="AB1029" s="1790"/>
      <c r="AC1029" s="1790"/>
      <c r="AD1029" s="1790"/>
      <c r="AE1029" s="1791"/>
      <c r="AF1029" s="79"/>
      <c r="AG1029" s="1769" t="s">
        <v>669</v>
      </c>
      <c r="AH1029" s="1770"/>
      <c r="AI1029" s="87"/>
      <c r="AJ1029" s="1742">
        <f>ROUND(IF(AND(AG1029="Yes",J1033&lt;&gt;"N/A",AF1032&lt;&gt;""),MIN(AF1032,(0.15*AJ1001)),0),0)</f>
        <v>0</v>
      </c>
      <c r="AK1029" s="1743"/>
      <c r="AL1029" s="1743"/>
      <c r="AM1029" s="1743"/>
      <c r="AN1029" s="1743"/>
      <c r="AO1029" s="1743"/>
      <c r="AP1029" s="1743"/>
      <c r="AQ1029" s="1744"/>
      <c r="AR1029" s="68"/>
      <c r="AS1029" s="68"/>
      <c r="AT1029" s="68"/>
      <c r="AU1029" s="68"/>
      <c r="AV1029" s="68"/>
      <c r="AW1029" s="68"/>
      <c r="AX1029" s="3">
        <v>8</v>
      </c>
      <c r="AY1029" s="200">
        <f t="shared" si="68"/>
        <v>0</v>
      </c>
      <c r="AZ1029" s="1189">
        <v>0.01</v>
      </c>
    </row>
    <row r="1030" spans="1:52" ht="12.95" customHeight="1">
      <c r="A1030" s="14"/>
      <c r="B1030" s="81"/>
      <c r="C1030" s="84"/>
      <c r="D1030" s="1792"/>
      <c r="E1030" s="1793"/>
      <c r="F1030" s="1793"/>
      <c r="G1030" s="1793"/>
      <c r="H1030" s="1793"/>
      <c r="I1030" s="1793"/>
      <c r="J1030" s="1793"/>
      <c r="K1030" s="1793"/>
      <c r="L1030" s="1793"/>
      <c r="M1030" s="1793"/>
      <c r="N1030" s="1793"/>
      <c r="O1030" s="1793"/>
      <c r="P1030" s="1793"/>
      <c r="Q1030" s="1793"/>
      <c r="R1030" s="1793"/>
      <c r="S1030" s="1793"/>
      <c r="T1030" s="1793"/>
      <c r="U1030" s="1793"/>
      <c r="V1030" s="1793"/>
      <c r="W1030" s="1793"/>
      <c r="X1030" s="1793"/>
      <c r="Y1030" s="1793"/>
      <c r="Z1030" s="1793"/>
      <c r="AA1030" s="1793"/>
      <c r="AB1030" s="1793"/>
      <c r="AC1030" s="1793"/>
      <c r="AD1030" s="1793"/>
      <c r="AE1030" s="1794"/>
      <c r="AF1030" s="1814" t="str">
        <f>IF(AG1029="yes","Please Select Type and Enter Amount:","")</f>
        <v/>
      </c>
      <c r="AG1030" s="1815"/>
      <c r="AH1030" s="1815"/>
      <c r="AI1030" s="1816"/>
      <c r="AJ1030" s="1745"/>
      <c r="AK1030" s="1746"/>
      <c r="AL1030" s="1746"/>
      <c r="AM1030" s="1746"/>
      <c r="AN1030" s="1746"/>
      <c r="AO1030" s="1746"/>
      <c r="AP1030" s="1746"/>
      <c r="AQ1030" s="1747"/>
      <c r="AR1030" s="68"/>
      <c r="AS1030" s="68"/>
      <c r="AT1030" s="68"/>
      <c r="AU1030" s="68"/>
      <c r="AV1030" s="68"/>
      <c r="AW1030" s="68"/>
      <c r="AX1030" s="3">
        <v>9</v>
      </c>
      <c r="AY1030" s="200">
        <f t="shared" si="68"/>
        <v>0</v>
      </c>
      <c r="AZ1030" s="1189">
        <v>0.01</v>
      </c>
    </row>
    <row r="1031" spans="1:52" ht="12.95" customHeight="1">
      <c r="A1031" s="14"/>
      <c r="B1031" s="81"/>
      <c r="C1031" s="84"/>
      <c r="D1031" s="1748" t="s">
        <v>1292</v>
      </c>
      <c r="E1031" s="1749"/>
      <c r="F1031" s="1749"/>
      <c r="G1031" s="1749"/>
      <c r="H1031" s="1749"/>
      <c r="I1031" s="1749"/>
      <c r="J1031" s="1749"/>
      <c r="K1031" s="1749"/>
      <c r="L1031" s="1749"/>
      <c r="M1031" s="1749"/>
      <c r="N1031" s="1749"/>
      <c r="O1031" s="1749"/>
      <c r="P1031" s="1749"/>
      <c r="Q1031" s="1749"/>
      <c r="R1031" s="1749"/>
      <c r="S1031" s="1749"/>
      <c r="T1031" s="1749"/>
      <c r="U1031" s="1749"/>
      <c r="V1031" s="1749"/>
      <c r="W1031" s="1749"/>
      <c r="X1031" s="1749"/>
      <c r="Y1031" s="1749"/>
      <c r="Z1031" s="1749"/>
      <c r="AA1031" s="1749"/>
      <c r="AB1031" s="1749"/>
      <c r="AC1031" s="1749"/>
      <c r="AD1031" s="1749"/>
      <c r="AE1031" s="1750"/>
      <c r="AF1031" s="1814"/>
      <c r="AG1031" s="1815"/>
      <c r="AH1031" s="1815"/>
      <c r="AI1031" s="1816"/>
      <c r="AJ1031" s="1745"/>
      <c r="AK1031" s="1746"/>
      <c r="AL1031" s="1746"/>
      <c r="AM1031" s="1746"/>
      <c r="AN1031" s="1746"/>
      <c r="AO1031" s="1746"/>
      <c r="AP1031" s="1746"/>
      <c r="AQ1031" s="1747"/>
      <c r="AR1031" s="68"/>
      <c r="AS1031" s="68"/>
      <c r="AT1031" s="68"/>
      <c r="AU1031" s="68"/>
      <c r="AV1031" s="68"/>
      <c r="AW1031" s="68"/>
      <c r="AX1031" s="3">
        <v>10</v>
      </c>
      <c r="AY1031" s="200">
        <f t="shared" si="68"/>
        <v>0</v>
      </c>
      <c r="AZ1031" s="1189">
        <v>0.02</v>
      </c>
    </row>
    <row r="1032" spans="1:52" ht="12.95" customHeight="1">
      <c r="A1032" s="14"/>
      <c r="B1032" s="81"/>
      <c r="C1032" s="84"/>
      <c r="D1032" s="1748"/>
      <c r="E1032" s="1749"/>
      <c r="F1032" s="1749"/>
      <c r="G1032" s="1749"/>
      <c r="H1032" s="1749"/>
      <c r="I1032" s="1749"/>
      <c r="J1032" s="1749"/>
      <c r="K1032" s="1749"/>
      <c r="L1032" s="1749"/>
      <c r="M1032" s="1749"/>
      <c r="N1032" s="1749"/>
      <c r="O1032" s="1749"/>
      <c r="P1032" s="1749"/>
      <c r="Q1032" s="1749"/>
      <c r="R1032" s="1749"/>
      <c r="S1032" s="1749"/>
      <c r="T1032" s="1749"/>
      <c r="U1032" s="1749"/>
      <c r="V1032" s="1749"/>
      <c r="W1032" s="1749"/>
      <c r="X1032" s="1749"/>
      <c r="Y1032" s="1749"/>
      <c r="Z1032" s="1749"/>
      <c r="AA1032" s="1749"/>
      <c r="AB1032" s="1749"/>
      <c r="AC1032" s="1749"/>
      <c r="AD1032" s="1749"/>
      <c r="AE1032" s="1750"/>
      <c r="AF1032" s="1810"/>
      <c r="AG1032" s="1810"/>
      <c r="AH1032" s="1810"/>
      <c r="AI1032" s="1810"/>
      <c r="AJ1032" s="1745"/>
      <c r="AK1032" s="1746"/>
      <c r="AL1032" s="1746"/>
      <c r="AM1032" s="1746"/>
      <c r="AN1032" s="1746"/>
      <c r="AO1032" s="1746"/>
      <c r="AP1032" s="1746"/>
      <c r="AQ1032" s="1747"/>
      <c r="AR1032" s="68"/>
      <c r="AS1032" s="68"/>
      <c r="AT1032" s="68"/>
      <c r="AU1032" s="68"/>
      <c r="AV1032" s="68"/>
      <c r="AW1032" s="68"/>
      <c r="AX1032" s="3">
        <v>11</v>
      </c>
      <c r="AY1032" s="200">
        <f t="shared" si="68"/>
        <v>0</v>
      </c>
      <c r="AZ1032" s="1189">
        <v>0.02</v>
      </c>
    </row>
    <row r="1033" spans="1:52" ht="12.95" customHeight="1">
      <c r="A1033" s="14"/>
      <c r="B1033" s="81"/>
      <c r="C1033" s="84"/>
      <c r="D1033" s="526" t="s">
        <v>359</v>
      </c>
      <c r="E1033" s="90"/>
      <c r="F1033" s="90"/>
      <c r="G1033" s="104"/>
      <c r="H1033" s="104"/>
      <c r="I1033" s="49"/>
      <c r="J1033" s="1847" t="s">
        <v>591</v>
      </c>
      <c r="K1033" s="1848"/>
      <c r="L1033" s="1848"/>
      <c r="M1033" s="1848"/>
      <c r="N1033" s="1848"/>
      <c r="O1033" s="1848"/>
      <c r="P1033" s="1848"/>
      <c r="Q1033" s="1848"/>
      <c r="R1033" s="1848"/>
      <c r="S1033" s="1848"/>
      <c r="T1033" s="1848"/>
      <c r="U1033" s="1848"/>
      <c r="V1033" s="1848"/>
      <c r="W1033" s="1848"/>
      <c r="X1033" s="1848"/>
      <c r="Y1033" s="1848"/>
      <c r="Z1033" s="1848"/>
      <c r="AA1033" s="1848"/>
      <c r="AB1033" s="1848"/>
      <c r="AC1033" s="1848"/>
      <c r="AD1033" s="1848"/>
      <c r="AE1033" s="1849"/>
      <c r="AF1033" s="1810"/>
      <c r="AG1033" s="1810"/>
      <c r="AH1033" s="1810"/>
      <c r="AI1033" s="1810"/>
      <c r="AJ1033" s="1754"/>
      <c r="AK1033" s="1755"/>
      <c r="AL1033" s="1755"/>
      <c r="AM1033" s="1755"/>
      <c r="AN1033" s="1755"/>
      <c r="AO1033" s="1755"/>
      <c r="AP1033" s="1755"/>
      <c r="AQ1033" s="1756"/>
      <c r="AR1033" s="68"/>
      <c r="AS1033" s="68"/>
      <c r="AT1033" s="68"/>
      <c r="AU1033" s="68"/>
      <c r="AV1033" s="68"/>
      <c r="AW1033" s="68"/>
      <c r="AX1033" s="1027" t="s">
        <v>2533</v>
      </c>
      <c r="AY1033" s="201">
        <f>IF(SUM(AY1022:AY1032)&lt;=0.2,SUM(AY1022:AY1032),0.2)</f>
        <v>0</v>
      </c>
    </row>
    <row r="1034" spans="1:52" ht="12.95" customHeight="1">
      <c r="A1034" s="14"/>
      <c r="B1034" s="79"/>
      <c r="C1034" s="80" t="s">
        <v>229</v>
      </c>
      <c r="D1034" s="1724" t="s">
        <v>1293</v>
      </c>
      <c r="E1034" s="1725"/>
      <c r="F1034" s="1725"/>
      <c r="G1034" s="1725"/>
      <c r="H1034" s="1725"/>
      <c r="I1034" s="1725"/>
      <c r="J1034" s="1725"/>
      <c r="K1034" s="1725"/>
      <c r="L1034" s="1725"/>
      <c r="M1034" s="1725"/>
      <c r="N1034" s="1725"/>
      <c r="O1034" s="1725"/>
      <c r="P1034" s="1725"/>
      <c r="Q1034" s="1725"/>
      <c r="R1034" s="1725"/>
      <c r="S1034" s="1725"/>
      <c r="T1034" s="1725"/>
      <c r="U1034" s="1725"/>
      <c r="V1034" s="1725"/>
      <c r="W1034" s="1725"/>
      <c r="X1034" s="1725"/>
      <c r="Y1034" s="1725"/>
      <c r="Z1034" s="1725"/>
      <c r="AA1034" s="1725"/>
      <c r="AB1034" s="1725"/>
      <c r="AC1034" s="1725"/>
      <c r="AD1034" s="1725"/>
      <c r="AE1034" s="1726"/>
      <c r="AF1034" s="79"/>
      <c r="AG1034" s="1769" t="s">
        <v>669</v>
      </c>
      <c r="AH1034" s="1770"/>
      <c r="AI1034" s="87"/>
      <c r="AJ1034" s="1742">
        <f>ROUND(IF(AG1034="Yes",AF1036,0),0)</f>
        <v>0</v>
      </c>
      <c r="AK1034" s="1743"/>
      <c r="AL1034" s="1743"/>
      <c r="AM1034" s="1743"/>
      <c r="AN1034" s="1743"/>
      <c r="AO1034" s="1743"/>
      <c r="AP1034" s="1743"/>
      <c r="AQ1034" s="1744"/>
      <c r="AR1034" s="68"/>
      <c r="AS1034" s="68"/>
      <c r="AT1034" s="68"/>
      <c r="AU1034" s="68"/>
      <c r="AV1034" s="68"/>
      <c r="AW1034" s="68"/>
      <c r="AX1034" s="68"/>
      <c r="AY1034" s="68"/>
    </row>
    <row r="1035" spans="1:52" ht="12.95" customHeight="1">
      <c r="A1035" s="14"/>
      <c r="B1035" s="73"/>
      <c r="C1035" s="74"/>
      <c r="D1035" s="1748" t="s">
        <v>1679</v>
      </c>
      <c r="E1035" s="1749"/>
      <c r="F1035" s="1749"/>
      <c r="G1035" s="1749"/>
      <c r="H1035" s="1749"/>
      <c r="I1035" s="1749"/>
      <c r="J1035" s="1749"/>
      <c r="K1035" s="1749"/>
      <c r="L1035" s="1749"/>
      <c r="M1035" s="1749"/>
      <c r="N1035" s="1749"/>
      <c r="O1035" s="1749"/>
      <c r="P1035" s="1749"/>
      <c r="Q1035" s="1749"/>
      <c r="R1035" s="1749"/>
      <c r="S1035" s="1749"/>
      <c r="T1035" s="1749"/>
      <c r="U1035" s="1749"/>
      <c r="V1035" s="1749"/>
      <c r="W1035" s="1749"/>
      <c r="X1035" s="1749"/>
      <c r="Y1035" s="1749"/>
      <c r="Z1035" s="1749"/>
      <c r="AA1035" s="1749"/>
      <c r="AB1035" s="1749"/>
      <c r="AC1035" s="1749"/>
      <c r="AD1035" s="1749"/>
      <c r="AE1035" s="1750"/>
      <c r="AF1035" s="1795" t="str">
        <f>IF(AG1034="yes","Enter Amount:","")</f>
        <v/>
      </c>
      <c r="AG1035" s="1796"/>
      <c r="AH1035" s="1796"/>
      <c r="AI1035" s="1797"/>
      <c r="AJ1035" s="1745"/>
      <c r="AK1035" s="1746"/>
      <c r="AL1035" s="1746"/>
      <c r="AM1035" s="1746"/>
      <c r="AN1035" s="1746"/>
      <c r="AO1035" s="1746"/>
      <c r="AP1035" s="1746"/>
      <c r="AQ1035" s="1747"/>
      <c r="AR1035" s="68"/>
      <c r="AS1035" s="68"/>
      <c r="AT1035" s="68"/>
      <c r="AU1035" s="68"/>
      <c r="AV1035" s="68"/>
      <c r="AW1035" s="68"/>
      <c r="AX1035" s="68"/>
      <c r="AY1035" s="68"/>
    </row>
    <row r="1036" spans="1:52" ht="12.95" customHeight="1">
      <c r="A1036" s="14"/>
      <c r="B1036" s="73"/>
      <c r="C1036" s="74"/>
      <c r="D1036" s="1748"/>
      <c r="E1036" s="1749"/>
      <c r="F1036" s="1749"/>
      <c r="G1036" s="1749"/>
      <c r="H1036" s="1749"/>
      <c r="I1036" s="1749"/>
      <c r="J1036" s="1749"/>
      <c r="K1036" s="1749"/>
      <c r="L1036" s="1749"/>
      <c r="M1036" s="1749"/>
      <c r="N1036" s="1749"/>
      <c r="O1036" s="1749"/>
      <c r="P1036" s="1749"/>
      <c r="Q1036" s="1749"/>
      <c r="R1036" s="1749"/>
      <c r="S1036" s="1749"/>
      <c r="T1036" s="1749"/>
      <c r="U1036" s="1749"/>
      <c r="V1036" s="1749"/>
      <c r="W1036" s="1749"/>
      <c r="X1036" s="1749"/>
      <c r="Y1036" s="1749"/>
      <c r="Z1036" s="1749"/>
      <c r="AA1036" s="1749"/>
      <c r="AB1036" s="1749"/>
      <c r="AC1036" s="1749"/>
      <c r="AD1036" s="1749"/>
      <c r="AE1036" s="1750"/>
      <c r="AF1036" s="1810"/>
      <c r="AG1036" s="1810"/>
      <c r="AH1036" s="1810"/>
      <c r="AI1036" s="1810"/>
      <c r="AJ1036" s="1745"/>
      <c r="AK1036" s="1746"/>
      <c r="AL1036" s="1746"/>
      <c r="AM1036" s="1746"/>
      <c r="AN1036" s="1746"/>
      <c r="AO1036" s="1746"/>
      <c r="AP1036" s="1746"/>
      <c r="AQ1036" s="1747"/>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751"/>
      <c r="E1037" s="1752"/>
      <c r="F1037" s="1752"/>
      <c r="G1037" s="1752"/>
      <c r="H1037" s="1752"/>
      <c r="I1037" s="1752"/>
      <c r="J1037" s="1752"/>
      <c r="K1037" s="1752"/>
      <c r="L1037" s="1752"/>
      <c r="M1037" s="1752"/>
      <c r="N1037" s="1752"/>
      <c r="O1037" s="1752"/>
      <c r="P1037" s="1752"/>
      <c r="Q1037" s="1752"/>
      <c r="R1037" s="1752"/>
      <c r="S1037" s="1752"/>
      <c r="T1037" s="1752"/>
      <c r="U1037" s="1752"/>
      <c r="V1037" s="1752"/>
      <c r="W1037" s="1752"/>
      <c r="X1037" s="1752"/>
      <c r="Y1037" s="1752"/>
      <c r="Z1037" s="1752"/>
      <c r="AA1037" s="1752"/>
      <c r="AB1037" s="1752"/>
      <c r="AC1037" s="1752"/>
      <c r="AD1037" s="1752"/>
      <c r="AE1037" s="1753"/>
      <c r="AF1037" s="1810"/>
      <c r="AG1037" s="1810"/>
      <c r="AH1037" s="1810"/>
      <c r="AI1037" s="1810"/>
      <c r="AJ1037" s="1754"/>
      <c r="AK1037" s="1755"/>
      <c r="AL1037" s="1755"/>
      <c r="AM1037" s="1755"/>
      <c r="AN1037" s="1755"/>
      <c r="AO1037" s="1755"/>
      <c r="AP1037" s="1755"/>
      <c r="AQ1037" s="1756"/>
      <c r="AR1037" s="68"/>
      <c r="AS1037" s="68"/>
      <c r="AT1037" s="68"/>
      <c r="AU1037" s="68"/>
      <c r="AV1037" s="68"/>
      <c r="AW1037" s="68"/>
      <c r="AX1037" s="68"/>
      <c r="AY1037" s="68"/>
    </row>
    <row r="1038" spans="1:52" ht="12.95" customHeight="1">
      <c r="A1038" s="14"/>
      <c r="B1038" s="79"/>
      <c r="C1038" s="80" t="s">
        <v>234</v>
      </c>
      <c r="D1038" s="1763" t="s">
        <v>1294</v>
      </c>
      <c r="E1038" s="1764"/>
      <c r="F1038" s="1764"/>
      <c r="G1038" s="1764"/>
      <c r="H1038" s="1764"/>
      <c r="I1038" s="1764"/>
      <c r="J1038" s="1764"/>
      <c r="K1038" s="1764"/>
      <c r="L1038" s="1764"/>
      <c r="M1038" s="1764"/>
      <c r="N1038" s="1764"/>
      <c r="O1038" s="1764"/>
      <c r="P1038" s="1764"/>
      <c r="Q1038" s="1764"/>
      <c r="R1038" s="1764"/>
      <c r="S1038" s="1764"/>
      <c r="T1038" s="1764"/>
      <c r="U1038" s="1764"/>
      <c r="V1038" s="1764"/>
      <c r="W1038" s="1764"/>
      <c r="X1038" s="1764"/>
      <c r="Y1038" s="1764"/>
      <c r="Z1038" s="1764"/>
      <c r="AA1038" s="1764"/>
      <c r="AB1038" s="1764"/>
      <c r="AC1038" s="1764"/>
      <c r="AD1038" s="1764"/>
      <c r="AE1038" s="1765"/>
      <c r="AF1038" s="79"/>
      <c r="AG1038" s="1769" t="s">
        <v>669</v>
      </c>
      <c r="AH1038" s="1770"/>
      <c r="AI1038" s="87"/>
      <c r="AJ1038" s="1742">
        <f>ROUND(IF(AG1038="yes",(AJ1001*0.1),0),0)</f>
        <v>0</v>
      </c>
      <c r="AK1038" s="1743"/>
      <c r="AL1038" s="1743"/>
      <c r="AM1038" s="1743"/>
      <c r="AN1038" s="1743"/>
      <c r="AO1038" s="1743"/>
      <c r="AP1038" s="1743"/>
      <c r="AQ1038" s="1744"/>
      <c r="AR1038" s="68"/>
      <c r="AS1038" s="68"/>
      <c r="AT1038" s="68"/>
      <c r="AU1038" s="68"/>
      <c r="AV1038" s="68"/>
      <c r="AW1038" s="68"/>
      <c r="AX1038" s="68"/>
      <c r="AY1038" s="68"/>
    </row>
    <row r="1039" spans="1:52" ht="12.95" customHeight="1">
      <c r="A1039" s="14"/>
      <c r="B1039" s="73"/>
      <c r="C1039" s="74"/>
      <c r="D1039" s="1748" t="s">
        <v>1295</v>
      </c>
      <c r="E1039" s="1749"/>
      <c r="F1039" s="1749"/>
      <c r="G1039" s="1749"/>
      <c r="H1039" s="1749"/>
      <c r="I1039" s="1749"/>
      <c r="J1039" s="1749"/>
      <c r="K1039" s="1749"/>
      <c r="L1039" s="1749"/>
      <c r="M1039" s="1749"/>
      <c r="N1039" s="1749"/>
      <c r="O1039" s="1749"/>
      <c r="P1039" s="1749"/>
      <c r="Q1039" s="1749"/>
      <c r="R1039" s="1749"/>
      <c r="S1039" s="1749"/>
      <c r="T1039" s="1749"/>
      <c r="U1039" s="1749"/>
      <c r="V1039" s="1749"/>
      <c r="W1039" s="1749"/>
      <c r="X1039" s="1749"/>
      <c r="Y1039" s="1749"/>
      <c r="Z1039" s="1749"/>
      <c r="AA1039" s="1749"/>
      <c r="AB1039" s="1749"/>
      <c r="AC1039" s="1749"/>
      <c r="AD1039" s="1749"/>
      <c r="AE1039" s="1750"/>
      <c r="AF1039" s="73"/>
      <c r="AG1039" s="14"/>
      <c r="AH1039" s="14"/>
      <c r="AI1039" s="83"/>
      <c r="AJ1039" s="1745"/>
      <c r="AK1039" s="1746"/>
      <c r="AL1039" s="1746"/>
      <c r="AM1039" s="1746"/>
      <c r="AN1039" s="1746"/>
      <c r="AO1039" s="1746"/>
      <c r="AP1039" s="1746"/>
      <c r="AQ1039" s="1747"/>
      <c r="AR1039" s="68"/>
      <c r="AS1039" s="68"/>
      <c r="AT1039" s="68"/>
      <c r="AU1039" s="68"/>
      <c r="AV1039" s="68"/>
      <c r="AW1039" s="68"/>
      <c r="AX1039" s="68"/>
      <c r="AY1039" s="68"/>
    </row>
    <row r="1040" spans="1:52" ht="12.95" customHeight="1">
      <c r="A1040" s="14"/>
      <c r="B1040" s="77"/>
      <c r="C1040" s="74"/>
      <c r="D1040" s="1751"/>
      <c r="E1040" s="1752"/>
      <c r="F1040" s="1752"/>
      <c r="G1040" s="1752"/>
      <c r="H1040" s="1752"/>
      <c r="I1040" s="1752"/>
      <c r="J1040" s="1752"/>
      <c r="K1040" s="1752"/>
      <c r="L1040" s="1752"/>
      <c r="M1040" s="1752"/>
      <c r="N1040" s="1752"/>
      <c r="O1040" s="1752"/>
      <c r="P1040" s="1752"/>
      <c r="Q1040" s="1752"/>
      <c r="R1040" s="1752"/>
      <c r="S1040" s="1752"/>
      <c r="T1040" s="1752"/>
      <c r="U1040" s="1752"/>
      <c r="V1040" s="1752"/>
      <c r="W1040" s="1752"/>
      <c r="X1040" s="1752"/>
      <c r="Y1040" s="1752"/>
      <c r="Z1040" s="1752"/>
      <c r="AA1040" s="1752"/>
      <c r="AB1040" s="1752"/>
      <c r="AC1040" s="1752"/>
      <c r="AD1040" s="1752"/>
      <c r="AE1040" s="1753"/>
      <c r="AF1040" s="73"/>
      <c r="AG1040" s="14"/>
      <c r="AH1040" s="14"/>
      <c r="AI1040" s="83"/>
      <c r="AJ1040" s="1754"/>
      <c r="AK1040" s="1755"/>
      <c r="AL1040" s="1755"/>
      <c r="AM1040" s="1755"/>
      <c r="AN1040" s="1755"/>
      <c r="AO1040" s="1755"/>
      <c r="AP1040" s="1755"/>
      <c r="AQ1040" s="1756"/>
      <c r="AR1040" s="68"/>
      <c r="AS1040" s="68"/>
      <c r="AT1040" s="68"/>
      <c r="AU1040" s="68"/>
      <c r="AV1040" s="68"/>
      <c r="AW1040" s="68"/>
      <c r="AX1040" s="68"/>
      <c r="AY1040" s="68"/>
    </row>
    <row r="1041" spans="1:57" ht="12.95" customHeight="1">
      <c r="A1041" s="14"/>
      <c r="B1041" s="73"/>
      <c r="C1041" s="339" t="s">
        <v>687</v>
      </c>
      <c r="D1041" s="1724" t="s">
        <v>1675</v>
      </c>
      <c r="E1041" s="1725"/>
      <c r="F1041" s="1725"/>
      <c r="G1041" s="1725"/>
      <c r="H1041" s="1725"/>
      <c r="I1041" s="1725"/>
      <c r="J1041" s="1725"/>
      <c r="K1041" s="1725"/>
      <c r="L1041" s="1725"/>
      <c r="M1041" s="1725"/>
      <c r="N1041" s="1725"/>
      <c r="O1041" s="1725"/>
      <c r="P1041" s="1725"/>
      <c r="Q1041" s="1725"/>
      <c r="R1041" s="1725"/>
      <c r="S1041" s="1725"/>
      <c r="T1041" s="1725"/>
      <c r="U1041" s="1725"/>
      <c r="V1041" s="1725"/>
      <c r="W1041" s="1725"/>
      <c r="X1041" s="1725"/>
      <c r="Y1041" s="1725"/>
      <c r="Z1041" s="1725"/>
      <c r="AA1041" s="1725"/>
      <c r="AB1041" s="1725"/>
      <c r="AC1041" s="1725"/>
      <c r="AD1041" s="1725"/>
      <c r="AE1041" s="1726"/>
      <c r="AF1041" s="79"/>
      <c r="AG1041" s="1769" t="s">
        <v>545</v>
      </c>
      <c r="AH1041" s="1770"/>
      <c r="AI1041" s="87"/>
      <c r="AJ1041" s="1742">
        <f>ROUND(IF(AG1041="yes",(AJ1001*0.15),0),0)</f>
        <v>13150376</v>
      </c>
      <c r="AK1041" s="1743"/>
      <c r="AL1041" s="1743"/>
      <c r="AM1041" s="1743"/>
      <c r="AN1041" s="1743"/>
      <c r="AO1041" s="1743"/>
      <c r="AP1041" s="1743"/>
      <c r="AQ1041" s="1744"/>
      <c r="AR1041" s="68"/>
      <c r="AS1041" s="68"/>
      <c r="AT1041" s="68"/>
      <c r="AU1041" s="68"/>
      <c r="AV1041" s="68"/>
      <c r="AW1041" s="68"/>
      <c r="AX1041" s="68"/>
      <c r="AY1041" s="68"/>
    </row>
    <row r="1042" spans="1:57" ht="12.95" customHeight="1">
      <c r="A1042" s="14"/>
      <c r="B1042" s="73"/>
      <c r="C1042" s="74"/>
      <c r="D1042" s="1771" t="s">
        <v>1676</v>
      </c>
      <c r="E1042" s="1272"/>
      <c r="F1042" s="1272"/>
      <c r="G1042" s="1272"/>
      <c r="H1042" s="1272"/>
      <c r="I1042" s="1272"/>
      <c r="J1042" s="1272"/>
      <c r="K1042" s="1272"/>
      <c r="L1042" s="1272"/>
      <c r="M1042" s="1272"/>
      <c r="N1042" s="1272"/>
      <c r="O1042" s="1272"/>
      <c r="P1042" s="1272"/>
      <c r="Q1042" s="1272"/>
      <c r="R1042" s="1272"/>
      <c r="S1042" s="1272"/>
      <c r="T1042" s="1272"/>
      <c r="U1042" s="1272"/>
      <c r="V1042" s="1272"/>
      <c r="W1042" s="1272"/>
      <c r="X1042" s="1272"/>
      <c r="Y1042" s="1272"/>
      <c r="Z1042" s="1272"/>
      <c r="AA1042" s="1272"/>
      <c r="AB1042" s="1272"/>
      <c r="AC1042" s="1272"/>
      <c r="AD1042" s="1272"/>
      <c r="AE1042" s="1772"/>
      <c r="AF1042" s="911"/>
      <c r="AG1042" s="912"/>
      <c r="AH1042" s="912"/>
      <c r="AI1042" s="913"/>
      <c r="AJ1042" s="1745"/>
      <c r="AK1042" s="1746"/>
      <c r="AL1042" s="1746"/>
      <c r="AM1042" s="1746"/>
      <c r="AN1042" s="1746"/>
      <c r="AO1042" s="1746"/>
      <c r="AP1042" s="1746"/>
      <c r="AQ1042" s="1747"/>
      <c r="AR1042" s="68"/>
      <c r="AS1042" s="68"/>
      <c r="AT1042" s="68"/>
      <c r="AU1042" s="68"/>
      <c r="AV1042" s="68"/>
      <c r="AW1042" s="68"/>
      <c r="AX1042" s="68"/>
      <c r="AY1042" s="68"/>
    </row>
    <row r="1043" spans="1:57" ht="12.95" customHeight="1">
      <c r="A1043" s="14"/>
      <c r="B1043" s="73"/>
      <c r="C1043" s="74"/>
      <c r="D1043" s="1771"/>
      <c r="E1043" s="1272"/>
      <c r="F1043" s="1272"/>
      <c r="G1043" s="1272"/>
      <c r="H1043" s="1272"/>
      <c r="I1043" s="1272"/>
      <c r="J1043" s="1272"/>
      <c r="K1043" s="1272"/>
      <c r="L1043" s="1272"/>
      <c r="M1043" s="1272"/>
      <c r="N1043" s="1272"/>
      <c r="O1043" s="1272"/>
      <c r="P1043" s="1272"/>
      <c r="Q1043" s="1272"/>
      <c r="R1043" s="1272"/>
      <c r="S1043" s="1272"/>
      <c r="T1043" s="1272"/>
      <c r="U1043" s="1272"/>
      <c r="V1043" s="1272"/>
      <c r="W1043" s="1272"/>
      <c r="X1043" s="1272"/>
      <c r="Y1043" s="1272"/>
      <c r="Z1043" s="1272"/>
      <c r="AA1043" s="1272"/>
      <c r="AB1043" s="1272"/>
      <c r="AC1043" s="1272"/>
      <c r="AD1043" s="1272"/>
      <c r="AE1043" s="1772"/>
      <c r="AF1043" s="911"/>
      <c r="AG1043" s="912"/>
      <c r="AH1043" s="912"/>
      <c r="AI1043" s="913"/>
      <c r="AJ1043" s="1745"/>
      <c r="AK1043" s="1746"/>
      <c r="AL1043" s="1746"/>
      <c r="AM1043" s="1746"/>
      <c r="AN1043" s="1746"/>
      <c r="AO1043" s="1746"/>
      <c r="AP1043" s="1746"/>
      <c r="AQ1043" s="1747"/>
      <c r="AR1043" s="68"/>
      <c r="AS1043" s="68"/>
      <c r="AT1043" s="68"/>
      <c r="AU1043" s="68"/>
      <c r="AV1043" s="68"/>
      <c r="AW1043" s="68"/>
      <c r="AX1043" s="68"/>
      <c r="AY1043" s="68"/>
    </row>
    <row r="1044" spans="1:57" ht="12.95" customHeight="1">
      <c r="A1044" s="14"/>
      <c r="B1044" s="73"/>
      <c r="C1044" s="74"/>
      <c r="D1044" s="1773"/>
      <c r="E1044" s="1774"/>
      <c r="F1044" s="1774"/>
      <c r="G1044" s="1774"/>
      <c r="H1044" s="1774"/>
      <c r="I1044" s="1774"/>
      <c r="J1044" s="1774"/>
      <c r="K1044" s="1774"/>
      <c r="L1044" s="1774"/>
      <c r="M1044" s="1774"/>
      <c r="N1044" s="1774"/>
      <c r="O1044" s="1774"/>
      <c r="P1044" s="1774"/>
      <c r="Q1044" s="1774"/>
      <c r="R1044" s="1774"/>
      <c r="S1044" s="1774"/>
      <c r="T1044" s="1774"/>
      <c r="U1044" s="1774"/>
      <c r="V1044" s="1774"/>
      <c r="W1044" s="1774"/>
      <c r="X1044" s="1774"/>
      <c r="Y1044" s="1774"/>
      <c r="Z1044" s="1774"/>
      <c r="AA1044" s="1774"/>
      <c r="AB1044" s="1774"/>
      <c r="AC1044" s="1774"/>
      <c r="AD1044" s="1774"/>
      <c r="AE1044" s="1775"/>
      <c r="AF1044" s="914"/>
      <c r="AG1044" s="915"/>
      <c r="AH1044" s="915"/>
      <c r="AI1044" s="916"/>
      <c r="AJ1044" s="1754"/>
      <c r="AK1044" s="1755"/>
      <c r="AL1044" s="1755"/>
      <c r="AM1044" s="1755"/>
      <c r="AN1044" s="1755"/>
      <c r="AO1044" s="1755"/>
      <c r="AP1044" s="1755"/>
      <c r="AQ1044" s="1756"/>
      <c r="AR1044" s="68"/>
      <c r="AS1044" s="68"/>
      <c r="AT1044" s="68"/>
      <c r="AU1044" s="68"/>
      <c r="AV1044" s="68"/>
      <c r="AW1044" s="68"/>
      <c r="AX1044" s="68"/>
      <c r="AY1044" s="68"/>
    </row>
    <row r="1045" spans="1:57" ht="12.95" customHeight="1">
      <c r="A1045" s="14"/>
      <c r="B1045" s="73"/>
      <c r="C1045" s="339" t="s">
        <v>687</v>
      </c>
      <c r="D1045" s="1763" t="s">
        <v>1677</v>
      </c>
      <c r="E1045" s="1764"/>
      <c r="F1045" s="1764"/>
      <c r="G1045" s="1764"/>
      <c r="H1045" s="1764"/>
      <c r="I1045" s="1764"/>
      <c r="J1045" s="1764"/>
      <c r="K1045" s="1764"/>
      <c r="L1045" s="1764"/>
      <c r="M1045" s="1764"/>
      <c r="N1045" s="1764"/>
      <c r="O1045" s="1764"/>
      <c r="P1045" s="1764"/>
      <c r="Q1045" s="1764"/>
      <c r="R1045" s="1764"/>
      <c r="S1045" s="1764"/>
      <c r="T1045" s="1764"/>
      <c r="U1045" s="1764"/>
      <c r="V1045" s="1764"/>
      <c r="W1045" s="1764"/>
      <c r="X1045" s="1764"/>
      <c r="Y1045" s="1764"/>
      <c r="Z1045" s="1764"/>
      <c r="AA1045" s="1764"/>
      <c r="AB1045" s="1764"/>
      <c r="AC1045" s="1764"/>
      <c r="AD1045" s="1764"/>
      <c r="AE1045" s="1765"/>
      <c r="AF1045" s="73"/>
      <c r="AG1045" s="1778" t="s">
        <v>669</v>
      </c>
      <c r="AH1045" s="1779"/>
      <c r="AI1045" s="83"/>
      <c r="AJ1045" s="1742">
        <f>ROUND(IF(AND(AG1045="yes",AJ1041=0),(AJ1001*0.1),0),0)</f>
        <v>0</v>
      </c>
      <c r="AK1045" s="1743"/>
      <c r="AL1045" s="1743"/>
      <c r="AM1045" s="1743"/>
      <c r="AN1045" s="1743"/>
      <c r="AO1045" s="1743"/>
      <c r="AP1045" s="1743"/>
      <c r="AQ1045" s="1744"/>
      <c r="AR1045" s="68"/>
      <c r="AS1045" s="68"/>
      <c r="AT1045" s="68"/>
      <c r="AU1045" s="68"/>
      <c r="AV1045" s="68"/>
      <c r="AW1045" s="68"/>
      <c r="AX1045" s="68"/>
      <c r="AY1045" s="68"/>
    </row>
    <row r="1046" spans="1:57" ht="12.95" customHeight="1">
      <c r="A1046" s="14"/>
      <c r="B1046" s="73"/>
      <c r="C1046" s="74"/>
      <c r="D1046" s="1771" t="s">
        <v>1678</v>
      </c>
      <c r="E1046" s="1272"/>
      <c r="F1046" s="1272"/>
      <c r="G1046" s="1272"/>
      <c r="H1046" s="1272"/>
      <c r="I1046" s="1272"/>
      <c r="J1046" s="1272"/>
      <c r="K1046" s="1272"/>
      <c r="L1046" s="1272"/>
      <c r="M1046" s="1272"/>
      <c r="N1046" s="1272"/>
      <c r="O1046" s="1272"/>
      <c r="P1046" s="1272"/>
      <c r="Q1046" s="1272"/>
      <c r="R1046" s="1272"/>
      <c r="S1046" s="1272"/>
      <c r="T1046" s="1272"/>
      <c r="U1046" s="1272"/>
      <c r="V1046" s="1272"/>
      <c r="W1046" s="1272"/>
      <c r="X1046" s="1272"/>
      <c r="Y1046" s="1272"/>
      <c r="Z1046" s="1272"/>
      <c r="AA1046" s="1272"/>
      <c r="AB1046" s="1272"/>
      <c r="AC1046" s="1272"/>
      <c r="AD1046" s="1272"/>
      <c r="AE1046" s="1772"/>
      <c r="AF1046" s="73"/>
      <c r="AG1046" s="14"/>
      <c r="AH1046" s="14"/>
      <c r="AI1046" s="83"/>
      <c r="AJ1046" s="1745"/>
      <c r="AK1046" s="1746"/>
      <c r="AL1046" s="1746"/>
      <c r="AM1046" s="1746"/>
      <c r="AN1046" s="1746"/>
      <c r="AO1046" s="1746"/>
      <c r="AP1046" s="1746"/>
      <c r="AQ1046" s="1747"/>
      <c r="AR1046" s="68"/>
      <c r="AS1046" s="68"/>
      <c r="AT1046" s="68"/>
      <c r="AU1046" s="68"/>
      <c r="AV1046" s="68"/>
      <c r="AW1046" s="68"/>
      <c r="AX1046" s="68"/>
      <c r="AY1046" s="68"/>
    </row>
    <row r="1047" spans="1:57" ht="12.95" customHeight="1">
      <c r="A1047" s="14"/>
      <c r="B1047" s="73"/>
      <c r="C1047" s="74"/>
      <c r="D1047" s="1771"/>
      <c r="E1047" s="1272"/>
      <c r="F1047" s="1272"/>
      <c r="G1047" s="1272"/>
      <c r="H1047" s="1272"/>
      <c r="I1047" s="1272"/>
      <c r="J1047" s="1272"/>
      <c r="K1047" s="1272"/>
      <c r="L1047" s="1272"/>
      <c r="M1047" s="1272"/>
      <c r="N1047" s="1272"/>
      <c r="O1047" s="1272"/>
      <c r="P1047" s="1272"/>
      <c r="Q1047" s="1272"/>
      <c r="R1047" s="1272"/>
      <c r="S1047" s="1272"/>
      <c r="T1047" s="1272"/>
      <c r="U1047" s="1272"/>
      <c r="V1047" s="1272"/>
      <c r="W1047" s="1272"/>
      <c r="X1047" s="1272"/>
      <c r="Y1047" s="1272"/>
      <c r="Z1047" s="1272"/>
      <c r="AA1047" s="1272"/>
      <c r="AB1047" s="1272"/>
      <c r="AC1047" s="1272"/>
      <c r="AD1047" s="1272"/>
      <c r="AE1047" s="1772"/>
      <c r="AF1047" s="73"/>
      <c r="AG1047" s="14"/>
      <c r="AH1047" s="14"/>
      <c r="AI1047" s="83"/>
      <c r="AJ1047" s="1745"/>
      <c r="AK1047" s="1746"/>
      <c r="AL1047" s="1746"/>
      <c r="AM1047" s="1746"/>
      <c r="AN1047" s="1746"/>
      <c r="AO1047" s="1746"/>
      <c r="AP1047" s="1746"/>
      <c r="AQ1047" s="1747"/>
      <c r="AR1047" s="68"/>
      <c r="AS1047" s="68"/>
      <c r="AT1047" s="68"/>
      <c r="AU1047" s="68"/>
      <c r="AV1047" s="68"/>
      <c r="AW1047" s="68"/>
      <c r="AX1047" s="68"/>
      <c r="AY1047" s="68"/>
      <c r="BA1047" s="1176">
        <f>IFERROR(('Sources and Uses Budget'!$C$17+'Sources and Uses Budget'!$C$18+'Sources and Uses Budget'!$C$22)/$AG$446,0)</f>
        <v>0</v>
      </c>
      <c r="BB1047" s="1176" t="s">
        <v>2421</v>
      </c>
      <c r="BC1047" s="1176"/>
      <c r="BD1047" s="1176"/>
      <c r="BE1047" s="1176"/>
    </row>
    <row r="1048" spans="1:57" ht="12.95" customHeight="1">
      <c r="A1048" s="14"/>
      <c r="B1048" s="73"/>
      <c r="C1048" s="74"/>
      <c r="D1048" s="1771"/>
      <c r="E1048" s="1272"/>
      <c r="F1048" s="1272"/>
      <c r="G1048" s="1272"/>
      <c r="H1048" s="1272"/>
      <c r="I1048" s="1272"/>
      <c r="J1048" s="1272"/>
      <c r="K1048" s="1272"/>
      <c r="L1048" s="1272"/>
      <c r="M1048" s="1272"/>
      <c r="N1048" s="1272"/>
      <c r="O1048" s="1272"/>
      <c r="P1048" s="1272"/>
      <c r="Q1048" s="1272"/>
      <c r="R1048" s="1272"/>
      <c r="S1048" s="1272"/>
      <c r="T1048" s="1272"/>
      <c r="U1048" s="1272"/>
      <c r="V1048" s="1272"/>
      <c r="W1048" s="1272"/>
      <c r="X1048" s="1272"/>
      <c r="Y1048" s="1272"/>
      <c r="Z1048" s="1272"/>
      <c r="AA1048" s="1272"/>
      <c r="AB1048" s="1272"/>
      <c r="AC1048" s="1272"/>
      <c r="AD1048" s="1272"/>
      <c r="AE1048" s="1772"/>
      <c r="AF1048" s="73"/>
      <c r="AG1048" s="14"/>
      <c r="AH1048" s="14"/>
      <c r="AI1048" s="83"/>
      <c r="AJ1048" s="1745"/>
      <c r="AK1048" s="1746"/>
      <c r="AL1048" s="1746"/>
      <c r="AM1048" s="1746"/>
      <c r="AN1048" s="1746"/>
      <c r="AO1048" s="1746"/>
      <c r="AP1048" s="1746"/>
      <c r="AQ1048" s="1747"/>
      <c r="AR1048" s="68"/>
      <c r="AS1048" s="68"/>
      <c r="AT1048" s="68"/>
      <c r="AU1048" s="68"/>
      <c r="AV1048" s="68"/>
      <c r="AW1048" s="68"/>
      <c r="AX1048" s="68"/>
      <c r="AY1048" s="68"/>
      <c r="BA1048">
        <f>IFERROR((($CI$761+$CM$761)/$AG$449),0)</f>
        <v>0.20744680851063829</v>
      </c>
      <c r="BB1048" s="3" t="s">
        <v>2425</v>
      </c>
    </row>
    <row r="1049" spans="1:57" ht="12.95" customHeight="1">
      <c r="A1049" s="14"/>
      <c r="B1049" s="73"/>
      <c r="C1049" s="74"/>
      <c r="D1049" s="1773"/>
      <c r="E1049" s="1774"/>
      <c r="F1049" s="1774"/>
      <c r="G1049" s="1774"/>
      <c r="H1049" s="1774"/>
      <c r="I1049" s="1774"/>
      <c r="J1049" s="1774"/>
      <c r="K1049" s="1774"/>
      <c r="L1049" s="1774"/>
      <c r="M1049" s="1774"/>
      <c r="N1049" s="1774"/>
      <c r="O1049" s="1774"/>
      <c r="P1049" s="1774"/>
      <c r="Q1049" s="1774"/>
      <c r="R1049" s="1774"/>
      <c r="S1049" s="1774"/>
      <c r="T1049" s="1774"/>
      <c r="U1049" s="1774"/>
      <c r="V1049" s="1774"/>
      <c r="W1049" s="1774"/>
      <c r="X1049" s="1774"/>
      <c r="Y1049" s="1774"/>
      <c r="Z1049" s="1774"/>
      <c r="AA1049" s="1774"/>
      <c r="AB1049" s="1774"/>
      <c r="AC1049" s="1774"/>
      <c r="AD1049" s="1774"/>
      <c r="AE1049" s="1775"/>
      <c r="AF1049" s="73"/>
      <c r="AG1049" s="14"/>
      <c r="AH1049" s="14"/>
      <c r="AI1049" s="83"/>
      <c r="AJ1049" s="1745"/>
      <c r="AK1049" s="1746"/>
      <c r="AL1049" s="1746"/>
      <c r="AM1049" s="1746"/>
      <c r="AN1049" s="1746"/>
      <c r="AO1049" s="1746"/>
      <c r="AP1049" s="1746"/>
      <c r="AQ1049" s="1747"/>
      <c r="AR1049" s="68"/>
      <c r="AS1049" s="68"/>
      <c r="AT1049" s="68"/>
      <c r="AU1049" s="68"/>
      <c r="AV1049" s="68"/>
      <c r="AW1049" s="68"/>
      <c r="AX1049" s="68"/>
      <c r="AY1049" s="68"/>
      <c r="BA1049" t="b">
        <f>'Points System'!AJ163="Yes"</f>
        <v>0</v>
      </c>
      <c r="BB1049" s="3" t="s">
        <v>2422</v>
      </c>
    </row>
    <row r="1050" spans="1:57" ht="12.95" customHeight="1">
      <c r="A1050" s="14"/>
      <c r="B1050" s="79"/>
      <c r="C1050" s="131" t="s">
        <v>1010</v>
      </c>
      <c r="D1050" s="1724" t="s">
        <v>1296</v>
      </c>
      <c r="E1050" s="1725"/>
      <c r="F1050" s="1725"/>
      <c r="G1050" s="1725"/>
      <c r="H1050" s="1725"/>
      <c r="I1050" s="1725"/>
      <c r="J1050" s="1725"/>
      <c r="K1050" s="1725"/>
      <c r="L1050" s="1725"/>
      <c r="M1050" s="1725"/>
      <c r="N1050" s="1725"/>
      <c r="O1050" s="1725"/>
      <c r="P1050" s="1725"/>
      <c r="Q1050" s="1725"/>
      <c r="R1050" s="1725"/>
      <c r="S1050" s="1725"/>
      <c r="T1050" s="1725"/>
      <c r="U1050" s="1725"/>
      <c r="V1050" s="1725"/>
      <c r="W1050" s="1725"/>
      <c r="X1050" s="1725"/>
      <c r="Y1050" s="1725"/>
      <c r="Z1050" s="1725"/>
      <c r="AA1050" s="1725"/>
      <c r="AB1050" s="1725"/>
      <c r="AC1050" s="1725"/>
      <c r="AD1050" s="1725"/>
      <c r="AE1050" s="1726"/>
      <c r="AF1050" s="79"/>
      <c r="AG1050" s="1769" t="s">
        <v>669</v>
      </c>
      <c r="AH1050" s="1770"/>
      <c r="AI1050" s="87"/>
      <c r="AJ1050" s="1742">
        <f>ROUND(IF(AG1050="yes",(AJ1001*0.1),0),0)</f>
        <v>0</v>
      </c>
      <c r="AK1050" s="1743"/>
      <c r="AL1050" s="1743"/>
      <c r="AM1050" s="1743"/>
      <c r="AN1050" s="1743"/>
      <c r="AO1050" s="1743"/>
      <c r="AP1050" s="1743"/>
      <c r="AQ1050" s="1744"/>
      <c r="AR1050" s="68"/>
      <c r="AS1050" s="68"/>
      <c r="AT1050" s="68"/>
      <c r="AU1050" s="68"/>
      <c r="AV1050" s="68"/>
      <c r="AW1050" s="68"/>
      <c r="AX1050" s="68"/>
      <c r="AY1050" s="68"/>
      <c r="BA1050">
        <f>Q212</f>
        <v>0</v>
      </c>
      <c r="BB1050" s="3" t="s">
        <v>2423</v>
      </c>
    </row>
    <row r="1051" spans="1:57" ht="12.95" customHeight="1">
      <c r="A1051" s="14"/>
      <c r="B1051" s="73"/>
      <c r="C1051" s="74"/>
      <c r="D1051" s="1748" t="s">
        <v>2100</v>
      </c>
      <c r="E1051" s="1749"/>
      <c r="F1051" s="1749"/>
      <c r="G1051" s="1749"/>
      <c r="H1051" s="1749"/>
      <c r="I1051" s="1749"/>
      <c r="J1051" s="1749"/>
      <c r="K1051" s="1749"/>
      <c r="L1051" s="1749"/>
      <c r="M1051" s="1749"/>
      <c r="N1051" s="1749"/>
      <c r="O1051" s="1749"/>
      <c r="P1051" s="1749"/>
      <c r="Q1051" s="1749"/>
      <c r="R1051" s="1749"/>
      <c r="S1051" s="1749"/>
      <c r="T1051" s="1749"/>
      <c r="U1051" s="1749"/>
      <c r="V1051" s="1749"/>
      <c r="W1051" s="1749"/>
      <c r="X1051" s="1749"/>
      <c r="Y1051" s="1749"/>
      <c r="Z1051" s="1749"/>
      <c r="AA1051" s="1749"/>
      <c r="AB1051" s="1749"/>
      <c r="AC1051" s="1749"/>
      <c r="AD1051" s="1749"/>
      <c r="AE1051" s="1750"/>
      <c r="AF1051" s="73"/>
      <c r="AG1051" s="14"/>
      <c r="AH1051" s="14"/>
      <c r="AI1051" s="83"/>
      <c r="AJ1051" s="1745"/>
      <c r="AK1051" s="1746"/>
      <c r="AL1051" s="1746"/>
      <c r="AM1051" s="1746"/>
      <c r="AN1051" s="1746"/>
      <c r="AO1051" s="1746"/>
      <c r="AP1051" s="1746"/>
      <c r="AQ1051" s="1747"/>
      <c r="AR1051" s="68"/>
      <c r="AS1051" s="68"/>
      <c r="AT1051" s="68"/>
      <c r="AU1051" s="68"/>
      <c r="AV1051" s="68"/>
      <c r="AW1051" s="68"/>
      <c r="AX1051" s="68"/>
      <c r="AY1051" s="68"/>
      <c r="BA1051" s="1177">
        <f>T212</f>
        <v>0</v>
      </c>
      <c r="BB1051" s="3" t="s">
        <v>2424</v>
      </c>
    </row>
    <row r="1052" spans="1:57" ht="12.95" customHeight="1">
      <c r="A1052" s="14"/>
      <c r="B1052" s="73"/>
      <c r="C1052" s="74"/>
      <c r="D1052" s="1748"/>
      <c r="E1052" s="1749"/>
      <c r="F1052" s="1749"/>
      <c r="G1052" s="1749"/>
      <c r="H1052" s="1749"/>
      <c r="I1052" s="1749"/>
      <c r="J1052" s="1749"/>
      <c r="K1052" s="1749"/>
      <c r="L1052" s="1749"/>
      <c r="M1052" s="1749"/>
      <c r="N1052" s="1749"/>
      <c r="O1052" s="1749"/>
      <c r="P1052" s="1749"/>
      <c r="Q1052" s="1749"/>
      <c r="R1052" s="1749"/>
      <c r="S1052" s="1749"/>
      <c r="T1052" s="1749"/>
      <c r="U1052" s="1749"/>
      <c r="V1052" s="1749"/>
      <c r="W1052" s="1749"/>
      <c r="X1052" s="1749"/>
      <c r="Y1052" s="1749"/>
      <c r="Z1052" s="1749"/>
      <c r="AA1052" s="1749"/>
      <c r="AB1052" s="1749"/>
      <c r="AC1052" s="1749"/>
      <c r="AD1052" s="1749"/>
      <c r="AE1052" s="1750"/>
      <c r="AF1052" s="73"/>
      <c r="AG1052" s="14"/>
      <c r="AH1052" s="14"/>
      <c r="AI1052" s="83"/>
      <c r="AJ1052" s="1745"/>
      <c r="AK1052" s="1746"/>
      <c r="AL1052" s="1746"/>
      <c r="AM1052" s="1746"/>
      <c r="AN1052" s="1746"/>
      <c r="AO1052" s="1746"/>
      <c r="AP1052" s="1746"/>
      <c r="AQ1052" s="1747"/>
      <c r="AR1052" s="68"/>
      <c r="AS1052" s="68"/>
      <c r="AT1052" s="68"/>
      <c r="AU1052" s="68"/>
      <c r="AV1052" s="68"/>
      <c r="AW1052" s="68"/>
      <c r="AX1052" s="68"/>
      <c r="AY1052" s="68"/>
    </row>
    <row r="1053" spans="1:57" ht="12.95" customHeight="1">
      <c r="A1053" s="14"/>
      <c r="B1053" s="73"/>
      <c r="C1053" s="74"/>
      <c r="D1053" s="1751"/>
      <c r="E1053" s="1752"/>
      <c r="F1053" s="1752"/>
      <c r="G1053" s="1752"/>
      <c r="H1053" s="1752"/>
      <c r="I1053" s="1752"/>
      <c r="J1053" s="1752"/>
      <c r="K1053" s="1752"/>
      <c r="L1053" s="1752"/>
      <c r="M1053" s="1752"/>
      <c r="N1053" s="1752"/>
      <c r="O1053" s="1752"/>
      <c r="P1053" s="1752"/>
      <c r="Q1053" s="1752"/>
      <c r="R1053" s="1752"/>
      <c r="S1053" s="1752"/>
      <c r="T1053" s="1752"/>
      <c r="U1053" s="1752"/>
      <c r="V1053" s="1752"/>
      <c r="W1053" s="1752"/>
      <c r="X1053" s="1752"/>
      <c r="Y1053" s="1752"/>
      <c r="Z1053" s="1752"/>
      <c r="AA1053" s="1752"/>
      <c r="AB1053" s="1752"/>
      <c r="AC1053" s="1752"/>
      <c r="AD1053" s="1752"/>
      <c r="AE1053" s="1753"/>
      <c r="AF1053" s="73"/>
      <c r="AG1053" s="14"/>
      <c r="AH1053" s="14"/>
      <c r="AI1053" s="83"/>
      <c r="AJ1053" s="1754"/>
      <c r="AK1053" s="1755"/>
      <c r="AL1053" s="1755"/>
      <c r="AM1053" s="1755"/>
      <c r="AN1053" s="1755"/>
      <c r="AO1053" s="1755"/>
      <c r="AP1053" s="1755"/>
      <c r="AQ1053" s="1756"/>
      <c r="AR1053" s="68"/>
      <c r="AS1053" s="68"/>
      <c r="AT1053" s="68"/>
      <c r="AU1053" s="68"/>
      <c r="AV1053" s="68"/>
      <c r="AW1053" s="68"/>
      <c r="AX1053" s="68"/>
      <c r="AY1053" s="68"/>
    </row>
    <row r="1054" spans="1:57" ht="12.95" customHeight="1">
      <c r="A1054" s="14"/>
      <c r="B1054" s="79"/>
      <c r="C1054" s="131" t="s">
        <v>1673</v>
      </c>
      <c r="D1054" s="1763" t="s">
        <v>1839</v>
      </c>
      <c r="E1054" s="1764"/>
      <c r="F1054" s="1764"/>
      <c r="G1054" s="1764"/>
      <c r="H1054" s="1764"/>
      <c r="I1054" s="1764"/>
      <c r="J1054" s="1764"/>
      <c r="K1054" s="1764"/>
      <c r="L1054" s="1764"/>
      <c r="M1054" s="1764"/>
      <c r="N1054" s="1764"/>
      <c r="O1054" s="1764"/>
      <c r="P1054" s="1764"/>
      <c r="Q1054" s="1764"/>
      <c r="R1054" s="1764"/>
      <c r="S1054" s="1764"/>
      <c r="T1054" s="1764"/>
      <c r="U1054" s="1764"/>
      <c r="V1054" s="1764"/>
      <c r="W1054" s="1764"/>
      <c r="X1054" s="1764"/>
      <c r="Y1054" s="1764"/>
      <c r="Z1054" s="1764"/>
      <c r="AA1054" s="1764"/>
      <c r="AB1054" s="1764"/>
      <c r="AC1054" s="1764"/>
      <c r="AD1054" s="1764"/>
      <c r="AE1054" s="1765"/>
      <c r="AF1054" s="79"/>
      <c r="AG1054" s="1776" t="str">
        <f>IF(X1057&gt;0,"Yes","No")</f>
        <v>Yes</v>
      </c>
      <c r="AH1054" s="1777"/>
      <c r="AI1054" s="87"/>
      <c r="AJ1054" s="1742">
        <f>IF((X1057=0),0,AY1014*AJ1001)</f>
        <v>8766917.5999999996</v>
      </c>
      <c r="AK1054" s="1743"/>
      <c r="AL1054" s="1743"/>
      <c r="AM1054" s="1743"/>
      <c r="AN1054" s="1743"/>
      <c r="AO1054" s="1743"/>
      <c r="AP1054" s="1743"/>
      <c r="AQ1054" s="1744"/>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2410</v>
      </c>
      <c r="BB1054" s="3"/>
      <c r="BC1054" s="3"/>
      <c r="BD1054" s="3"/>
    </row>
    <row r="1055" spans="1:57" ht="12.95" customHeight="1">
      <c r="A1055" s="14"/>
      <c r="B1055" s="73"/>
      <c r="C1055" s="442"/>
      <c r="D1055" s="1748" t="s">
        <v>1298</v>
      </c>
      <c r="E1055" s="1749"/>
      <c r="F1055" s="1749"/>
      <c r="G1055" s="1749"/>
      <c r="H1055" s="1749"/>
      <c r="I1055" s="1749"/>
      <c r="J1055" s="1749"/>
      <c r="K1055" s="1749"/>
      <c r="L1055" s="1749"/>
      <c r="M1055" s="1749"/>
      <c r="N1055" s="1749"/>
      <c r="O1055" s="1749"/>
      <c r="P1055" s="1749"/>
      <c r="Q1055" s="1749"/>
      <c r="R1055" s="1749"/>
      <c r="S1055" s="1749"/>
      <c r="T1055" s="1749"/>
      <c r="U1055" s="1749"/>
      <c r="V1055" s="1749"/>
      <c r="W1055" s="1749"/>
      <c r="X1055" s="1749"/>
      <c r="Y1055" s="1749"/>
      <c r="Z1055" s="1749"/>
      <c r="AA1055" s="1749"/>
      <c r="AB1055" s="1749"/>
      <c r="AC1055" s="1749"/>
      <c r="AD1055" s="1749"/>
      <c r="AE1055" s="1750"/>
      <c r="AF1055" s="73"/>
      <c r="AG1055" s="443"/>
      <c r="AH1055" s="443"/>
      <c r="AI1055" s="83"/>
      <c r="AJ1055" s="1745"/>
      <c r="AK1055" s="1746"/>
      <c r="AL1055" s="1746"/>
      <c r="AM1055" s="1746"/>
      <c r="AN1055" s="1746"/>
      <c r="AO1055" s="1746"/>
      <c r="AP1055" s="1746"/>
      <c r="AQ1055" s="1747"/>
      <c r="AR1055" s="68"/>
      <c r="AS1055" s="68"/>
      <c r="AT1055" s="68"/>
      <c r="AU1055" s="13"/>
      <c r="AV1055" s="68"/>
      <c r="AW1055" s="68"/>
      <c r="AX1055" s="68"/>
      <c r="AY1055" s="68"/>
      <c r="AZ1055" s="958">
        <f>'Sources and Uses Budget'!S97*BA1055</f>
        <v>7193915.8499999996</v>
      </c>
      <c r="BA1055" s="1175">
        <f>IF(BA1049,20%,15%)</f>
        <v>0.15</v>
      </c>
      <c r="BB1055" s="3" t="s">
        <v>2411</v>
      </c>
      <c r="BC1055" s="3" t="s">
        <v>2412</v>
      </c>
      <c r="BD1055" s="3"/>
    </row>
    <row r="1056" spans="1:57" ht="12.95" customHeight="1">
      <c r="A1056" s="14"/>
      <c r="B1056" s="73"/>
      <c r="C1056" s="442"/>
      <c r="D1056" s="1748"/>
      <c r="E1056" s="1749"/>
      <c r="F1056" s="1749"/>
      <c r="G1056" s="1749"/>
      <c r="H1056" s="1749"/>
      <c r="I1056" s="1749"/>
      <c r="J1056" s="1749"/>
      <c r="K1056" s="1749"/>
      <c r="L1056" s="1749"/>
      <c r="M1056" s="1749"/>
      <c r="N1056" s="1749"/>
      <c r="O1056" s="1749"/>
      <c r="P1056" s="1749"/>
      <c r="Q1056" s="1749"/>
      <c r="R1056" s="1749"/>
      <c r="S1056" s="1749"/>
      <c r="T1056" s="1749"/>
      <c r="U1056" s="1749"/>
      <c r="V1056" s="1749"/>
      <c r="W1056" s="1749"/>
      <c r="X1056" s="1749"/>
      <c r="Y1056" s="1749"/>
      <c r="Z1056" s="1749"/>
      <c r="AA1056" s="1749"/>
      <c r="AB1056" s="1749"/>
      <c r="AC1056" s="1749"/>
      <c r="AD1056" s="1749"/>
      <c r="AE1056" s="1750"/>
      <c r="AF1056" s="73"/>
      <c r="AG1056" s="443"/>
      <c r="AH1056" s="443"/>
      <c r="AI1056" s="83"/>
      <c r="AJ1056" s="1745"/>
      <c r="AK1056" s="1746"/>
      <c r="AL1056" s="1746"/>
      <c r="AM1056" s="1746"/>
      <c r="AN1056" s="1746"/>
      <c r="AO1056" s="1746"/>
      <c r="AP1056" s="1746"/>
      <c r="AQ1056" s="1747"/>
      <c r="AR1056" s="68"/>
      <c r="AS1056" s="68"/>
      <c r="AT1056" s="68"/>
      <c r="AU1056" s="13"/>
      <c r="AV1056" s="68"/>
      <c r="AW1056" s="68"/>
      <c r="AX1056" s="68"/>
      <c r="AY1056" s="68"/>
      <c r="AZ1056" s="958">
        <f>IF(M365="N/A",0,'Sources and Uses Budget'!T97*BA1056)</f>
        <v>0</v>
      </c>
      <c r="BA1056" s="1175">
        <v>0.15</v>
      </c>
      <c r="BB1056" s="3" t="s">
        <v>2411</v>
      </c>
      <c r="BC1056" s="3" t="s">
        <v>2413</v>
      </c>
      <c r="BD1056" s="3"/>
    </row>
    <row r="1057" spans="1:56" ht="12.95" customHeight="1">
      <c r="A1057" s="14"/>
      <c r="B1057" s="77"/>
      <c r="C1057" s="78"/>
      <c r="D1057" s="132" t="s">
        <v>972</v>
      </c>
      <c r="E1057" s="133"/>
      <c r="F1057" s="133"/>
      <c r="G1057" s="133"/>
      <c r="H1057" s="133"/>
      <c r="I1057" s="1805">
        <f>AY1012</f>
        <v>188</v>
      </c>
      <c r="J1057" s="1806"/>
      <c r="K1057" s="7"/>
      <c r="L1057" s="133"/>
      <c r="M1057" s="133"/>
      <c r="N1057" s="133"/>
      <c r="O1057" s="133"/>
      <c r="P1057" s="133"/>
      <c r="Q1057" s="133"/>
      <c r="R1057" s="133"/>
      <c r="S1057" s="133"/>
      <c r="T1057" s="133"/>
      <c r="U1057" s="133"/>
      <c r="V1057" s="134" t="s">
        <v>973</v>
      </c>
      <c r="W1057" s="48"/>
      <c r="X1057" s="1803">
        <f>CI761</f>
        <v>19</v>
      </c>
      <c r="Y1057" s="1804"/>
      <c r="Z1057" s="48"/>
      <c r="AA1057" s="48"/>
      <c r="AB1057" s="48"/>
      <c r="AC1057" s="48"/>
      <c r="AD1057" s="48"/>
      <c r="AE1057" s="49"/>
      <c r="AF1057" s="920"/>
      <c r="AG1057" s="921"/>
      <c r="AH1057" s="921"/>
      <c r="AI1057" s="922"/>
      <c r="AJ1057" s="1754"/>
      <c r="AK1057" s="1755"/>
      <c r="AL1057" s="1755"/>
      <c r="AM1057" s="1755"/>
      <c r="AN1057" s="1755"/>
      <c r="AO1057" s="1755"/>
      <c r="AP1057" s="1755"/>
      <c r="AQ1057" s="1756"/>
      <c r="AR1057" s="68"/>
      <c r="AS1057" s="68"/>
      <c r="AT1057" s="68"/>
      <c r="AU1057" s="14"/>
      <c r="AV1057" s="68"/>
      <c r="AW1057" s="68"/>
      <c r="AX1057" s="68"/>
      <c r="AY1057" s="68"/>
      <c r="AZ1057" s="958">
        <f>IF(M367="N/A",0,'Sources and Uses Budget'!T97*BA1057)</f>
        <v>0</v>
      </c>
      <c r="BA1057" s="1175" cm="1">
        <f t="array" ref="BA1057">_xlfn.IFS(X180="Yes",5%,$BA$1047&gt;50000,15%,BA1048&gt;=30%,15%,TRUE,5%)</f>
        <v>0.05</v>
      </c>
      <c r="BB1057" s="3" t="s">
        <v>2411</v>
      </c>
      <c r="BC1057" s="3" t="s">
        <v>2414</v>
      </c>
      <c r="BD1057" s="3"/>
    </row>
    <row r="1058" spans="1:56" ht="12.95" customHeight="1">
      <c r="A1058" s="14"/>
      <c r="B1058" s="79"/>
      <c r="C1058" s="131" t="s">
        <v>1674</v>
      </c>
      <c r="D1058" s="1724" t="s">
        <v>2126</v>
      </c>
      <c r="E1058" s="1725"/>
      <c r="F1058" s="1725"/>
      <c r="G1058" s="1725"/>
      <c r="H1058" s="1725"/>
      <c r="I1058" s="1725"/>
      <c r="J1058" s="1725"/>
      <c r="K1058" s="1725"/>
      <c r="L1058" s="1725"/>
      <c r="M1058" s="1725"/>
      <c r="N1058" s="1725"/>
      <c r="O1058" s="1725"/>
      <c r="P1058" s="1725"/>
      <c r="Q1058" s="1725"/>
      <c r="R1058" s="1725"/>
      <c r="S1058" s="1725"/>
      <c r="T1058" s="1725"/>
      <c r="U1058" s="1725"/>
      <c r="V1058" s="1725"/>
      <c r="W1058" s="1725"/>
      <c r="X1058" s="1725"/>
      <c r="Y1058" s="1725"/>
      <c r="Z1058" s="1725"/>
      <c r="AA1058" s="1725"/>
      <c r="AB1058" s="1725"/>
      <c r="AC1058" s="1725"/>
      <c r="AD1058" s="1725"/>
      <c r="AE1058" s="1726"/>
      <c r="AF1058" s="73"/>
      <c r="AG1058" s="1776" t="str">
        <f>IF(X1061&gt;0,"Yes","No")</f>
        <v>Yes</v>
      </c>
      <c r="AH1058" s="1777"/>
      <c r="AI1058" s="83"/>
      <c r="AJ1058" s="1742">
        <f>IF((X1061=0),0,(2*AY1015)*AJ1001)</f>
        <v>17533835.199999999</v>
      </c>
      <c r="AK1058" s="1743"/>
      <c r="AL1058" s="1743"/>
      <c r="AM1058" s="1743"/>
      <c r="AN1058" s="1743"/>
      <c r="AO1058" s="1743"/>
      <c r="AP1058" s="1743"/>
      <c r="AQ1058" s="1744"/>
      <c r="AR1058" s="68"/>
      <c r="AS1058" s="68"/>
      <c r="AT1058" s="68"/>
      <c r="AU1058" s="14"/>
      <c r="AV1058" s="68"/>
      <c r="AW1058" s="68"/>
      <c r="AX1058" s="68"/>
      <c r="AY1058" s="68"/>
      <c r="AZ1058" s="958">
        <f>AZ1054*BA1058</f>
        <v>0</v>
      </c>
      <c r="BA1058" s="1175">
        <v>0.15</v>
      </c>
      <c r="BB1058" s="3" t="s">
        <v>2411</v>
      </c>
      <c r="BC1058" s="3" t="s">
        <v>2415</v>
      </c>
      <c r="BD1058" s="3"/>
    </row>
    <row r="1059" spans="1:56" ht="12.95" customHeight="1">
      <c r="A1059" s="14"/>
      <c r="B1059" s="73"/>
      <c r="C1059" s="442"/>
      <c r="D1059" s="1748" t="s">
        <v>1297</v>
      </c>
      <c r="E1059" s="1749"/>
      <c r="F1059" s="1749"/>
      <c r="G1059" s="1749"/>
      <c r="H1059" s="1749"/>
      <c r="I1059" s="1749"/>
      <c r="J1059" s="1749"/>
      <c r="K1059" s="1749"/>
      <c r="L1059" s="1749"/>
      <c r="M1059" s="1749"/>
      <c r="N1059" s="1749"/>
      <c r="O1059" s="1749"/>
      <c r="P1059" s="1749"/>
      <c r="Q1059" s="1749"/>
      <c r="R1059" s="1749"/>
      <c r="S1059" s="1749"/>
      <c r="T1059" s="1749"/>
      <c r="U1059" s="1749"/>
      <c r="V1059" s="1749"/>
      <c r="W1059" s="1749"/>
      <c r="X1059" s="1749"/>
      <c r="Y1059" s="1749"/>
      <c r="Z1059" s="1749"/>
      <c r="AA1059" s="1749"/>
      <c r="AB1059" s="1749"/>
      <c r="AC1059" s="1749"/>
      <c r="AD1059" s="1749"/>
      <c r="AE1059" s="1750"/>
      <c r="AF1059" s="73"/>
      <c r="AG1059" s="443"/>
      <c r="AH1059" s="443"/>
      <c r="AI1059" s="83"/>
      <c r="AJ1059" s="1745"/>
      <c r="AK1059" s="1746"/>
      <c r="AL1059" s="1746"/>
      <c r="AM1059" s="1746"/>
      <c r="AN1059" s="1746"/>
      <c r="AO1059" s="1746"/>
      <c r="AP1059" s="1746"/>
      <c r="AQ1059" s="1747"/>
      <c r="AR1059" s="68"/>
      <c r="AS1059" s="68"/>
      <c r="AT1059" s="68"/>
      <c r="AU1059" s="68"/>
      <c r="AV1059" s="68"/>
      <c r="AW1059" s="68"/>
      <c r="AX1059" s="68"/>
      <c r="AY1059" s="68"/>
      <c r="AZ1059" s="958"/>
      <c r="BA1059" s="3"/>
      <c r="BB1059" s="3"/>
      <c r="BC1059" s="3"/>
      <c r="BD1059" s="3"/>
    </row>
    <row r="1060" spans="1:56" ht="12.95" customHeight="1">
      <c r="A1060" s="14"/>
      <c r="B1060" s="73"/>
      <c r="C1060" s="83"/>
      <c r="D1060" s="1748"/>
      <c r="E1060" s="1749"/>
      <c r="F1060" s="1749"/>
      <c r="G1060" s="1749"/>
      <c r="H1060" s="1749"/>
      <c r="I1060" s="1749"/>
      <c r="J1060" s="1749"/>
      <c r="K1060" s="1749"/>
      <c r="L1060" s="1749"/>
      <c r="M1060" s="1749"/>
      <c r="N1060" s="1749"/>
      <c r="O1060" s="1749"/>
      <c r="P1060" s="1749"/>
      <c r="Q1060" s="1749"/>
      <c r="R1060" s="1749"/>
      <c r="S1060" s="1749"/>
      <c r="T1060" s="1749"/>
      <c r="U1060" s="1749"/>
      <c r="V1060" s="1749"/>
      <c r="W1060" s="1749"/>
      <c r="X1060" s="1749"/>
      <c r="Y1060" s="1749"/>
      <c r="Z1060" s="1749"/>
      <c r="AA1060" s="1749"/>
      <c r="AB1060" s="1749"/>
      <c r="AC1060" s="1749"/>
      <c r="AD1060" s="1749"/>
      <c r="AE1060" s="1750"/>
      <c r="AF1060" s="917"/>
      <c r="AG1060" s="918"/>
      <c r="AH1060" s="918"/>
      <c r="AI1060" s="919"/>
      <c r="AJ1060" s="1745"/>
      <c r="AK1060" s="1746"/>
      <c r="AL1060" s="1746"/>
      <c r="AM1060" s="1746"/>
      <c r="AN1060" s="1746"/>
      <c r="AO1060" s="1746"/>
      <c r="AP1060" s="1746"/>
      <c r="AQ1060" s="1747"/>
      <c r="AR1060" s="68"/>
      <c r="AS1060" s="68"/>
      <c r="AT1060" s="68"/>
      <c r="AU1060" s="68"/>
      <c r="AV1060" s="68"/>
      <c r="AW1060" s="68"/>
      <c r="AX1060" s="68"/>
      <c r="AY1060" s="68"/>
      <c r="AZ1060" s="958">
        <f>ROUNDDOWN(MIN(SUM(AZ1055,AZ1056,AZ1057,AZ1058),BD1060),0)</f>
        <v>2500000</v>
      </c>
      <c r="BA1060" s="3" t="s">
        <v>2416</v>
      </c>
      <c r="BB1060" s="3"/>
      <c r="BC1060" s="3"/>
      <c r="BD1060" s="3" cm="1">
        <f t="array" ref="BD1060">_xlfn.IFS(BA1049,3000000,AND(BA1050&gt;=25%,BA1051&gt;=15),2800000,TRUE,2500000)</f>
        <v>2500000</v>
      </c>
    </row>
    <row r="1061" spans="1:56" ht="12.95" customHeight="1">
      <c r="A1061" s="14"/>
      <c r="B1061" s="77"/>
      <c r="C1061" s="78"/>
      <c r="D1061" s="132" t="s">
        <v>972</v>
      </c>
      <c r="E1061" s="133"/>
      <c r="F1061" s="133"/>
      <c r="G1061" s="133"/>
      <c r="H1061" s="133"/>
      <c r="I1061" s="1805">
        <f>AY1012</f>
        <v>188</v>
      </c>
      <c r="J1061" s="1806"/>
      <c r="K1061" s="14"/>
      <c r="L1061" s="133"/>
      <c r="M1061" s="133"/>
      <c r="N1061" s="133"/>
      <c r="O1061" s="133"/>
      <c r="P1061" s="133"/>
      <c r="Q1061" s="133"/>
      <c r="R1061" s="133"/>
      <c r="S1061" s="133"/>
      <c r="T1061" s="133"/>
      <c r="U1061" s="133"/>
      <c r="V1061" s="134" t="s">
        <v>974</v>
      </c>
      <c r="X1061" s="1803">
        <f>CM761</f>
        <v>20</v>
      </c>
      <c r="Y1061" s="1804"/>
      <c r="AF1061" s="920"/>
      <c r="AG1061" s="921"/>
      <c r="AH1061" s="921"/>
      <c r="AI1061" s="922"/>
      <c r="AJ1061" s="1754"/>
      <c r="AK1061" s="1755"/>
      <c r="AL1061" s="1755"/>
      <c r="AM1061" s="1755"/>
      <c r="AN1061" s="1755"/>
      <c r="AO1061" s="1755"/>
      <c r="AP1061" s="1755"/>
      <c r="AQ1061" s="1756"/>
      <c r="AR1061" s="68"/>
      <c r="AS1061" s="68"/>
      <c r="AT1061" s="68"/>
      <c r="AU1061" s="68"/>
      <c r="AV1061" s="68"/>
      <c r="AW1061" s="68"/>
      <c r="AX1061" s="68"/>
      <c r="AY1061" s="68"/>
      <c r="AZ1061" s="958">
        <f>ROUNDDOWN(MAX(0,BA1061*(SUM(AG1102,AL1102,AZ1054)-BD1061))+BF1061,0)</f>
        <v>0</v>
      </c>
      <c r="BA1061" s="1175">
        <f>IF(L1051,7%,5%)</f>
        <v>0.05</v>
      </c>
      <c r="BB1061" s="3" t="s">
        <v>2417</v>
      </c>
      <c r="BC1061" s="3"/>
      <c r="BD1061" s="3">
        <v>6666667</v>
      </c>
    </row>
    <row r="1062" spans="1:56" ht="12.95" customHeight="1">
      <c r="A1062" s="14"/>
      <c r="B1062" s="102"/>
      <c r="C1062" s="103"/>
      <c r="D1062" s="1801" t="s">
        <v>513</v>
      </c>
      <c r="E1062" s="1801"/>
      <c r="F1062" s="1801"/>
      <c r="G1062" s="1801"/>
      <c r="H1062" s="1801"/>
      <c r="I1062" s="1801"/>
      <c r="J1062" s="1801"/>
      <c r="K1062" s="1801"/>
      <c r="L1062" s="1801"/>
      <c r="M1062" s="1801"/>
      <c r="N1062" s="1801"/>
      <c r="O1062" s="1801"/>
      <c r="P1062" s="1801"/>
      <c r="Q1062" s="1801"/>
      <c r="R1062" s="1801"/>
      <c r="S1062" s="1801"/>
      <c r="T1062" s="1801"/>
      <c r="U1062" s="1801"/>
      <c r="V1062" s="1801"/>
      <c r="W1062" s="1801"/>
      <c r="X1062" s="1801"/>
      <c r="Y1062" s="1801"/>
      <c r="Z1062" s="1801"/>
      <c r="AA1062" s="1801"/>
      <c r="AB1062" s="1801"/>
      <c r="AC1062" s="1801"/>
      <c r="AD1062" s="1801"/>
      <c r="AE1062" s="1801"/>
      <c r="AF1062" s="1801"/>
      <c r="AG1062" s="1801"/>
      <c r="AH1062" s="1801"/>
      <c r="AI1062" s="1802"/>
      <c r="AJ1062" s="1817">
        <f>SUM(AJ1001:AQ1061)</f>
        <v>127120304.8</v>
      </c>
      <c r="AK1062" s="1818"/>
      <c r="AL1062" s="1818"/>
      <c r="AM1062" s="1818"/>
      <c r="AN1062" s="1818"/>
      <c r="AO1062" s="1818"/>
      <c r="AP1062" s="1818"/>
      <c r="AQ1062" s="1819"/>
      <c r="AR1062" s="68"/>
      <c r="AS1062" s="68"/>
      <c r="AT1062" s="68"/>
      <c r="AU1062" s="68"/>
      <c r="AV1062" s="68"/>
      <c r="AW1062" s="68"/>
      <c r="AX1062" s="68"/>
      <c r="AY1062" s="68"/>
      <c r="AZ1062" s="1174">
        <v>6000000</v>
      </c>
      <c r="BA1062" s="3" t="s">
        <v>2418</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2403</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2419</v>
      </c>
      <c r="BC1064" s="3"/>
      <c r="BD1064" s="3"/>
    </row>
    <row r="1065" spans="1:56" ht="12.95" customHeight="1">
      <c r="A1065" s="14"/>
      <c r="B1065" s="68"/>
      <c r="C1065" s="68"/>
      <c r="D1065" s="68"/>
      <c r="E1065" s="68"/>
      <c r="F1065" s="68"/>
      <c r="G1065" s="1169" t="s">
        <v>2404</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348">
        <f>'Sources and Uses Budget'!S107+'Sources and Uses Budget'!T107</f>
        <v>55153354</v>
      </c>
      <c r="AB1065" s="1348"/>
      <c r="AC1065" s="1348"/>
      <c r="AD1065" s="1348"/>
      <c r="AE1065" s="1348"/>
      <c r="AF1065" s="1348"/>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7193915.8499999996</v>
      </c>
      <c r="BB1065" s="3" t="s">
        <v>2420</v>
      </c>
      <c r="BC1065" s="3"/>
      <c r="BD1065" s="3"/>
    </row>
    <row r="1066" spans="1:56" ht="12.95" customHeight="1">
      <c r="A1066" s="14"/>
      <c r="B1066" s="68"/>
      <c r="C1066" s="68"/>
      <c r="D1066" s="68"/>
      <c r="E1066" s="68"/>
      <c r="F1066" s="68"/>
      <c r="G1066" s="1169"/>
      <c r="H1066" s="1169" t="s">
        <v>2405</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349">
        <f>IFERROR((AA1065-BA1068)/(AJ1062-AJ1054-AJ1058),"")</f>
        <v>0.50049259294467008</v>
      </c>
      <c r="AB1066" s="1350"/>
      <c r="AC1066" s="1350"/>
      <c r="AD1066" s="1350"/>
      <c r="AE1066" s="1350"/>
      <c r="AF1066" s="1351"/>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352"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52"/>
      <c r="I1067" s="1352"/>
      <c r="J1067" s="1352"/>
      <c r="K1067" s="1352"/>
      <c r="L1067" s="1352"/>
      <c r="M1067" s="1352"/>
      <c r="N1067" s="1352"/>
      <c r="O1067" s="1352"/>
      <c r="P1067" s="1352"/>
      <c r="Q1067" s="1352"/>
      <c r="R1067" s="1352"/>
      <c r="S1067" s="1352"/>
      <c r="T1067" s="1352"/>
      <c r="U1067" s="1352"/>
      <c r="V1067" s="1352"/>
      <c r="W1067" s="1352"/>
      <c r="X1067" s="1352"/>
      <c r="Y1067" s="1352"/>
      <c r="Z1067" s="1352"/>
      <c r="AA1067" s="1352"/>
      <c r="AB1067" s="1352"/>
      <c r="AC1067" s="1352"/>
      <c r="AD1067" s="1352"/>
      <c r="AE1067" s="1352"/>
      <c r="AF1067" s="1352"/>
      <c r="AG1067" s="1352"/>
      <c r="AH1067" s="1352"/>
      <c r="AI1067" s="1352"/>
      <c r="AJ1067" s="1352"/>
      <c r="AK1067" s="1352"/>
      <c r="AL1067" s="1352"/>
      <c r="AM1067" s="1352"/>
      <c r="AN1067" s="1352"/>
      <c r="AO1067" s="68"/>
      <c r="AP1067" s="68"/>
      <c r="AQ1067" s="68"/>
      <c r="AR1067" s="68"/>
      <c r="AS1067" s="68"/>
      <c r="AT1067" s="68"/>
      <c r="AU1067" s="68"/>
      <c r="AV1067" s="14"/>
      <c r="AW1067" s="14"/>
      <c r="AX1067" s="14"/>
      <c r="AY1067" s="14"/>
      <c r="BA1067" s="1178">
        <f>'Sources and Uses Budget'!$S$104+'Sources and Uses Budget'!$T$104</f>
        <v>7193915</v>
      </c>
      <c r="BB1067" s="3" t="s">
        <v>2426</v>
      </c>
    </row>
    <row r="1068" spans="1:56" ht="12.95" customHeight="1">
      <c r="A1068" s="14"/>
      <c r="B1068" s="14"/>
      <c r="C1068" s="208"/>
      <c r="D1068" s="854"/>
      <c r="E1068" s="854"/>
      <c r="F1068" s="854"/>
      <c r="G1068" s="1352"/>
      <c r="H1068" s="1352"/>
      <c r="I1068" s="1352"/>
      <c r="J1068" s="1352"/>
      <c r="K1068" s="1352"/>
      <c r="L1068" s="1352"/>
      <c r="M1068" s="1352"/>
      <c r="N1068" s="1352"/>
      <c r="O1068" s="1352"/>
      <c r="P1068" s="1352"/>
      <c r="Q1068" s="1352"/>
      <c r="R1068" s="1352"/>
      <c r="S1068" s="1352"/>
      <c r="T1068" s="1352"/>
      <c r="U1068" s="1352"/>
      <c r="V1068" s="1352"/>
      <c r="W1068" s="1352"/>
      <c r="X1068" s="1352"/>
      <c r="Y1068" s="1352"/>
      <c r="Z1068" s="1352"/>
      <c r="AA1068" s="1352"/>
      <c r="AB1068" s="1352"/>
      <c r="AC1068" s="1352"/>
      <c r="AD1068" s="1352"/>
      <c r="AE1068" s="1352"/>
      <c r="AF1068" s="1352"/>
      <c r="AG1068" s="1352"/>
      <c r="AH1068" s="1352"/>
      <c r="AI1068" s="1352"/>
      <c r="AJ1068" s="1352"/>
      <c r="AK1068" s="1352"/>
      <c r="AL1068" s="1352"/>
      <c r="AM1068" s="1352"/>
      <c r="AN1068" s="1352"/>
      <c r="AO1068" s="68"/>
      <c r="AP1068" s="68"/>
      <c r="AQ1068" s="68"/>
      <c r="AR1068" s="68"/>
      <c r="AS1068" s="68"/>
      <c r="AT1068" s="68"/>
      <c r="AU1068" s="68"/>
      <c r="AV1068" s="14"/>
      <c r="AW1068" s="14"/>
      <c r="AX1068" s="14"/>
      <c r="AY1068" s="14"/>
      <c r="BA1068" s="1179">
        <f>MAX($BA$1067-$BA$1064,0)</f>
        <v>4693915</v>
      </c>
      <c r="BB1068" s="3" t="s">
        <v>2427</v>
      </c>
    </row>
    <row r="1069" spans="1:56" ht="12.95" customHeight="1">
      <c r="A1069" s="88"/>
      <c r="B1069" s="1165"/>
      <c r="C1069" s="1165"/>
      <c r="D1069" s="1165"/>
      <c r="E1069" s="1165"/>
      <c r="F1069" s="1165"/>
      <c r="G1069" s="1352"/>
      <c r="H1069" s="1352"/>
      <c r="I1069" s="1352"/>
      <c r="J1069" s="1352"/>
      <c r="K1069" s="1352"/>
      <c r="L1069" s="1352"/>
      <c r="M1069" s="1352"/>
      <c r="N1069" s="1352"/>
      <c r="O1069" s="1352"/>
      <c r="P1069" s="1352"/>
      <c r="Q1069" s="1352"/>
      <c r="R1069" s="1352"/>
      <c r="S1069" s="1352"/>
      <c r="T1069" s="1352"/>
      <c r="U1069" s="1352"/>
      <c r="V1069" s="1352"/>
      <c r="W1069" s="1352"/>
      <c r="X1069" s="1352"/>
      <c r="Y1069" s="1352"/>
      <c r="Z1069" s="1352"/>
      <c r="AA1069" s="1352"/>
      <c r="AB1069" s="1352"/>
      <c r="AC1069" s="1352"/>
      <c r="AD1069" s="1352"/>
      <c r="AE1069" s="1352"/>
      <c r="AF1069" s="1352"/>
      <c r="AG1069" s="1352"/>
      <c r="AH1069" s="1352"/>
      <c r="AI1069" s="1352"/>
      <c r="AJ1069" s="1352"/>
      <c r="AK1069" s="1352"/>
      <c r="AL1069" s="1352"/>
      <c r="AM1069" s="1352"/>
      <c r="AN1069" s="1352"/>
      <c r="AO1069" s="1165"/>
      <c r="AP1069" s="1165"/>
      <c r="AQ1069" s="68"/>
      <c r="AR1069" s="68"/>
      <c r="AS1069" s="68"/>
      <c r="AT1069" s="68"/>
      <c r="AU1069" s="68"/>
      <c r="AV1069" s="68"/>
      <c r="AW1069" s="68"/>
      <c r="AX1069" s="68"/>
      <c r="AY1069" s="68"/>
    </row>
    <row r="1070" spans="1:56" ht="12.95" customHeight="1">
      <c r="A1070" s="1827" t="s">
        <v>794</v>
      </c>
      <c r="B1070" s="1827"/>
      <c r="C1070" s="1827"/>
      <c r="D1070" s="1827"/>
      <c r="E1070" s="1827"/>
      <c r="F1070" s="1827"/>
      <c r="G1070" s="1827"/>
      <c r="H1070" s="1827"/>
      <c r="I1070" s="1827"/>
      <c r="J1070" s="1827"/>
      <c r="K1070" s="1827"/>
      <c r="L1070" s="1827"/>
      <c r="M1070" s="1827"/>
      <c r="N1070" s="1827"/>
      <c r="O1070" s="1827"/>
      <c r="P1070" s="1827"/>
      <c r="Q1070" s="1827"/>
      <c r="R1070" s="1827"/>
      <c r="S1070" s="1827"/>
      <c r="T1070" s="1827"/>
      <c r="U1070" s="1827"/>
      <c r="V1070" s="1827"/>
      <c r="W1070" s="1827"/>
      <c r="X1070" s="1827"/>
      <c r="Y1070" s="1827"/>
      <c r="Z1070" s="1827"/>
      <c r="AA1070" s="1827"/>
      <c r="AB1070" s="1827"/>
      <c r="AC1070" s="1827"/>
      <c r="AD1070" s="1827"/>
      <c r="AE1070" s="1827"/>
      <c r="AF1070" s="1827"/>
      <c r="AG1070" s="1827"/>
      <c r="AH1070" s="1827"/>
      <c r="AI1070" s="1827"/>
      <c r="AJ1070" s="1827"/>
      <c r="AK1070" s="1827"/>
      <c r="AL1070" s="1827"/>
      <c r="AM1070" s="1827"/>
      <c r="AN1070" s="1827"/>
      <c r="AO1070" s="1827"/>
      <c r="AP1070" s="1827"/>
      <c r="AQ1070" s="1827"/>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80" t="s">
        <v>591</v>
      </c>
      <c r="B1074" s="1380"/>
      <c r="C1074" s="1864">
        <v>1</v>
      </c>
      <c r="D1074" s="1864"/>
      <c r="E1074" s="14" t="s">
        <v>2192</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864"/>
      <c r="D1075" s="1864"/>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80" t="s">
        <v>591</v>
      </c>
      <c r="B1076" s="1380"/>
      <c r="C1076" s="1864">
        <v>2</v>
      </c>
      <c r="D1076" s="1864"/>
      <c r="E1076" s="1865" t="s">
        <v>2193</v>
      </c>
      <c r="F1076" s="1865"/>
      <c r="G1076" s="1865"/>
      <c r="H1076" s="1865"/>
      <c r="I1076" s="1865"/>
      <c r="J1076" s="1865"/>
      <c r="K1076" s="1865"/>
      <c r="L1076" s="1865"/>
      <c r="M1076" s="1865"/>
      <c r="N1076" s="1865"/>
      <c r="O1076" s="1865"/>
      <c r="P1076" s="1865"/>
      <c r="Q1076" s="1865"/>
      <c r="R1076" s="1865"/>
      <c r="S1076" s="1865"/>
      <c r="T1076" s="1865"/>
      <c r="U1076" s="1865"/>
      <c r="V1076" s="1865"/>
      <c r="W1076" s="1865"/>
      <c r="X1076" s="1865"/>
      <c r="Y1076" s="1865"/>
      <c r="Z1076" s="1865"/>
      <c r="AA1076" s="1865"/>
      <c r="AB1076" s="1865"/>
      <c r="AC1076" s="1865"/>
      <c r="AD1076" s="1865"/>
      <c r="AE1076" s="1865"/>
      <c r="AF1076" s="1865"/>
      <c r="AG1076" s="1865"/>
      <c r="AH1076" s="1865"/>
      <c r="AI1076" s="1865"/>
      <c r="AJ1076" s="1865"/>
      <c r="AK1076" s="1865"/>
      <c r="AL1076" s="1865"/>
      <c r="AM1076" s="1865"/>
      <c r="AN1076" s="1865"/>
      <c r="AO1076" s="1865"/>
      <c r="AP1076" s="1865"/>
      <c r="AQ1076" s="1865"/>
      <c r="AR1076" s="1865"/>
      <c r="AS1076" s="14"/>
      <c r="AT1076" s="14"/>
      <c r="AV1076" s="68"/>
      <c r="AW1076" s="68"/>
      <c r="AX1076" s="68"/>
      <c r="AY1076" s="68"/>
    </row>
    <row r="1077" spans="1:51" ht="12.95" customHeight="1">
      <c r="A1077" s="198"/>
      <c r="B1077" s="67"/>
      <c r="C1077" s="1864"/>
      <c r="D1077" s="1864"/>
      <c r="E1077" s="1865"/>
      <c r="F1077" s="1865"/>
      <c r="G1077" s="1865"/>
      <c r="H1077" s="1865"/>
      <c r="I1077" s="1865"/>
      <c r="J1077" s="1865"/>
      <c r="K1077" s="1865"/>
      <c r="L1077" s="1865"/>
      <c r="M1077" s="1865"/>
      <c r="N1077" s="1865"/>
      <c r="O1077" s="1865"/>
      <c r="P1077" s="1865"/>
      <c r="Q1077" s="1865"/>
      <c r="R1077" s="1865"/>
      <c r="S1077" s="1865"/>
      <c r="T1077" s="1865"/>
      <c r="U1077" s="1865"/>
      <c r="V1077" s="1865"/>
      <c r="W1077" s="1865"/>
      <c r="X1077" s="1865"/>
      <c r="Y1077" s="1865"/>
      <c r="Z1077" s="1865"/>
      <c r="AA1077" s="1865"/>
      <c r="AB1077" s="1865"/>
      <c r="AC1077" s="1865"/>
      <c r="AD1077" s="1865"/>
      <c r="AE1077" s="1865"/>
      <c r="AF1077" s="1865"/>
      <c r="AG1077" s="1865"/>
      <c r="AH1077" s="1865"/>
      <c r="AI1077" s="1865"/>
      <c r="AJ1077" s="1865"/>
      <c r="AK1077" s="1865"/>
      <c r="AL1077" s="1865"/>
      <c r="AM1077" s="1865"/>
      <c r="AN1077" s="1865"/>
      <c r="AO1077" s="1865"/>
      <c r="AP1077" s="1865"/>
      <c r="AQ1077" s="1865"/>
      <c r="AR1077" s="1865"/>
      <c r="AS1077" s="14"/>
      <c r="AT1077" s="14"/>
      <c r="AV1077" s="68"/>
      <c r="AW1077" s="68"/>
      <c r="AX1077" s="68"/>
      <c r="AY1077" s="68"/>
    </row>
    <row r="1078" spans="1:51" ht="12.95" customHeight="1">
      <c r="A1078" s="198"/>
      <c r="B1078" s="67"/>
      <c r="C1078" s="1864"/>
      <c r="D1078" s="1864"/>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80" t="s">
        <v>591</v>
      </c>
      <c r="B1079" s="1380"/>
      <c r="C1079" s="1448">
        <v>3</v>
      </c>
      <c r="D1079" s="1448"/>
      <c r="E1079" s="1332" t="s">
        <v>1080</v>
      </c>
      <c r="F1079" s="1332"/>
      <c r="G1079" s="1332"/>
      <c r="H1079" s="1332"/>
      <c r="I1079" s="1332"/>
      <c r="J1079" s="1332"/>
      <c r="K1079" s="1332"/>
      <c r="L1079" s="1332"/>
      <c r="M1079" s="1332"/>
      <c r="N1079" s="1332"/>
      <c r="O1079" s="1332"/>
      <c r="P1079" s="1332"/>
      <c r="Q1079" s="1332"/>
      <c r="R1079" s="1332"/>
      <c r="S1079" s="1332"/>
      <c r="T1079" s="1332"/>
      <c r="U1079" s="1332"/>
      <c r="V1079" s="1332"/>
      <c r="W1079" s="1332"/>
      <c r="X1079" s="1332"/>
      <c r="Y1079" s="1332"/>
      <c r="Z1079" s="1332"/>
      <c r="AA1079" s="1332"/>
      <c r="AB1079" s="1332"/>
      <c r="AC1079" s="1332"/>
      <c r="AD1079" s="1332"/>
      <c r="AE1079" s="1332"/>
      <c r="AF1079" s="1332"/>
      <c r="AG1079" s="1332"/>
      <c r="AH1079" s="1332"/>
      <c r="AI1079" s="1332"/>
      <c r="AJ1079" s="1332"/>
      <c r="AK1079" s="1332"/>
      <c r="AL1079" s="1332"/>
      <c r="AM1079" s="1332"/>
      <c r="AN1079" s="1332"/>
      <c r="AO1079" s="1332"/>
      <c r="AP1079" s="1332"/>
      <c r="AQ1079" s="1332"/>
      <c r="AR1079" s="1332"/>
      <c r="AS1079" s="14"/>
      <c r="AT1079" s="68"/>
      <c r="AV1079" s="68"/>
      <c r="AW1079" s="68"/>
      <c r="AX1079" s="68"/>
      <c r="AY1079" s="68"/>
    </row>
    <row r="1080" spans="1:51" ht="12.95" customHeight="1">
      <c r="A1080" s="1"/>
      <c r="B1080" s="1"/>
      <c r="C1080" s="1448"/>
      <c r="D1080" s="1448"/>
      <c r="E1080" s="1332"/>
      <c r="F1080" s="1332"/>
      <c r="G1080" s="1332"/>
      <c r="H1080" s="1332"/>
      <c r="I1080" s="1332"/>
      <c r="J1080" s="1332"/>
      <c r="K1080" s="1332"/>
      <c r="L1080" s="1332"/>
      <c r="M1080" s="1332"/>
      <c r="N1080" s="1332"/>
      <c r="O1080" s="1332"/>
      <c r="P1080" s="1332"/>
      <c r="Q1080" s="1332"/>
      <c r="R1080" s="1332"/>
      <c r="S1080" s="1332"/>
      <c r="T1080" s="1332"/>
      <c r="U1080" s="1332"/>
      <c r="V1080" s="1332"/>
      <c r="W1080" s="1332"/>
      <c r="X1080" s="1332"/>
      <c r="Y1080" s="1332"/>
      <c r="Z1080" s="1332"/>
      <c r="AA1080" s="1332"/>
      <c r="AB1080" s="1332"/>
      <c r="AC1080" s="1332"/>
      <c r="AD1080" s="1332"/>
      <c r="AE1080" s="1332"/>
      <c r="AF1080" s="1332"/>
      <c r="AG1080" s="1332"/>
      <c r="AH1080" s="1332"/>
      <c r="AI1080" s="1332"/>
      <c r="AJ1080" s="1332"/>
      <c r="AK1080" s="1332"/>
      <c r="AL1080" s="1332"/>
      <c r="AM1080" s="1332"/>
      <c r="AN1080" s="1332"/>
      <c r="AO1080" s="1332"/>
      <c r="AP1080" s="1332"/>
      <c r="AQ1080" s="1332"/>
      <c r="AR1080" s="1332"/>
      <c r="AS1080" s="14"/>
      <c r="AT1080" s="68"/>
      <c r="AV1080" s="68"/>
      <c r="AW1080" s="68"/>
      <c r="AX1080" s="68"/>
      <c r="AY1080" s="68"/>
    </row>
    <row r="1081" spans="1:51" ht="12.95" customHeight="1">
      <c r="A1081" s="1"/>
      <c r="B1081" s="1"/>
      <c r="C1081" s="1448"/>
      <c r="D1081" s="1448"/>
      <c r="E1081" s="1332"/>
      <c r="F1081" s="1332"/>
      <c r="G1081" s="1332"/>
      <c r="H1081" s="1332"/>
      <c r="I1081" s="1332"/>
      <c r="J1081" s="1332"/>
      <c r="K1081" s="1332"/>
      <c r="L1081" s="1332"/>
      <c r="M1081" s="1332"/>
      <c r="N1081" s="1332"/>
      <c r="O1081" s="1332"/>
      <c r="P1081" s="1332"/>
      <c r="Q1081" s="1332"/>
      <c r="R1081" s="1332"/>
      <c r="S1081" s="1332"/>
      <c r="T1081" s="1332"/>
      <c r="U1081" s="1332"/>
      <c r="V1081" s="1332"/>
      <c r="W1081" s="1332"/>
      <c r="X1081" s="1332"/>
      <c r="Y1081" s="1332"/>
      <c r="Z1081" s="1332"/>
      <c r="AA1081" s="1332"/>
      <c r="AB1081" s="1332"/>
      <c r="AC1081" s="1332"/>
      <c r="AD1081" s="1332"/>
      <c r="AE1081" s="1332"/>
      <c r="AF1081" s="1332"/>
      <c r="AG1081" s="1332"/>
      <c r="AH1081" s="1332"/>
      <c r="AI1081" s="1332"/>
      <c r="AJ1081" s="1332"/>
      <c r="AK1081" s="1332"/>
      <c r="AL1081" s="1332"/>
      <c r="AM1081" s="1332"/>
      <c r="AN1081" s="1332"/>
      <c r="AO1081" s="1332"/>
      <c r="AP1081" s="1332"/>
      <c r="AQ1081" s="1332"/>
      <c r="AR1081" s="1332"/>
      <c r="AS1081" s="14"/>
      <c r="AT1081" s="68"/>
      <c r="AV1081" s="68"/>
      <c r="AW1081" s="68"/>
      <c r="AX1081" s="68"/>
      <c r="AY1081" s="68"/>
    </row>
    <row r="1082" spans="1:51" ht="12.95" customHeight="1">
      <c r="A1082" s="1"/>
      <c r="B1082" s="1"/>
      <c r="C1082" s="1448"/>
      <c r="D1082" s="1448"/>
      <c r="E1082" s="1332"/>
      <c r="F1082" s="1332"/>
      <c r="G1082" s="1332"/>
      <c r="H1082" s="1332"/>
      <c r="I1082" s="1332"/>
      <c r="J1082" s="1332"/>
      <c r="K1082" s="1332"/>
      <c r="L1082" s="1332"/>
      <c r="M1082" s="1332"/>
      <c r="N1082" s="1332"/>
      <c r="O1082" s="1332"/>
      <c r="P1082" s="1332"/>
      <c r="Q1082" s="1332"/>
      <c r="R1082" s="1332"/>
      <c r="S1082" s="1332"/>
      <c r="T1082" s="1332"/>
      <c r="U1082" s="1332"/>
      <c r="V1082" s="1332"/>
      <c r="W1082" s="1332"/>
      <c r="X1082" s="1332"/>
      <c r="Y1082" s="1332"/>
      <c r="Z1082" s="1332"/>
      <c r="AA1082" s="1332"/>
      <c r="AB1082" s="1332"/>
      <c r="AC1082" s="1332"/>
      <c r="AD1082" s="1332"/>
      <c r="AE1082" s="1332"/>
      <c r="AF1082" s="1332"/>
      <c r="AG1082" s="1332"/>
      <c r="AH1082" s="1332"/>
      <c r="AI1082" s="1332"/>
      <c r="AJ1082" s="1332"/>
      <c r="AK1082" s="1332"/>
      <c r="AL1082" s="1332"/>
      <c r="AM1082" s="1332"/>
      <c r="AN1082" s="1332"/>
      <c r="AO1082" s="1332"/>
      <c r="AP1082" s="1332"/>
      <c r="AQ1082" s="1332"/>
      <c r="AR1082" s="1332"/>
      <c r="AS1082" s="14"/>
      <c r="AT1082" s="68"/>
      <c r="AV1082" s="68"/>
      <c r="AW1082" s="68"/>
      <c r="AX1082" s="68"/>
      <c r="AY1082" s="68"/>
    </row>
    <row r="1083" spans="1:51" ht="12.95" customHeight="1">
      <c r="A1083" s="2"/>
      <c r="B1083" s="25"/>
      <c r="C1083" s="1448"/>
      <c r="D1083" s="1448"/>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80" t="s">
        <v>591</v>
      </c>
      <c r="B1084" s="1380"/>
      <c r="C1084" s="1448">
        <v>4</v>
      </c>
      <c r="D1084" s="1448"/>
      <c r="E1084" s="1332" t="s">
        <v>1079</v>
      </c>
      <c r="F1084" s="1332"/>
      <c r="G1084" s="1332"/>
      <c r="H1084" s="1332"/>
      <c r="I1084" s="1332"/>
      <c r="J1084" s="1332"/>
      <c r="K1084" s="1332"/>
      <c r="L1084" s="1332"/>
      <c r="M1084" s="1332"/>
      <c r="N1084" s="1332"/>
      <c r="O1084" s="1332"/>
      <c r="P1084" s="1332"/>
      <c r="Q1084" s="1332"/>
      <c r="R1084" s="1332"/>
      <c r="S1084" s="1332"/>
      <c r="T1084" s="1332"/>
      <c r="U1084" s="1332"/>
      <c r="V1084" s="1332"/>
      <c r="W1084" s="1332"/>
      <c r="X1084" s="1332"/>
      <c r="Y1084" s="1332"/>
      <c r="Z1084" s="1332"/>
      <c r="AA1084" s="1332"/>
      <c r="AB1084" s="1332"/>
      <c r="AC1084" s="1332"/>
      <c r="AD1084" s="1332"/>
      <c r="AE1084" s="1332"/>
      <c r="AF1084" s="1332"/>
      <c r="AG1084" s="1332"/>
      <c r="AH1084" s="1332"/>
      <c r="AI1084" s="1332"/>
      <c r="AJ1084" s="1332"/>
      <c r="AK1084" s="1332"/>
      <c r="AL1084" s="1332"/>
      <c r="AM1084" s="1332"/>
      <c r="AN1084" s="1332"/>
      <c r="AO1084" s="1332"/>
      <c r="AP1084" s="1332"/>
      <c r="AQ1084" s="1332"/>
      <c r="AR1084" s="1332"/>
      <c r="AS1084" s="14"/>
      <c r="AT1084" s="68"/>
    </row>
    <row r="1085" spans="1:51" ht="12.95" customHeight="1">
      <c r="A1085" s="1"/>
      <c r="B1085" s="1"/>
      <c r="C1085" s="1448"/>
      <c r="D1085" s="1448"/>
      <c r="E1085" s="1332"/>
      <c r="F1085" s="1332"/>
      <c r="G1085" s="1332"/>
      <c r="H1085" s="1332"/>
      <c r="I1085" s="1332"/>
      <c r="J1085" s="1332"/>
      <c r="K1085" s="1332"/>
      <c r="L1085" s="1332"/>
      <c r="M1085" s="1332"/>
      <c r="N1085" s="1332"/>
      <c r="O1085" s="1332"/>
      <c r="P1085" s="1332"/>
      <c r="Q1085" s="1332"/>
      <c r="R1085" s="1332"/>
      <c r="S1085" s="1332"/>
      <c r="T1085" s="1332"/>
      <c r="U1085" s="1332"/>
      <c r="V1085" s="1332"/>
      <c r="W1085" s="1332"/>
      <c r="X1085" s="1332"/>
      <c r="Y1085" s="1332"/>
      <c r="Z1085" s="1332"/>
      <c r="AA1085" s="1332"/>
      <c r="AB1085" s="1332"/>
      <c r="AC1085" s="1332"/>
      <c r="AD1085" s="1332"/>
      <c r="AE1085" s="1332"/>
      <c r="AF1085" s="1332"/>
      <c r="AG1085" s="1332"/>
      <c r="AH1085" s="1332"/>
      <c r="AI1085" s="1332"/>
      <c r="AJ1085" s="1332"/>
      <c r="AK1085" s="1332"/>
      <c r="AL1085" s="1332"/>
      <c r="AM1085" s="1332"/>
      <c r="AN1085" s="1332"/>
      <c r="AO1085" s="1332"/>
      <c r="AP1085" s="1332"/>
      <c r="AQ1085" s="1332"/>
      <c r="AR1085" s="1332"/>
      <c r="AS1085" s="14"/>
      <c r="AT1085" s="68"/>
    </row>
    <row r="1086" spans="1:51" ht="12.95" customHeight="1">
      <c r="A1086" s="1"/>
      <c r="B1086" s="1"/>
      <c r="C1086" s="1448"/>
      <c r="D1086" s="1448"/>
      <c r="E1086" s="1332"/>
      <c r="F1086" s="1332"/>
      <c r="G1086" s="1332"/>
      <c r="H1086" s="1332"/>
      <c r="I1086" s="1332"/>
      <c r="J1086" s="1332"/>
      <c r="K1086" s="1332"/>
      <c r="L1086" s="1332"/>
      <c r="M1086" s="1332"/>
      <c r="N1086" s="1332"/>
      <c r="O1086" s="1332"/>
      <c r="P1086" s="1332"/>
      <c r="Q1086" s="1332"/>
      <c r="R1086" s="1332"/>
      <c r="S1086" s="1332"/>
      <c r="T1086" s="1332"/>
      <c r="U1086" s="1332"/>
      <c r="V1086" s="1332"/>
      <c r="W1086" s="1332"/>
      <c r="X1086" s="1332"/>
      <c r="Y1086" s="1332"/>
      <c r="Z1086" s="1332"/>
      <c r="AA1086" s="1332"/>
      <c r="AB1086" s="1332"/>
      <c r="AC1086" s="1332"/>
      <c r="AD1086" s="1332"/>
      <c r="AE1086" s="1332"/>
      <c r="AF1086" s="1332"/>
      <c r="AG1086" s="1332"/>
      <c r="AH1086" s="1332"/>
      <c r="AI1086" s="1332"/>
      <c r="AJ1086" s="1332"/>
      <c r="AK1086" s="1332"/>
      <c r="AL1086" s="1332"/>
      <c r="AM1086" s="1332"/>
      <c r="AN1086" s="1332"/>
      <c r="AO1086" s="1332"/>
      <c r="AP1086" s="1332"/>
      <c r="AQ1086" s="1332"/>
      <c r="AR1086" s="1332"/>
      <c r="AS1086" s="14"/>
      <c r="AT1086" s="68"/>
    </row>
    <row r="1087" spans="1:51" ht="12.95" customHeight="1">
      <c r="A1087" s="1"/>
      <c r="B1087" s="1"/>
      <c r="C1087" s="1448"/>
      <c r="D1087" s="1448"/>
      <c r="E1087" s="1332"/>
      <c r="F1087" s="1332"/>
      <c r="G1087" s="1332"/>
      <c r="H1087" s="1332"/>
      <c r="I1087" s="1332"/>
      <c r="J1087" s="1332"/>
      <c r="K1087" s="1332"/>
      <c r="L1087" s="1332"/>
      <c r="M1087" s="1332"/>
      <c r="N1087" s="1332"/>
      <c r="O1087" s="1332"/>
      <c r="P1087" s="1332"/>
      <c r="Q1087" s="1332"/>
      <c r="R1087" s="1332"/>
      <c r="S1087" s="1332"/>
      <c r="T1087" s="1332"/>
      <c r="U1087" s="1332"/>
      <c r="V1087" s="1332"/>
      <c r="W1087" s="1332"/>
      <c r="X1087" s="1332"/>
      <c r="Y1087" s="1332"/>
      <c r="Z1087" s="1332"/>
      <c r="AA1087" s="1332"/>
      <c r="AB1087" s="1332"/>
      <c r="AC1087" s="1332"/>
      <c r="AD1087" s="1332"/>
      <c r="AE1087" s="1332"/>
      <c r="AF1087" s="1332"/>
      <c r="AG1087" s="1332"/>
      <c r="AH1087" s="1332"/>
      <c r="AI1087" s="1332"/>
      <c r="AJ1087" s="1332"/>
      <c r="AK1087" s="1332"/>
      <c r="AL1087" s="1332"/>
      <c r="AM1087" s="1332"/>
      <c r="AN1087" s="1332"/>
      <c r="AO1087" s="1332"/>
      <c r="AP1087" s="1332"/>
      <c r="AQ1087" s="1332"/>
      <c r="AR1087" s="1332"/>
      <c r="AS1087" s="14"/>
      <c r="AT1087" s="68"/>
    </row>
    <row r="1088" spans="1:51" ht="12.95" customHeight="1">
      <c r="A1088" s="1"/>
      <c r="B1088" s="1"/>
      <c r="C1088" s="1448"/>
      <c r="D1088" s="1448"/>
      <c r="E1088" s="1332"/>
      <c r="F1088" s="1332"/>
      <c r="G1088" s="1332"/>
      <c r="H1088" s="1332"/>
      <c r="I1088" s="1332"/>
      <c r="J1088" s="1332"/>
      <c r="K1088" s="1332"/>
      <c r="L1088" s="1332"/>
      <c r="M1088" s="1332"/>
      <c r="N1088" s="1332"/>
      <c r="O1088" s="1332"/>
      <c r="P1088" s="1332"/>
      <c r="Q1088" s="1332"/>
      <c r="R1088" s="1332"/>
      <c r="S1088" s="1332"/>
      <c r="T1088" s="1332"/>
      <c r="U1088" s="1332"/>
      <c r="V1088" s="1332"/>
      <c r="W1088" s="1332"/>
      <c r="X1088" s="1332"/>
      <c r="Y1088" s="1332"/>
      <c r="Z1088" s="1332"/>
      <c r="AA1088" s="1332"/>
      <c r="AB1088" s="1332"/>
      <c r="AC1088" s="1332"/>
      <c r="AD1088" s="1332"/>
      <c r="AE1088" s="1332"/>
      <c r="AF1088" s="1332"/>
      <c r="AG1088" s="1332"/>
      <c r="AH1088" s="1332"/>
      <c r="AI1088" s="1332"/>
      <c r="AJ1088" s="1332"/>
      <c r="AK1088" s="1332"/>
      <c r="AL1088" s="1332"/>
      <c r="AM1088" s="1332"/>
      <c r="AN1088" s="1332"/>
      <c r="AO1088" s="1332"/>
      <c r="AP1088" s="1332"/>
      <c r="AQ1088" s="1332"/>
      <c r="AR1088" s="1332"/>
      <c r="AS1088" s="14"/>
      <c r="AT1088" s="68"/>
    </row>
    <row r="1089" spans="1:45" ht="12.95" customHeight="1">
      <c r="A1089" s="1"/>
      <c r="B1089" s="1"/>
      <c r="C1089" s="1448"/>
      <c r="D1089" s="1448"/>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80" t="s">
        <v>591</v>
      </c>
      <c r="B1090" s="1380"/>
      <c r="C1090" s="1448">
        <v>5</v>
      </c>
      <c r="D1090" s="1448"/>
      <c r="E1090" s="1332" t="s">
        <v>2196</v>
      </c>
      <c r="F1090" s="1332"/>
      <c r="G1090" s="1332"/>
      <c r="H1090" s="1332"/>
      <c r="I1090" s="1332"/>
      <c r="J1090" s="1332"/>
      <c r="K1090" s="1332"/>
      <c r="L1090" s="1332"/>
      <c r="M1090" s="1332"/>
      <c r="N1090" s="1332"/>
      <c r="O1090" s="1332"/>
      <c r="P1090" s="1332"/>
      <c r="Q1090" s="1332"/>
      <c r="R1090" s="1332"/>
      <c r="S1090" s="1332"/>
      <c r="T1090" s="1332"/>
      <c r="U1090" s="1332"/>
      <c r="V1090" s="1332"/>
      <c r="W1090" s="1332"/>
      <c r="X1090" s="1332"/>
      <c r="Y1090" s="1332"/>
      <c r="Z1090" s="1332"/>
      <c r="AA1090" s="1332"/>
      <c r="AB1090" s="1332"/>
      <c r="AC1090" s="1332"/>
      <c r="AD1090" s="1332"/>
      <c r="AE1090" s="1332"/>
      <c r="AF1090" s="1332"/>
      <c r="AG1090" s="1332"/>
      <c r="AH1090" s="1332"/>
      <c r="AI1090" s="1332"/>
      <c r="AJ1090" s="1332"/>
      <c r="AK1090" s="1332"/>
      <c r="AL1090" s="1332"/>
      <c r="AM1090" s="1332"/>
      <c r="AN1090" s="1332"/>
      <c r="AO1090" s="1332"/>
      <c r="AP1090" s="1332"/>
      <c r="AQ1090" s="1332"/>
      <c r="AR1090" s="1332"/>
      <c r="AS1090" s="14"/>
    </row>
    <row r="1091" spans="1:45" ht="12.95" customHeight="1">
      <c r="A1091" s="4"/>
      <c r="B1091" s="4"/>
      <c r="C1091" s="1448"/>
      <c r="D1091" s="1448"/>
      <c r="E1091" s="1332"/>
      <c r="F1091" s="1332"/>
      <c r="G1091" s="1332"/>
      <c r="H1091" s="1332"/>
      <c r="I1091" s="1332"/>
      <c r="J1091" s="1332"/>
      <c r="K1091" s="1332"/>
      <c r="L1091" s="1332"/>
      <c r="M1091" s="1332"/>
      <c r="N1091" s="1332"/>
      <c r="O1091" s="1332"/>
      <c r="P1091" s="1332"/>
      <c r="Q1091" s="1332"/>
      <c r="R1091" s="1332"/>
      <c r="S1091" s="1332"/>
      <c r="T1091" s="1332"/>
      <c r="U1091" s="1332"/>
      <c r="V1091" s="1332"/>
      <c r="W1091" s="1332"/>
      <c r="X1091" s="1332"/>
      <c r="Y1091" s="1332"/>
      <c r="Z1091" s="1332"/>
      <c r="AA1091" s="1332"/>
      <c r="AB1091" s="1332"/>
      <c r="AC1091" s="1332"/>
      <c r="AD1091" s="1332"/>
      <c r="AE1091" s="1332"/>
      <c r="AF1091" s="1332"/>
      <c r="AG1091" s="1332"/>
      <c r="AH1091" s="1332"/>
      <c r="AI1091" s="1332"/>
      <c r="AJ1091" s="1332"/>
      <c r="AK1091" s="1332"/>
      <c r="AL1091" s="1332"/>
      <c r="AM1091" s="1332"/>
      <c r="AN1091" s="1332"/>
      <c r="AO1091" s="1332"/>
      <c r="AP1091" s="1332"/>
      <c r="AQ1091" s="1332"/>
      <c r="AR1091" s="1332"/>
      <c r="AS1091" s="14"/>
    </row>
    <row r="1092" spans="1:45" ht="12.95" customHeight="1">
      <c r="A1092" s="4"/>
      <c r="B1092" s="4"/>
      <c r="C1092" s="1448"/>
      <c r="D1092" s="1448"/>
      <c r="E1092" s="1332"/>
      <c r="F1092" s="1332"/>
      <c r="G1092" s="1332"/>
      <c r="H1092" s="1332"/>
      <c r="I1092" s="1332"/>
      <c r="J1092" s="1332"/>
      <c r="K1092" s="1332"/>
      <c r="L1092" s="1332"/>
      <c r="M1092" s="1332"/>
      <c r="N1092" s="1332"/>
      <c r="O1092" s="1332"/>
      <c r="P1092" s="1332"/>
      <c r="Q1092" s="1332"/>
      <c r="R1092" s="1332"/>
      <c r="S1092" s="1332"/>
      <c r="T1092" s="1332"/>
      <c r="U1092" s="1332"/>
      <c r="V1092" s="1332"/>
      <c r="W1092" s="1332"/>
      <c r="X1092" s="1332"/>
      <c r="Y1092" s="1332"/>
      <c r="Z1092" s="1332"/>
      <c r="AA1092" s="1332"/>
      <c r="AB1092" s="1332"/>
      <c r="AC1092" s="1332"/>
      <c r="AD1092" s="1332"/>
      <c r="AE1092" s="1332"/>
      <c r="AF1092" s="1332"/>
      <c r="AG1092" s="1332"/>
      <c r="AH1092" s="1332"/>
      <c r="AI1092" s="1332"/>
      <c r="AJ1092" s="1332"/>
      <c r="AK1092" s="1332"/>
      <c r="AL1092" s="1332"/>
      <c r="AM1092" s="1332"/>
      <c r="AN1092" s="1332"/>
      <c r="AO1092" s="1332"/>
      <c r="AP1092" s="1332"/>
      <c r="AQ1092" s="1332"/>
      <c r="AR1092" s="1332"/>
      <c r="AS1092" s="14"/>
    </row>
    <row r="1093" spans="1:45" ht="12.95" customHeight="1">
      <c r="A1093" s="35"/>
      <c r="B1093" s="25"/>
      <c r="C1093" s="1448"/>
      <c r="D1093" s="1448"/>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80" t="s">
        <v>591</v>
      </c>
      <c r="B1094" s="1380"/>
      <c r="C1094" s="1448">
        <v>6</v>
      </c>
      <c r="D1094" s="1448"/>
      <c r="E1094" s="1332" t="s">
        <v>2197</v>
      </c>
      <c r="F1094" s="1332"/>
      <c r="G1094" s="1332"/>
      <c r="H1094" s="1332"/>
      <c r="I1094" s="1332"/>
      <c r="J1094" s="1332"/>
      <c r="K1094" s="1332"/>
      <c r="L1094" s="1332"/>
      <c r="M1094" s="1332"/>
      <c r="N1094" s="1332"/>
      <c r="O1094" s="1332"/>
      <c r="P1094" s="1332"/>
      <c r="Q1094" s="1332"/>
      <c r="R1094" s="1332"/>
      <c r="S1094" s="1332"/>
      <c r="T1094" s="1332"/>
      <c r="U1094" s="1332"/>
      <c r="V1094" s="1332"/>
      <c r="W1094" s="1332"/>
      <c r="X1094" s="1332"/>
      <c r="Y1094" s="1332"/>
      <c r="Z1094" s="1332"/>
      <c r="AA1094" s="1332"/>
      <c r="AB1094" s="1332"/>
      <c r="AC1094" s="1332"/>
      <c r="AD1094" s="1332"/>
      <c r="AE1094" s="1332"/>
      <c r="AF1094" s="1332"/>
      <c r="AG1094" s="1332"/>
      <c r="AH1094" s="1332"/>
      <c r="AI1094" s="1332"/>
      <c r="AJ1094" s="1332"/>
      <c r="AK1094" s="1332"/>
      <c r="AL1094" s="1332"/>
      <c r="AM1094" s="1332"/>
      <c r="AN1094" s="1332"/>
      <c r="AO1094" s="1332"/>
      <c r="AP1094" s="1332"/>
      <c r="AQ1094" s="1332"/>
      <c r="AR1094" s="1332"/>
      <c r="AS1094" s="14"/>
    </row>
    <row r="1095" spans="1:45" ht="12.95" customHeight="1">
      <c r="A1095" s="1"/>
      <c r="B1095" s="1"/>
      <c r="C1095" s="1"/>
      <c r="D1095" s="1"/>
      <c r="E1095" s="1332"/>
      <c r="F1095" s="1332"/>
      <c r="G1095" s="1332"/>
      <c r="H1095" s="1332"/>
      <c r="I1095" s="1332"/>
      <c r="J1095" s="1332"/>
      <c r="K1095" s="1332"/>
      <c r="L1095" s="1332"/>
      <c r="M1095" s="1332"/>
      <c r="N1095" s="1332"/>
      <c r="O1095" s="1332"/>
      <c r="P1095" s="1332"/>
      <c r="Q1095" s="1332"/>
      <c r="R1095" s="1332"/>
      <c r="S1095" s="1332"/>
      <c r="T1095" s="1332"/>
      <c r="U1095" s="1332"/>
      <c r="V1095" s="1332"/>
      <c r="W1095" s="1332"/>
      <c r="X1095" s="1332"/>
      <c r="Y1095" s="1332"/>
      <c r="Z1095" s="1332"/>
      <c r="AA1095" s="1332"/>
      <c r="AB1095" s="1332"/>
      <c r="AC1095" s="1332"/>
      <c r="AD1095" s="1332"/>
      <c r="AE1095" s="1332"/>
      <c r="AF1095" s="1332"/>
      <c r="AG1095" s="1332"/>
      <c r="AH1095" s="1332"/>
      <c r="AI1095" s="1332"/>
      <c r="AJ1095" s="1332"/>
      <c r="AK1095" s="1332"/>
      <c r="AL1095" s="1332"/>
      <c r="AM1095" s="1332"/>
      <c r="AN1095" s="1332"/>
      <c r="AO1095" s="1332"/>
      <c r="AP1095" s="1332"/>
      <c r="AQ1095" s="1332"/>
      <c r="AR1095" s="1332"/>
      <c r="AS1095" s="14"/>
    </row>
    <row r="1096" spans="1:45" ht="12.95" customHeight="1">
      <c r="A1096" s="1"/>
      <c r="B1096" s="1"/>
      <c r="C1096" s="1448"/>
      <c r="D1096" s="1448"/>
      <c r="E1096" s="1332"/>
      <c r="F1096" s="1332"/>
      <c r="G1096" s="1332"/>
      <c r="H1096" s="1332"/>
      <c r="I1096" s="1332"/>
      <c r="J1096" s="1332"/>
      <c r="K1096" s="1332"/>
      <c r="L1096" s="1332"/>
      <c r="M1096" s="1332"/>
      <c r="N1096" s="1332"/>
      <c r="O1096" s="1332"/>
      <c r="P1096" s="1332"/>
      <c r="Q1096" s="1332"/>
      <c r="R1096" s="1332"/>
      <c r="S1096" s="1332"/>
      <c r="T1096" s="1332"/>
      <c r="U1096" s="1332"/>
      <c r="V1096" s="1332"/>
      <c r="W1096" s="1332"/>
      <c r="X1096" s="1332"/>
      <c r="Y1096" s="1332"/>
      <c r="Z1096" s="1332"/>
      <c r="AA1096" s="1332"/>
      <c r="AB1096" s="1332"/>
      <c r="AC1096" s="1332"/>
      <c r="AD1096" s="1332"/>
      <c r="AE1096" s="1332"/>
      <c r="AF1096" s="1332"/>
      <c r="AG1096" s="1332"/>
      <c r="AH1096" s="1332"/>
      <c r="AI1096" s="1332"/>
      <c r="AJ1096" s="1332"/>
      <c r="AK1096" s="1332"/>
      <c r="AL1096" s="1332"/>
      <c r="AM1096" s="1332"/>
      <c r="AN1096" s="1332"/>
      <c r="AO1096" s="1332"/>
      <c r="AP1096" s="1332"/>
      <c r="AQ1096" s="1332"/>
      <c r="AR1096" s="1332"/>
      <c r="AS1096" s="14"/>
    </row>
    <row r="1097" spans="1:45" ht="12.95" customHeight="1">
      <c r="A1097" s="35"/>
      <c r="B1097" s="25"/>
      <c r="C1097" s="1448"/>
      <c r="D1097" s="1448"/>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80" t="s">
        <v>591</v>
      </c>
      <c r="B1098" s="1380"/>
      <c r="C1098" s="1448">
        <v>7</v>
      </c>
      <c r="D1098" s="1448"/>
      <c r="E1098" s="1332" t="s">
        <v>2095</v>
      </c>
      <c r="F1098" s="1332"/>
      <c r="G1098" s="1332"/>
      <c r="H1098" s="1332"/>
      <c r="I1098" s="1332"/>
      <c r="J1098" s="1332"/>
      <c r="K1098" s="1332"/>
      <c r="L1098" s="1332"/>
      <c r="M1098" s="1332"/>
      <c r="N1098" s="1332"/>
      <c r="O1098" s="1332"/>
      <c r="P1098" s="1332"/>
      <c r="Q1098" s="1332"/>
      <c r="R1098" s="1332"/>
      <c r="S1098" s="1332"/>
      <c r="T1098" s="1332"/>
      <c r="U1098" s="1332"/>
      <c r="V1098" s="1332"/>
      <c r="W1098" s="1332"/>
      <c r="X1098" s="1332"/>
      <c r="Y1098" s="1332"/>
      <c r="Z1098" s="1332"/>
      <c r="AA1098" s="1332"/>
      <c r="AB1098" s="1332"/>
      <c r="AC1098" s="1332"/>
      <c r="AD1098" s="1332"/>
      <c r="AE1098" s="1332"/>
      <c r="AF1098" s="1332"/>
      <c r="AG1098" s="1332"/>
      <c r="AH1098" s="1332"/>
      <c r="AI1098" s="1332"/>
      <c r="AJ1098" s="1332"/>
      <c r="AK1098" s="1332"/>
      <c r="AL1098" s="1332"/>
      <c r="AM1098" s="1332"/>
      <c r="AN1098" s="1332"/>
      <c r="AO1098" s="1332"/>
      <c r="AP1098" s="1332"/>
      <c r="AQ1098" s="1332"/>
      <c r="AR1098" s="1332"/>
      <c r="AS1098" s="14"/>
    </row>
    <row r="1099" spans="1:45" ht="12.95" customHeight="1">
      <c r="A1099" s="1"/>
      <c r="B1099" s="1"/>
      <c r="C1099" s="1448"/>
      <c r="D1099" s="1448"/>
      <c r="E1099" s="1332"/>
      <c r="F1099" s="1332"/>
      <c r="G1099" s="1332"/>
      <c r="H1099" s="1332"/>
      <c r="I1099" s="1332"/>
      <c r="J1099" s="1332"/>
      <c r="K1099" s="1332"/>
      <c r="L1099" s="1332"/>
      <c r="M1099" s="1332"/>
      <c r="N1099" s="1332"/>
      <c r="O1099" s="1332"/>
      <c r="P1099" s="1332"/>
      <c r="Q1099" s="1332"/>
      <c r="R1099" s="1332"/>
      <c r="S1099" s="1332"/>
      <c r="T1099" s="1332"/>
      <c r="U1099" s="1332"/>
      <c r="V1099" s="1332"/>
      <c r="W1099" s="1332"/>
      <c r="X1099" s="1332"/>
      <c r="Y1099" s="1332"/>
      <c r="Z1099" s="1332"/>
      <c r="AA1099" s="1332"/>
      <c r="AB1099" s="1332"/>
      <c r="AC1099" s="1332"/>
      <c r="AD1099" s="1332"/>
      <c r="AE1099" s="1332"/>
      <c r="AF1099" s="1332"/>
      <c r="AG1099" s="1332"/>
      <c r="AH1099" s="1332"/>
      <c r="AI1099" s="1332"/>
      <c r="AJ1099" s="1332"/>
      <c r="AK1099" s="1332"/>
      <c r="AL1099" s="1332"/>
      <c r="AM1099" s="1332"/>
      <c r="AN1099" s="1332"/>
      <c r="AO1099" s="1332"/>
      <c r="AP1099" s="1332"/>
      <c r="AQ1099" s="1332"/>
      <c r="AR1099" s="1332"/>
      <c r="AS1099" s="14"/>
    </row>
    <row r="1100" spans="1:45" ht="12.95" customHeight="1">
      <c r="A1100" s="1"/>
      <c r="B1100" s="1"/>
      <c r="C1100" s="1448"/>
      <c r="D1100" s="1448"/>
      <c r="E1100" s="1332"/>
      <c r="F1100" s="1332"/>
      <c r="G1100" s="1332"/>
      <c r="H1100" s="1332"/>
      <c r="I1100" s="1332"/>
      <c r="J1100" s="1332"/>
      <c r="K1100" s="1332"/>
      <c r="L1100" s="1332"/>
      <c r="M1100" s="1332"/>
      <c r="N1100" s="1332"/>
      <c r="O1100" s="1332"/>
      <c r="P1100" s="1332"/>
      <c r="Q1100" s="1332"/>
      <c r="R1100" s="1332"/>
      <c r="S1100" s="1332"/>
      <c r="T1100" s="1332"/>
      <c r="U1100" s="1332"/>
      <c r="V1100" s="1332"/>
      <c r="W1100" s="1332"/>
      <c r="X1100" s="1332"/>
      <c r="Y1100" s="1332"/>
      <c r="Z1100" s="1332"/>
      <c r="AA1100" s="1332"/>
      <c r="AB1100" s="1332"/>
      <c r="AC1100" s="1332"/>
      <c r="AD1100" s="1332"/>
      <c r="AE1100" s="1332"/>
      <c r="AF1100" s="1332"/>
      <c r="AG1100" s="1332"/>
      <c r="AH1100" s="1332"/>
      <c r="AI1100" s="1332"/>
      <c r="AJ1100" s="1332"/>
      <c r="AK1100" s="1332"/>
      <c r="AL1100" s="1332"/>
      <c r="AM1100" s="1332"/>
      <c r="AN1100" s="1332"/>
      <c r="AO1100" s="1332"/>
      <c r="AP1100" s="1332"/>
      <c r="AQ1100" s="1332"/>
      <c r="AR1100" s="1332"/>
      <c r="AS1100" s="14"/>
    </row>
    <row r="1101" spans="1:45" ht="12.95" customHeight="1">
      <c r="A1101" s="1"/>
      <c r="B1101" s="1"/>
      <c r="C1101" s="1448"/>
      <c r="D1101" s="1448"/>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448"/>
      <c r="D1102" s="1448"/>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80" t="s">
        <v>591</v>
      </c>
      <c r="B1103" s="1380"/>
      <c r="C1103" s="1448">
        <v>8</v>
      </c>
      <c r="D1103" s="1448"/>
      <c r="E1103" s="1332" t="s">
        <v>1073</v>
      </c>
      <c r="F1103" s="1332"/>
      <c r="G1103" s="1332"/>
      <c r="H1103" s="1332"/>
      <c r="I1103" s="1332"/>
      <c r="J1103" s="1332"/>
      <c r="K1103" s="1332"/>
      <c r="L1103" s="1332"/>
      <c r="M1103" s="1332"/>
      <c r="N1103" s="1332"/>
      <c r="O1103" s="1332"/>
      <c r="P1103" s="1332"/>
      <c r="Q1103" s="1332"/>
      <c r="R1103" s="1332"/>
      <c r="S1103" s="1332"/>
      <c r="T1103" s="1332"/>
      <c r="U1103" s="1332"/>
      <c r="V1103" s="1332"/>
      <c r="W1103" s="1332"/>
      <c r="X1103" s="1332"/>
      <c r="Y1103" s="1332"/>
      <c r="Z1103" s="1332"/>
      <c r="AA1103" s="1332"/>
      <c r="AB1103" s="1332"/>
      <c r="AC1103" s="1332"/>
      <c r="AD1103" s="1332"/>
      <c r="AE1103" s="1332"/>
      <c r="AF1103" s="1332"/>
      <c r="AG1103" s="1332"/>
      <c r="AH1103" s="1332"/>
      <c r="AI1103" s="1332"/>
      <c r="AJ1103" s="1332"/>
      <c r="AK1103" s="1332"/>
      <c r="AL1103" s="1332"/>
      <c r="AM1103" s="1332"/>
      <c r="AN1103" s="1332"/>
      <c r="AO1103" s="1332"/>
      <c r="AP1103" s="1332"/>
      <c r="AQ1103" s="1332"/>
      <c r="AR1103" s="1332"/>
    </row>
    <row r="1104" spans="1:45" ht="12.95" customHeight="1">
      <c r="A1104" s="35"/>
      <c r="B1104" s="25"/>
      <c r="C1104" s="1448"/>
      <c r="D1104" s="1448"/>
      <c r="E1104" s="1332"/>
      <c r="F1104" s="1332"/>
      <c r="G1104" s="1332"/>
      <c r="H1104" s="1332"/>
      <c r="I1104" s="1332"/>
      <c r="J1104" s="1332"/>
      <c r="K1104" s="1332"/>
      <c r="L1104" s="1332"/>
      <c r="M1104" s="1332"/>
      <c r="N1104" s="1332"/>
      <c r="O1104" s="1332"/>
      <c r="P1104" s="1332"/>
      <c r="Q1104" s="1332"/>
      <c r="R1104" s="1332"/>
      <c r="S1104" s="1332"/>
      <c r="T1104" s="1332"/>
      <c r="U1104" s="1332"/>
      <c r="V1104" s="1332"/>
      <c r="W1104" s="1332"/>
      <c r="X1104" s="1332"/>
      <c r="Y1104" s="1332"/>
      <c r="Z1104" s="1332"/>
      <c r="AA1104" s="1332"/>
      <c r="AB1104" s="1332"/>
      <c r="AC1104" s="1332"/>
      <c r="AD1104" s="1332"/>
      <c r="AE1104" s="1332"/>
      <c r="AF1104" s="1332"/>
      <c r="AG1104" s="1332"/>
      <c r="AH1104" s="1332"/>
      <c r="AI1104" s="1332"/>
      <c r="AJ1104" s="1332"/>
      <c r="AK1104" s="1332"/>
      <c r="AL1104" s="1332"/>
      <c r="AM1104" s="1332"/>
      <c r="AN1104" s="1332"/>
      <c r="AO1104" s="1332"/>
      <c r="AP1104" s="1332"/>
      <c r="AQ1104" s="1332"/>
      <c r="AR1104" s="1332"/>
    </row>
    <row r="1105" spans="1:44" ht="12.95" customHeight="1">
      <c r="A1105" s="35"/>
      <c r="B1105" s="25"/>
      <c r="C1105" s="1448"/>
      <c r="D1105" s="1448"/>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80" t="s">
        <v>591</v>
      </c>
      <c r="B1106" s="1380"/>
      <c r="C1106" s="1864">
        <v>9</v>
      </c>
      <c r="D1106" s="1864"/>
      <c r="E1106" s="1332" t="s">
        <v>1075</v>
      </c>
      <c r="F1106" s="1332"/>
      <c r="G1106" s="1332"/>
      <c r="H1106" s="1332"/>
      <c r="I1106" s="1332"/>
      <c r="J1106" s="1332"/>
      <c r="K1106" s="1332"/>
      <c r="L1106" s="1332"/>
      <c r="M1106" s="1332"/>
      <c r="N1106" s="1332"/>
      <c r="O1106" s="1332"/>
      <c r="P1106" s="1332"/>
      <c r="Q1106" s="1332"/>
      <c r="R1106" s="1332"/>
      <c r="S1106" s="1332"/>
      <c r="T1106" s="1332"/>
      <c r="U1106" s="1332"/>
      <c r="V1106" s="1332"/>
      <c r="W1106" s="1332"/>
      <c r="X1106" s="1332"/>
      <c r="Y1106" s="1332"/>
      <c r="Z1106" s="1332"/>
      <c r="AA1106" s="1332"/>
      <c r="AB1106" s="1332"/>
      <c r="AC1106" s="1332"/>
      <c r="AD1106" s="1332"/>
      <c r="AE1106" s="1332"/>
      <c r="AF1106" s="1332"/>
      <c r="AG1106" s="1332"/>
      <c r="AH1106" s="1332"/>
      <c r="AI1106" s="1332"/>
      <c r="AJ1106" s="1332"/>
      <c r="AK1106" s="1332"/>
      <c r="AL1106" s="1332"/>
      <c r="AM1106" s="1332"/>
      <c r="AN1106" s="1332"/>
      <c r="AO1106" s="1332"/>
      <c r="AP1106" s="1332"/>
      <c r="AQ1106" s="1332"/>
      <c r="AR1106" s="1332"/>
    </row>
    <row r="1107" spans="1:44" ht="12.95" customHeight="1">
      <c r="A1107" s="1"/>
      <c r="B1107" s="1"/>
      <c r="C1107" s="1864"/>
      <c r="D1107" s="1864"/>
      <c r="E1107" s="1332"/>
      <c r="F1107" s="1332"/>
      <c r="G1107" s="1332"/>
      <c r="H1107" s="1332"/>
      <c r="I1107" s="1332"/>
      <c r="J1107" s="1332"/>
      <c r="K1107" s="1332"/>
      <c r="L1107" s="1332"/>
      <c r="M1107" s="1332"/>
      <c r="N1107" s="1332"/>
      <c r="O1107" s="1332"/>
      <c r="P1107" s="1332"/>
      <c r="Q1107" s="1332"/>
      <c r="R1107" s="1332"/>
      <c r="S1107" s="1332"/>
      <c r="T1107" s="1332"/>
      <c r="U1107" s="1332"/>
      <c r="V1107" s="1332"/>
      <c r="W1107" s="1332"/>
      <c r="X1107" s="1332"/>
      <c r="Y1107" s="1332"/>
      <c r="Z1107" s="1332"/>
      <c r="AA1107" s="1332"/>
      <c r="AB1107" s="1332"/>
      <c r="AC1107" s="1332"/>
      <c r="AD1107" s="1332"/>
      <c r="AE1107" s="1332"/>
      <c r="AF1107" s="1332"/>
      <c r="AG1107" s="1332"/>
      <c r="AH1107" s="1332"/>
      <c r="AI1107" s="1332"/>
      <c r="AJ1107" s="1332"/>
      <c r="AK1107" s="1332"/>
      <c r="AL1107" s="1332"/>
      <c r="AM1107" s="1332"/>
      <c r="AN1107" s="1332"/>
      <c r="AO1107" s="1332"/>
      <c r="AP1107" s="1332"/>
      <c r="AQ1107" s="1332"/>
      <c r="AR1107" s="1332"/>
    </row>
    <row r="1108" spans="1:44" ht="12.95" customHeight="1">
      <c r="A1108" s="35"/>
      <c r="B1108" s="25"/>
      <c r="C1108" s="1864"/>
      <c r="D1108" s="1864"/>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80" t="s">
        <v>591</v>
      </c>
      <c r="B1109" s="1380"/>
      <c r="C1109" s="1864">
        <v>10</v>
      </c>
      <c r="D1109" s="1864"/>
      <c r="E1109" s="1334" t="s">
        <v>2194</v>
      </c>
      <c r="F1109" s="1334"/>
      <c r="G1109" s="1334"/>
      <c r="H1109" s="1334"/>
      <c r="I1109" s="1334"/>
      <c r="J1109" s="1334"/>
      <c r="K1109" s="1334"/>
      <c r="L1109" s="1334"/>
      <c r="M1109" s="1334"/>
      <c r="N1109" s="1334"/>
      <c r="O1109" s="1334"/>
      <c r="P1109" s="1334"/>
      <c r="Q1109" s="1334"/>
      <c r="R1109" s="1334"/>
      <c r="S1109" s="1334"/>
      <c r="T1109" s="1334"/>
      <c r="U1109" s="1334"/>
      <c r="V1109" s="1334"/>
      <c r="W1109" s="1334"/>
      <c r="X1109" s="1334"/>
      <c r="Y1109" s="1334"/>
      <c r="Z1109" s="1334"/>
      <c r="AA1109" s="1334"/>
      <c r="AB1109" s="1334"/>
      <c r="AC1109" s="1334"/>
      <c r="AD1109" s="1334"/>
      <c r="AE1109" s="1334"/>
      <c r="AF1109" s="1334"/>
      <c r="AG1109" s="1334"/>
      <c r="AH1109" s="1334"/>
      <c r="AI1109" s="1334"/>
      <c r="AJ1109" s="1334"/>
      <c r="AK1109" s="1334"/>
      <c r="AL1109" s="1334"/>
      <c r="AM1109" s="1334"/>
      <c r="AN1109" s="1334"/>
      <c r="AO1109" s="1334"/>
      <c r="AP1109" s="1334"/>
      <c r="AQ1109" s="1334"/>
      <c r="AR1109" s="1334"/>
    </row>
    <row r="1110" spans="1:44" ht="12.95" customHeight="1">
      <c r="A1110" s="1"/>
      <c r="B1110" s="1"/>
      <c r="C1110" s="199"/>
      <c r="D1110" s="1154"/>
      <c r="E1110" s="1334"/>
      <c r="F1110" s="1334"/>
      <c r="G1110" s="1334"/>
      <c r="H1110" s="1334"/>
      <c r="I1110" s="1334"/>
      <c r="J1110" s="1334"/>
      <c r="K1110" s="1334"/>
      <c r="L1110" s="1334"/>
      <c r="M1110" s="1334"/>
      <c r="N1110" s="1334"/>
      <c r="O1110" s="1334"/>
      <c r="P1110" s="1334"/>
      <c r="Q1110" s="1334"/>
      <c r="R1110" s="1334"/>
      <c r="S1110" s="1334"/>
      <c r="T1110" s="1334"/>
      <c r="U1110" s="1334"/>
      <c r="V1110" s="1334"/>
      <c r="W1110" s="1334"/>
      <c r="X1110" s="1334"/>
      <c r="Y1110" s="1334"/>
      <c r="Z1110" s="1334"/>
      <c r="AA1110" s="1334"/>
      <c r="AB1110" s="1334"/>
      <c r="AC1110" s="1334"/>
      <c r="AD1110" s="1334"/>
      <c r="AE1110" s="1334"/>
      <c r="AF1110" s="1334"/>
      <c r="AG1110" s="1334"/>
      <c r="AH1110" s="1334"/>
      <c r="AI1110" s="1334"/>
      <c r="AJ1110" s="1334"/>
      <c r="AK1110" s="1334"/>
      <c r="AL1110" s="1334"/>
      <c r="AM1110" s="1334"/>
      <c r="AN1110" s="1334"/>
      <c r="AO1110" s="1334"/>
      <c r="AP1110" s="1334"/>
      <c r="AQ1110" s="1334"/>
      <c r="AR1110" s="1334"/>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80" t="s">
        <v>591</v>
      </c>
      <c r="B1112" s="1380"/>
      <c r="C1112" s="1864">
        <v>11</v>
      </c>
      <c r="D1112" s="1864"/>
      <c r="E1112" s="1334" t="s">
        <v>2195</v>
      </c>
      <c r="F1112" s="1334"/>
      <c r="G1112" s="1334"/>
      <c r="H1112" s="1334"/>
      <c r="I1112" s="1334"/>
      <c r="J1112" s="1334"/>
      <c r="K1112" s="1334"/>
      <c r="L1112" s="1334"/>
      <c r="M1112" s="1334"/>
      <c r="N1112" s="1334"/>
      <c r="O1112" s="1334"/>
      <c r="P1112" s="1334"/>
      <c r="Q1112" s="1334"/>
      <c r="R1112" s="1334"/>
      <c r="S1112" s="1334"/>
      <c r="T1112" s="1334"/>
      <c r="U1112" s="1334"/>
      <c r="V1112" s="1334"/>
      <c r="W1112" s="1334"/>
      <c r="X1112" s="1334"/>
      <c r="Y1112" s="1334"/>
      <c r="Z1112" s="1334"/>
      <c r="AA1112" s="1334"/>
      <c r="AB1112" s="1334"/>
      <c r="AC1112" s="1334"/>
      <c r="AD1112" s="1334"/>
      <c r="AE1112" s="1334"/>
      <c r="AF1112" s="1334"/>
      <c r="AG1112" s="1334"/>
      <c r="AH1112" s="1334"/>
      <c r="AI1112" s="1334"/>
      <c r="AJ1112" s="1334"/>
      <c r="AK1112" s="1334"/>
      <c r="AL1112" s="1334"/>
      <c r="AM1112" s="1334"/>
      <c r="AN1112" s="1334"/>
      <c r="AO1112" s="1334"/>
      <c r="AP1112" s="1334"/>
      <c r="AQ1112" s="1334"/>
      <c r="AR1112" s="1334"/>
    </row>
    <row r="1113" spans="1:44" ht="12.95" customHeight="1">
      <c r="A1113" s="1"/>
      <c r="B1113" s="1"/>
      <c r="C1113" s="199"/>
      <c r="D1113" s="1154"/>
      <c r="E1113" s="1334"/>
      <c r="F1113" s="1334"/>
      <c r="G1113" s="1334"/>
      <c r="H1113" s="1334"/>
      <c r="I1113" s="1334"/>
      <c r="J1113" s="1334"/>
      <c r="K1113" s="1334"/>
      <c r="L1113" s="1334"/>
      <c r="M1113" s="1334"/>
      <c r="N1113" s="1334"/>
      <c r="O1113" s="1334"/>
      <c r="P1113" s="1334"/>
      <c r="Q1113" s="1334"/>
      <c r="R1113" s="1334"/>
      <c r="S1113" s="1334"/>
      <c r="T1113" s="1334"/>
      <c r="U1113" s="1334"/>
      <c r="V1113" s="1334"/>
      <c r="W1113" s="1334"/>
      <c r="X1113" s="1334"/>
      <c r="Y1113" s="1334"/>
      <c r="Z1113" s="1334"/>
      <c r="AA1113" s="1334"/>
      <c r="AB1113" s="1334"/>
      <c r="AC1113" s="1334"/>
      <c r="AD1113" s="1334"/>
      <c r="AE1113" s="1334"/>
      <c r="AF1113" s="1334"/>
      <c r="AG1113" s="1334"/>
      <c r="AH1113" s="1334"/>
      <c r="AI1113" s="1334"/>
      <c r="AJ1113" s="1334"/>
      <c r="AK1113" s="1334"/>
      <c r="AL1113" s="1334"/>
      <c r="AM1113" s="1334"/>
      <c r="AN1113" s="1334"/>
      <c r="AO1113" s="1334"/>
      <c r="AP1113" s="1334"/>
      <c r="AQ1113" s="1334"/>
      <c r="AR1113" s="1334"/>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80" t="s">
        <v>591</v>
      </c>
      <c r="B1134" s="1380"/>
      <c r="C1134" s="199">
        <v>9</v>
      </c>
      <c r="D1134" s="1266" t="s">
        <v>1074</v>
      </c>
      <c r="E1134" s="1266"/>
      <c r="F1134" s="1266"/>
      <c r="G1134" s="1266"/>
      <c r="H1134" s="1266"/>
      <c r="I1134" s="1266"/>
      <c r="J1134" s="1266"/>
      <c r="K1134" s="1266"/>
      <c r="L1134" s="1266"/>
      <c r="M1134" s="1266"/>
      <c r="N1134" s="1266"/>
      <c r="O1134" s="1266"/>
      <c r="P1134" s="1266"/>
      <c r="Q1134" s="1266"/>
      <c r="R1134" s="1266"/>
      <c r="S1134" s="1266"/>
      <c r="T1134" s="1266"/>
      <c r="U1134" s="1266"/>
      <c r="V1134" s="1266"/>
      <c r="W1134" s="1266"/>
      <c r="X1134" s="1266"/>
      <c r="Y1134" s="1266"/>
      <c r="Z1134" s="1266"/>
      <c r="AA1134" s="1266"/>
      <c r="AB1134" s="1266"/>
      <c r="AC1134" s="1266"/>
      <c r="AD1134" s="1266"/>
      <c r="AE1134" s="1266"/>
      <c r="AF1134" s="1266"/>
      <c r="AG1134" s="1266"/>
      <c r="AH1134" s="1266"/>
      <c r="AI1134" s="1266"/>
      <c r="AJ1134" s="1266"/>
      <c r="AK1134" s="1266"/>
    </row>
    <row r="1135" spans="1:37" ht="0" hidden="1" customHeight="1">
      <c r="A1135" s="35"/>
      <c r="B1135" s="25"/>
      <c r="C1135" s="199"/>
      <c r="D1135" s="1266"/>
      <c r="E1135" s="1266"/>
      <c r="F1135" s="1266"/>
      <c r="G1135" s="1266"/>
      <c r="H1135" s="1266"/>
      <c r="I1135" s="1266"/>
      <c r="J1135" s="1266"/>
      <c r="K1135" s="1266"/>
      <c r="L1135" s="1266"/>
      <c r="M1135" s="1266"/>
      <c r="N1135" s="1266"/>
      <c r="O1135" s="1266"/>
      <c r="P1135" s="1266"/>
      <c r="Q1135" s="1266"/>
      <c r="R1135" s="1266"/>
      <c r="S1135" s="1266"/>
      <c r="T1135" s="1266"/>
      <c r="U1135" s="1266"/>
      <c r="V1135" s="1266"/>
      <c r="W1135" s="1266"/>
      <c r="X1135" s="1266"/>
      <c r="Y1135" s="1266"/>
      <c r="Z1135" s="1266"/>
      <c r="AA1135" s="1266"/>
      <c r="AB1135" s="1266"/>
      <c r="AC1135" s="1266"/>
      <c r="AD1135" s="1266"/>
      <c r="AE1135" s="1266"/>
      <c r="AF1135" s="1266"/>
      <c r="AG1135" s="1266"/>
      <c r="AH1135" s="1266"/>
      <c r="AI1135" s="1266"/>
      <c r="AJ1135" s="1266"/>
      <c r="AK1135" s="1266"/>
    </row>
    <row r="1136" spans="1:37" ht="0" hidden="1" customHeight="1">
      <c r="D1136" s="1266"/>
      <c r="E1136" s="1266"/>
      <c r="F1136" s="1266"/>
      <c r="G1136" s="1266"/>
      <c r="H1136" s="1266"/>
      <c r="I1136" s="1266"/>
      <c r="J1136" s="1266"/>
      <c r="K1136" s="1266"/>
      <c r="L1136" s="1266"/>
      <c r="M1136" s="1266"/>
      <c r="N1136" s="1266"/>
      <c r="O1136" s="1266"/>
      <c r="P1136" s="1266"/>
      <c r="Q1136" s="1266"/>
      <c r="R1136" s="1266"/>
      <c r="S1136" s="1266"/>
      <c r="T1136" s="1266"/>
      <c r="U1136" s="1266"/>
      <c r="V1136" s="1266"/>
      <c r="W1136" s="1266"/>
      <c r="X1136" s="1266"/>
      <c r="Y1136" s="1266"/>
      <c r="Z1136" s="1266"/>
      <c r="AA1136" s="1266"/>
      <c r="AB1136" s="1266"/>
      <c r="AC1136" s="1266"/>
      <c r="AD1136" s="1266"/>
      <c r="AE1136" s="1266"/>
      <c r="AF1136" s="1266"/>
      <c r="AG1136" s="1266"/>
      <c r="AH1136" s="1266"/>
      <c r="AI1136" s="1266"/>
      <c r="AJ1136" s="1266"/>
      <c r="AK1136" s="1266"/>
    </row>
    <row r="1146" ht="15" hidden="1" customHeight="1"/>
    <row r="2026" ht="9.9499999999999993"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K744:AO744"/>
    <mergeCell ref="T728:W728"/>
    <mergeCell ref="Z618:AK618"/>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O638:AS638"/>
    <mergeCell ref="Z609:AK609"/>
    <mergeCell ref="AH512:AK512"/>
    <mergeCell ref="AI564:AL564"/>
    <mergeCell ref="T565:V565"/>
    <mergeCell ref="Q564:S564"/>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M566:AS566"/>
    <mergeCell ref="Z589:AE589"/>
    <mergeCell ref="Z594:AK594"/>
    <mergeCell ref="AC525:AF525"/>
    <mergeCell ref="AC512:AF512"/>
    <mergeCell ref="AM572:AS572"/>
    <mergeCell ref="AM574:AS574"/>
    <mergeCell ref="D453:AF453"/>
    <mergeCell ref="AE565:AH565"/>
    <mergeCell ref="W473:Y473"/>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Z683:AK683"/>
    <mergeCell ref="AA606:AK606"/>
    <mergeCell ref="C636:L636"/>
    <mergeCell ref="W564:Y564"/>
    <mergeCell ref="AK640:AN640"/>
    <mergeCell ref="ET747:EX747"/>
    <mergeCell ref="EO740:ES740"/>
    <mergeCell ref="ET737:EX737"/>
    <mergeCell ref="DU741:DY741"/>
    <mergeCell ref="ET741:EX741"/>
    <mergeCell ref="DU732:DY732"/>
    <mergeCell ref="DZ727:ED727"/>
    <mergeCell ref="EO741:ES741"/>
    <mergeCell ref="EO742:ES742"/>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DZ725:ED725"/>
    <mergeCell ref="EJ741:EN741"/>
    <mergeCell ref="DZ737:ED737"/>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EE759:EI759"/>
    <mergeCell ref="DU759:DY759"/>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DE751:DI75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DO733:DS733"/>
    <mergeCell ref="ET744:EX744"/>
    <mergeCell ref="EJ748:EN748"/>
    <mergeCell ref="EM669:EQ669"/>
    <mergeCell ref="ER674:EV674"/>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EJ735:EN735"/>
    <mergeCell ref="EO737:ES737"/>
    <mergeCell ref="EJ743:EN743"/>
    <mergeCell ref="EO743:ES743"/>
    <mergeCell ref="DZ743:ED743"/>
    <mergeCell ref="ET745:EX745"/>
    <mergeCell ref="ET729:EX729"/>
    <mergeCell ref="ET735:EX735"/>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74:FA674"/>
    <mergeCell ref="EW662:FA662"/>
    <mergeCell ref="DX655:EB655"/>
    <mergeCell ref="ER669:EV669"/>
    <mergeCell ref="EE734:EI734"/>
    <mergeCell ref="EJ734:EN734"/>
    <mergeCell ref="ER678:EV678"/>
    <mergeCell ref="DX677:EB677"/>
    <mergeCell ref="EM657:EQ657"/>
    <mergeCell ref="EM662:EQ662"/>
    <mergeCell ref="ER662:EV662"/>
    <mergeCell ref="EM660:EQ660"/>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DX658:EB658"/>
    <mergeCell ref="EC658:EG658"/>
    <mergeCell ref="EC663:EG663"/>
    <mergeCell ref="DX675:EB675"/>
    <mergeCell ref="EW669:FA669"/>
    <mergeCell ref="EM670:EQ670"/>
    <mergeCell ref="ER670:EV67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H660:EL660"/>
    <mergeCell ref="EC668:EG668"/>
    <mergeCell ref="DX671:EB671"/>
    <mergeCell ref="EC671:EG671"/>
    <mergeCell ref="EH671:EL671"/>
    <mergeCell ref="ER673:EV673"/>
    <mergeCell ref="EW673:FA673"/>
    <mergeCell ref="ER667:EV667"/>
    <mergeCell ref="EW667:FA667"/>
    <mergeCell ref="DX668:EB668"/>
    <mergeCell ref="EW677:FA677"/>
    <mergeCell ref="EW660:FA660"/>
    <mergeCell ref="DX647:EB647"/>
    <mergeCell ref="EH672:EL672"/>
    <mergeCell ref="DX674:EB674"/>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DJ728:DN728"/>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DX652:EB652"/>
    <mergeCell ref="CM726:CN726"/>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B735:F735"/>
    <mergeCell ref="CP727:CT727"/>
    <mergeCell ref="CU727:CY727"/>
    <mergeCell ref="B736:F736"/>
    <mergeCell ref="CM731:CN731"/>
    <mergeCell ref="DE732:DI732"/>
    <mergeCell ref="Z687:AE687"/>
    <mergeCell ref="CP731:CT731"/>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CK731:CL731"/>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Z573:AD573"/>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CK726:CL726"/>
    <mergeCell ref="AG583:AH583"/>
    <mergeCell ref="CM728:CN728"/>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M637:P637"/>
    <mergeCell ref="W632:Y634"/>
    <mergeCell ref="W636:Y636"/>
    <mergeCell ref="P605:R605"/>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Z659:AK659"/>
    <mergeCell ref="G671:L671"/>
    <mergeCell ref="N665:O665"/>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T740:W740"/>
    <mergeCell ref="T739:W739"/>
    <mergeCell ref="K735:N735"/>
    <mergeCell ref="AE701:AF701"/>
    <mergeCell ref="CK729:CL729"/>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G738:J738"/>
    <mergeCell ref="X738:AB738"/>
    <mergeCell ref="K734:N734"/>
    <mergeCell ref="T729:W729"/>
    <mergeCell ref="AE703:AI703"/>
    <mergeCell ref="O734:S734"/>
    <mergeCell ref="O731:S731"/>
    <mergeCell ref="O726:S726"/>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AC749:AG749"/>
    <mergeCell ref="AC745:AG745"/>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AK740:AO740"/>
    <mergeCell ref="AK741:AO741"/>
    <mergeCell ref="AK742:AO742"/>
    <mergeCell ref="AK743:AO743"/>
    <mergeCell ref="AH737:AJ737"/>
    <mergeCell ref="O738:S73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C262:AE262"/>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D204:M204"/>
    <mergeCell ref="AI178:AK178"/>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M257:AE257"/>
    <mergeCell ref="M272:R272"/>
    <mergeCell ref="M274:T274"/>
    <mergeCell ref="I185:AE185"/>
    <mergeCell ref="M243:T243"/>
    <mergeCell ref="W243:X243"/>
    <mergeCell ref="T212:U212"/>
    <mergeCell ref="M252:AE252"/>
    <mergeCell ref="R177:S177"/>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M244:AE244"/>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R420:S420"/>
    <mergeCell ref="M365:N365"/>
    <mergeCell ref="Z441:AA441"/>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O531:AA531"/>
    <mergeCell ref="D458:AF458"/>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P735:CT735"/>
    <mergeCell ref="AK735:AO735"/>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Z671:AE671"/>
    <mergeCell ref="Z651:AK651"/>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I740:CJ74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CK744:CL744"/>
    <mergeCell ref="CU750:CY750"/>
    <mergeCell ref="CZ750:DD75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750:DS750"/>
    <mergeCell ref="CZ751:DD751"/>
    <mergeCell ref="CP752:CT752"/>
    <mergeCell ref="CM761:CN76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2" fitToHeight="0"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abSelected="1" topLeftCell="A2" workbookViewId="0">
      <selection activeCell="E99" sqref="E99"/>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72" t="s">
        <v>621</v>
      </c>
      <c r="G1" s="1873"/>
      <c r="H1" s="1873"/>
      <c r="I1" s="1873"/>
      <c r="J1" s="1873"/>
      <c r="K1" s="1873"/>
      <c r="L1" s="1873"/>
      <c r="M1" s="1873"/>
      <c r="N1" s="1873"/>
      <c r="O1" s="1873"/>
      <c r="P1" s="1873"/>
      <c r="Q1" s="1873"/>
      <c r="R1" s="1874"/>
      <c r="S1" s="112"/>
      <c r="T1" s="111"/>
      <c r="U1" s="113"/>
    </row>
    <row r="2" spans="1:21" s="138" customFormat="1" ht="71.25" customHeight="1">
      <c r="A2" s="137"/>
      <c r="B2" s="138" t="s">
        <v>23</v>
      </c>
      <c r="C2" s="138" t="s">
        <v>374</v>
      </c>
      <c r="D2" s="138" t="s">
        <v>373</v>
      </c>
      <c r="E2" s="138" t="s">
        <v>24</v>
      </c>
      <c r="F2" s="139" t="str">
        <f>Application!B635&amp;Application!C635</f>
        <v>1)Citibank</v>
      </c>
      <c r="G2" s="139" t="str">
        <f>Application!B636&amp;Application!C636</f>
        <v>2)1200 Main GP, LLC</v>
      </c>
      <c r="H2" s="139" t="str">
        <f>Application!B637&amp;Application!C637</f>
        <v>3)</v>
      </c>
      <c r="I2" s="139" t="str">
        <f>Application!B638&amp;Application!C638</f>
        <v>4)</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11000000</v>
      </c>
      <c r="C4" s="147">
        <v>11000000</v>
      </c>
      <c r="D4" s="147"/>
      <c r="E4" s="147">
        <f>C4-SUM(F4:Q4)</f>
        <v>11000000</v>
      </c>
      <c r="F4" s="147"/>
      <c r="G4" s="147"/>
      <c r="H4" s="147"/>
      <c r="I4" s="147"/>
      <c r="J4" s="147"/>
      <c r="K4" s="147"/>
      <c r="L4" s="147"/>
      <c r="M4" s="147"/>
      <c r="N4" s="147"/>
      <c r="O4" s="147"/>
      <c r="P4" s="147"/>
      <c r="Q4" s="147"/>
      <c r="R4" s="516">
        <f>SUM(E4:Q4)</f>
        <v>11000000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11000000</v>
      </c>
      <c r="C8" s="146">
        <f t="shared" ref="C8:Q8" si="0">SUM(C4:C7)</f>
        <v>11000000</v>
      </c>
      <c r="D8" s="146">
        <f t="shared" si="0"/>
        <v>0</v>
      </c>
      <c r="E8" s="146">
        <f t="shared" si="0"/>
        <v>11000000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11000000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11000000</v>
      </c>
      <c r="C12" s="146">
        <f t="shared" si="2"/>
        <v>11000000</v>
      </c>
      <c r="D12" s="146">
        <f t="shared" si="2"/>
        <v>0</v>
      </c>
      <c r="E12" s="146">
        <f t="shared" si="2"/>
        <v>11000000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11000000</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1632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599</v>
      </c>
      <c r="B30" s="146">
        <f t="shared" si="6"/>
        <v>31400000</v>
      </c>
      <c r="C30" s="147">
        <v>31400000</v>
      </c>
      <c r="D30" s="147"/>
      <c r="E30" s="147">
        <f t="shared" ref="E30:E33" si="8">C30-SUM(F30:Q30)</f>
        <v>0</v>
      </c>
      <c r="F30" s="147">
        <f>C30</f>
        <v>31400000</v>
      </c>
      <c r="G30" s="147"/>
      <c r="H30" s="147"/>
      <c r="I30" s="147"/>
      <c r="J30" s="147"/>
      <c r="K30" s="147"/>
      <c r="L30" s="147"/>
      <c r="M30" s="147"/>
      <c r="N30" s="147"/>
      <c r="O30" s="147"/>
      <c r="P30" s="147"/>
      <c r="Q30" s="147"/>
      <c r="R30" s="516">
        <f t="shared" si="7"/>
        <v>31400000</v>
      </c>
      <c r="S30" s="147">
        <f>C30</f>
        <v>31400000</v>
      </c>
      <c r="T30" s="147"/>
      <c r="U30" s="143"/>
    </row>
    <row r="31" spans="1:21" s="144" customFormat="1">
      <c r="A31" s="145" t="s">
        <v>600</v>
      </c>
      <c r="B31" s="146">
        <f t="shared" si="6"/>
        <v>1752120</v>
      </c>
      <c r="C31" s="147">
        <v>1752120</v>
      </c>
      <c r="D31" s="147"/>
      <c r="E31" s="147">
        <f t="shared" si="8"/>
        <v>0</v>
      </c>
      <c r="F31" s="147">
        <f>C31</f>
        <v>1752120</v>
      </c>
      <c r="G31" s="147"/>
      <c r="H31" s="147"/>
      <c r="I31" s="147"/>
      <c r="J31" s="147"/>
      <c r="K31" s="147"/>
      <c r="L31" s="147"/>
      <c r="M31" s="147"/>
      <c r="N31" s="147"/>
      <c r="O31" s="147"/>
      <c r="P31" s="147"/>
      <c r="Q31" s="147"/>
      <c r="R31" s="516">
        <f t="shared" si="7"/>
        <v>1752120</v>
      </c>
      <c r="S31" s="147">
        <f t="shared" ref="S31:S35" si="9">C31</f>
        <v>1752120</v>
      </c>
      <c r="T31" s="147"/>
      <c r="U31" s="143"/>
    </row>
    <row r="32" spans="1:21" s="144" customFormat="1">
      <c r="A32" s="145" t="s">
        <v>137</v>
      </c>
      <c r="B32" s="146">
        <f t="shared" si="6"/>
        <v>1326085</v>
      </c>
      <c r="C32" s="147">
        <f>2652170/2</f>
        <v>1326085</v>
      </c>
      <c r="D32" s="147"/>
      <c r="E32" s="147">
        <f t="shared" si="8"/>
        <v>0</v>
      </c>
      <c r="F32" s="147">
        <f>C32</f>
        <v>1326085</v>
      </c>
      <c r="G32" s="147"/>
      <c r="H32" s="147"/>
      <c r="I32" s="147"/>
      <c r="J32" s="147"/>
      <c r="K32" s="147"/>
      <c r="L32" s="147"/>
      <c r="M32" s="147"/>
      <c r="N32" s="147"/>
      <c r="O32" s="147"/>
      <c r="P32" s="147"/>
      <c r="Q32" s="147"/>
      <c r="R32" s="516">
        <f t="shared" si="7"/>
        <v>1326085</v>
      </c>
      <c r="S32" s="147">
        <f t="shared" si="9"/>
        <v>1326085</v>
      </c>
      <c r="T32" s="147"/>
      <c r="U32" s="143"/>
    </row>
    <row r="33" spans="1:21" s="144" customFormat="1">
      <c r="A33" s="145" t="s">
        <v>138</v>
      </c>
      <c r="B33" s="146">
        <f t="shared" si="6"/>
        <v>1326085</v>
      </c>
      <c r="C33" s="147">
        <f>2652170-C32</f>
        <v>1326085</v>
      </c>
      <c r="D33" s="147"/>
      <c r="E33" s="147">
        <f t="shared" si="8"/>
        <v>0</v>
      </c>
      <c r="F33" s="147">
        <f>C33</f>
        <v>1326085</v>
      </c>
      <c r="G33" s="147"/>
      <c r="H33" s="147"/>
      <c r="I33" s="147"/>
      <c r="J33" s="147"/>
      <c r="K33" s="147"/>
      <c r="L33" s="147"/>
      <c r="M33" s="147"/>
      <c r="N33" s="147"/>
      <c r="O33" s="147"/>
      <c r="P33" s="147"/>
      <c r="Q33" s="147"/>
      <c r="R33" s="516">
        <f t="shared" si="7"/>
        <v>1326085</v>
      </c>
      <c r="S33" s="147">
        <f t="shared" si="9"/>
        <v>1326085</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900000</v>
      </c>
      <c r="C35" s="147">
        <v>900000</v>
      </c>
      <c r="D35" s="147"/>
      <c r="E35" s="147">
        <f>C35-SUM(F35:Q35)</f>
        <v>0</v>
      </c>
      <c r="F35" s="147">
        <f>C35</f>
        <v>900000</v>
      </c>
      <c r="G35" s="147"/>
      <c r="H35" s="147"/>
      <c r="I35" s="147"/>
      <c r="J35" s="147"/>
      <c r="K35" s="147"/>
      <c r="L35" s="147"/>
      <c r="M35" s="147"/>
      <c r="N35" s="147"/>
      <c r="O35" s="147"/>
      <c r="P35" s="147"/>
      <c r="Q35" s="147"/>
      <c r="R35" s="516">
        <f t="shared" si="7"/>
        <v>900000</v>
      </c>
      <c r="S35" s="147">
        <f t="shared" si="9"/>
        <v>900000</v>
      </c>
      <c r="T35" s="147"/>
      <c r="U35" s="143"/>
    </row>
    <row r="36" spans="1:21" s="144" customFormat="1">
      <c r="A36" s="283" t="s">
        <v>1629</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36704290</v>
      </c>
      <c r="C38" s="146">
        <f>SUM(C29:C37)</f>
        <v>36704290</v>
      </c>
      <c r="D38" s="146">
        <f t="shared" ref="D38:Q38" si="10">SUM(D29:D37)</f>
        <v>0</v>
      </c>
      <c r="E38" s="146">
        <f t="shared" si="10"/>
        <v>0</v>
      </c>
      <c r="F38" s="146">
        <f t="shared" si="10"/>
        <v>36704290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36704290</v>
      </c>
      <c r="S38" s="150">
        <f>SUM(S29:S37)</f>
        <v>36704290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894625</v>
      </c>
      <c r="C40" s="147">
        <f>1789250/2</f>
        <v>894625</v>
      </c>
      <c r="D40" s="147"/>
      <c r="E40" s="147">
        <f>C40-SUM(F40:Q40)</f>
        <v>0</v>
      </c>
      <c r="F40" s="147">
        <f>C40</f>
        <v>894625</v>
      </c>
      <c r="G40" s="147"/>
      <c r="H40" s="147"/>
      <c r="I40" s="147"/>
      <c r="J40" s="147"/>
      <c r="K40" s="147"/>
      <c r="L40" s="147"/>
      <c r="M40" s="147"/>
      <c r="N40" s="147"/>
      <c r="O40" s="147"/>
      <c r="P40" s="147"/>
      <c r="Q40" s="147"/>
      <c r="R40" s="516">
        <f>SUM(E40:Q40)</f>
        <v>894625</v>
      </c>
      <c r="S40" s="147">
        <f t="shared" ref="S40" si="11">C40</f>
        <v>894625</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894625</v>
      </c>
      <c r="C42" s="146">
        <f>SUM(C39:C41)</f>
        <v>894625</v>
      </c>
      <c r="D42" s="146">
        <f>SUM(D39:D41)</f>
        <v>0</v>
      </c>
      <c r="E42" s="146">
        <f t="shared" ref="E42:T42" si="12">SUM(E40:E41)</f>
        <v>0</v>
      </c>
      <c r="F42" s="146">
        <f t="shared" si="12"/>
        <v>894625</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42">
        <f>SUM(R40:R41)</f>
        <v>894625</v>
      </c>
      <c r="S42" s="150">
        <f t="shared" si="12"/>
        <v>894625</v>
      </c>
      <c r="T42" s="150">
        <f t="shared" si="12"/>
        <v>0</v>
      </c>
      <c r="U42" s="143"/>
    </row>
    <row r="43" spans="1:21" s="144" customFormat="1">
      <c r="A43" s="149" t="s">
        <v>148</v>
      </c>
      <c r="B43" s="146">
        <f>SUM(C43:D43)</f>
        <v>894625</v>
      </c>
      <c r="C43" s="147">
        <f>1789250-C40</f>
        <v>894625</v>
      </c>
      <c r="D43" s="147"/>
      <c r="E43" s="147"/>
      <c r="F43" s="147">
        <f>C43</f>
        <v>894625</v>
      </c>
      <c r="G43" s="147"/>
      <c r="H43" s="147"/>
      <c r="I43" s="147"/>
      <c r="J43" s="147"/>
      <c r="K43" s="147"/>
      <c r="L43" s="147"/>
      <c r="M43" s="147"/>
      <c r="N43" s="147"/>
      <c r="O43" s="147"/>
      <c r="P43" s="147"/>
      <c r="Q43" s="147"/>
      <c r="R43" s="516">
        <f>SUM(E43:Q43)</f>
        <v>894625</v>
      </c>
      <c r="S43" s="147">
        <f t="shared" ref="S43" si="13">C43</f>
        <v>894625</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4">SUM(C45+D45)</f>
        <v>4479905</v>
      </c>
      <c r="C45" s="974">
        <v>4479905</v>
      </c>
      <c r="D45" s="974"/>
      <c r="E45" s="974">
        <v>3812532</v>
      </c>
      <c r="F45" s="974">
        <v>667373</v>
      </c>
      <c r="G45" s="147"/>
      <c r="H45" s="147"/>
      <c r="I45" s="147"/>
      <c r="J45" s="147"/>
      <c r="K45" s="147"/>
      <c r="L45" s="147"/>
      <c r="M45" s="147"/>
      <c r="N45" s="147"/>
      <c r="O45" s="147"/>
      <c r="P45" s="147"/>
      <c r="Q45" s="147"/>
      <c r="R45" s="516">
        <f t="shared" ref="R45:R53" si="15">SUM(E45:Q45)</f>
        <v>4479905</v>
      </c>
      <c r="S45" s="974">
        <v>2837460</v>
      </c>
      <c r="T45" s="147"/>
      <c r="U45" s="143"/>
    </row>
    <row r="46" spans="1:21" s="144" customFormat="1">
      <c r="A46" s="145" t="s">
        <v>151</v>
      </c>
      <c r="B46" s="146">
        <f t="shared" si="14"/>
        <v>561634</v>
      </c>
      <c r="C46" s="974">
        <v>561634</v>
      </c>
      <c r="D46" s="974"/>
      <c r="E46" s="974">
        <v>561634</v>
      </c>
      <c r="F46" s="974"/>
      <c r="G46" s="147"/>
      <c r="H46" s="147"/>
      <c r="I46" s="147"/>
      <c r="J46" s="147"/>
      <c r="K46" s="147"/>
      <c r="L46" s="147"/>
      <c r="M46" s="147"/>
      <c r="N46" s="147"/>
      <c r="O46" s="147"/>
      <c r="P46" s="147"/>
      <c r="Q46" s="147"/>
      <c r="R46" s="516">
        <f t="shared" si="15"/>
        <v>561634</v>
      </c>
      <c r="S46" s="974">
        <v>355725</v>
      </c>
      <c r="T46" s="147"/>
      <c r="U46" s="143"/>
    </row>
    <row r="47" spans="1:21" s="144" customFormat="1">
      <c r="A47" s="186" t="s">
        <v>152</v>
      </c>
      <c r="B47" s="146">
        <f t="shared" si="14"/>
        <v>0</v>
      </c>
      <c r="C47" s="974"/>
      <c r="D47" s="974"/>
      <c r="E47" s="974"/>
      <c r="F47" s="974"/>
      <c r="G47" s="147"/>
      <c r="H47" s="147"/>
      <c r="I47" s="147"/>
      <c r="J47" s="147"/>
      <c r="K47" s="147"/>
      <c r="L47" s="147"/>
      <c r="M47" s="147"/>
      <c r="N47" s="147"/>
      <c r="O47" s="147"/>
      <c r="P47" s="147"/>
      <c r="Q47" s="147"/>
      <c r="R47" s="516">
        <f t="shared" si="15"/>
        <v>0</v>
      </c>
      <c r="S47" s="974"/>
      <c r="T47" s="147"/>
      <c r="U47" s="143"/>
    </row>
    <row r="48" spans="1:21" s="144" customFormat="1">
      <c r="A48" s="145" t="s">
        <v>153</v>
      </c>
      <c r="B48" s="146">
        <f t="shared" si="14"/>
        <v>0</v>
      </c>
      <c r="C48" s="974"/>
      <c r="D48" s="974"/>
      <c r="E48" s="974"/>
      <c r="F48" s="974"/>
      <c r="G48" s="147"/>
      <c r="H48" s="147"/>
      <c r="I48" s="147"/>
      <c r="J48" s="147"/>
      <c r="K48" s="147"/>
      <c r="L48" s="147"/>
      <c r="M48" s="147"/>
      <c r="N48" s="147"/>
      <c r="O48" s="147"/>
      <c r="P48" s="147"/>
      <c r="Q48" s="147"/>
      <c r="R48" s="516">
        <f t="shared" si="15"/>
        <v>0</v>
      </c>
      <c r="S48" s="974"/>
      <c r="T48" s="147"/>
      <c r="U48" s="143"/>
    </row>
    <row r="49" spans="1:21" s="144" customFormat="1">
      <c r="A49" s="145" t="s">
        <v>57</v>
      </c>
      <c r="B49" s="146">
        <f t="shared" si="14"/>
        <v>1485000</v>
      </c>
      <c r="C49" s="974">
        <v>1485000</v>
      </c>
      <c r="D49" s="974"/>
      <c r="E49" s="974">
        <v>1485000</v>
      </c>
      <c r="F49" s="974"/>
      <c r="G49" s="147"/>
      <c r="H49" s="147"/>
      <c r="I49" s="147"/>
      <c r="J49" s="147"/>
      <c r="K49" s="147"/>
      <c r="L49" s="147"/>
      <c r="M49" s="147"/>
      <c r="N49" s="147"/>
      <c r="O49" s="147"/>
      <c r="P49" s="147"/>
      <c r="Q49" s="147"/>
      <c r="R49" s="516">
        <f t="shared" si="15"/>
        <v>1485000</v>
      </c>
      <c r="S49" s="974">
        <v>445000</v>
      </c>
      <c r="T49" s="147"/>
      <c r="U49" s="143"/>
    </row>
    <row r="50" spans="1:21" s="144" customFormat="1">
      <c r="A50" s="145" t="s">
        <v>156</v>
      </c>
      <c r="B50" s="146">
        <f t="shared" si="14"/>
        <v>150000</v>
      </c>
      <c r="C50" s="974">
        <v>150000</v>
      </c>
      <c r="D50" s="974"/>
      <c r="E50" s="974">
        <v>150000</v>
      </c>
      <c r="F50" s="974"/>
      <c r="G50" s="147"/>
      <c r="H50" s="147"/>
      <c r="I50" s="147"/>
      <c r="J50" s="147"/>
      <c r="K50" s="147"/>
      <c r="L50" s="147"/>
      <c r="M50" s="147"/>
      <c r="N50" s="147"/>
      <c r="O50" s="147"/>
      <c r="P50" s="147"/>
      <c r="Q50" s="147"/>
      <c r="R50" s="516">
        <f t="shared" si="15"/>
        <v>150000</v>
      </c>
      <c r="S50" s="974">
        <v>150000</v>
      </c>
      <c r="T50" s="147"/>
      <c r="U50" s="143"/>
    </row>
    <row r="51" spans="1:21" s="144" customFormat="1">
      <c r="A51" s="283" t="s">
        <v>154</v>
      </c>
      <c r="B51" s="146">
        <f t="shared" si="14"/>
        <v>560837</v>
      </c>
      <c r="C51" s="974">
        <v>560837</v>
      </c>
      <c r="D51" s="974"/>
      <c r="E51" s="974">
        <v>560837</v>
      </c>
      <c r="F51" s="974"/>
      <c r="G51" s="147"/>
      <c r="H51" s="147"/>
      <c r="I51" s="147"/>
      <c r="J51" s="147"/>
      <c r="K51" s="147"/>
      <c r="L51" s="147"/>
      <c r="M51" s="147"/>
      <c r="N51" s="147"/>
      <c r="O51" s="147"/>
      <c r="P51" s="147"/>
      <c r="Q51" s="147"/>
      <c r="R51" s="516">
        <f t="shared" si="15"/>
        <v>560837</v>
      </c>
      <c r="S51" s="147"/>
      <c r="T51" s="147"/>
      <c r="U51" s="143"/>
    </row>
    <row r="52" spans="1:21" s="144" customFormat="1">
      <c r="A52" s="145" t="s">
        <v>155</v>
      </c>
      <c r="B52" s="146">
        <f t="shared" si="14"/>
        <v>0</v>
      </c>
      <c r="C52" s="147"/>
      <c r="D52" s="147"/>
      <c r="E52" s="147"/>
      <c r="F52" s="147"/>
      <c r="G52" s="147"/>
      <c r="H52" s="147"/>
      <c r="I52" s="147"/>
      <c r="J52" s="147"/>
      <c r="K52" s="147"/>
      <c r="L52" s="147"/>
      <c r="M52" s="147"/>
      <c r="N52" s="147"/>
      <c r="O52" s="147"/>
      <c r="P52" s="147"/>
      <c r="Q52" s="147"/>
      <c r="R52" s="516">
        <f t="shared" si="15"/>
        <v>0</v>
      </c>
      <c r="S52" s="147"/>
      <c r="T52" s="147"/>
      <c r="U52" s="143"/>
    </row>
    <row r="53" spans="1:21" s="144" customFormat="1">
      <c r="A53" s="1143" t="s">
        <v>34</v>
      </c>
      <c r="B53" s="146">
        <f t="shared" si="14"/>
        <v>0</v>
      </c>
      <c r="C53" s="147"/>
      <c r="D53" s="147"/>
      <c r="E53" s="147"/>
      <c r="F53" s="147"/>
      <c r="G53" s="147"/>
      <c r="H53" s="147"/>
      <c r="I53" s="147"/>
      <c r="J53" s="147"/>
      <c r="K53" s="147"/>
      <c r="L53" s="147"/>
      <c r="M53" s="147"/>
      <c r="N53" s="147"/>
      <c r="O53" s="147"/>
      <c r="P53" s="147"/>
      <c r="Q53" s="147"/>
      <c r="R53" s="516">
        <f t="shared" si="15"/>
        <v>0</v>
      </c>
      <c r="S53" s="147"/>
      <c r="T53" s="147"/>
      <c r="U53" s="143"/>
    </row>
    <row r="54" spans="1:21" s="153" customFormat="1">
      <c r="A54" s="149" t="s">
        <v>157</v>
      </c>
      <c r="B54" s="150">
        <f>SUM(C54:D54)</f>
        <v>7237376</v>
      </c>
      <c r="C54" s="150">
        <f t="shared" ref="C54:T54" si="16">SUM(C45:C53)</f>
        <v>7237376</v>
      </c>
      <c r="D54" s="150">
        <f t="shared" si="16"/>
        <v>0</v>
      </c>
      <c r="E54" s="150">
        <f t="shared" si="16"/>
        <v>6570003</v>
      </c>
      <c r="F54" s="150">
        <f t="shared" si="16"/>
        <v>667373</v>
      </c>
      <c r="G54" s="150">
        <f t="shared" si="16"/>
        <v>0</v>
      </c>
      <c r="H54" s="150">
        <f t="shared" si="16"/>
        <v>0</v>
      </c>
      <c r="I54" s="150">
        <f t="shared" si="16"/>
        <v>0</v>
      </c>
      <c r="J54" s="150">
        <f t="shared" si="16"/>
        <v>0</v>
      </c>
      <c r="K54" s="150">
        <f t="shared" si="16"/>
        <v>0</v>
      </c>
      <c r="L54" s="150">
        <f t="shared" si="16"/>
        <v>0</v>
      </c>
      <c r="M54" s="150">
        <f t="shared" si="16"/>
        <v>0</v>
      </c>
      <c r="N54" s="150">
        <f t="shared" si="16"/>
        <v>0</v>
      </c>
      <c r="O54" s="150">
        <f t="shared" si="16"/>
        <v>0</v>
      </c>
      <c r="P54" s="150">
        <f t="shared" si="16"/>
        <v>0</v>
      </c>
      <c r="Q54" s="150">
        <f t="shared" si="16"/>
        <v>0</v>
      </c>
      <c r="R54" s="342">
        <f t="shared" si="16"/>
        <v>7237376</v>
      </c>
      <c r="S54" s="150">
        <f t="shared" si="16"/>
        <v>3788185</v>
      </c>
      <c r="T54" s="150">
        <f t="shared" si="16"/>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7">SUM(C56+D56)</f>
        <v>400692</v>
      </c>
      <c r="C56" s="147">
        <v>400692</v>
      </c>
      <c r="D56" s="147"/>
      <c r="E56" s="147">
        <f>C56-SUM(F56:Q56)</f>
        <v>400692</v>
      </c>
      <c r="F56" s="147"/>
      <c r="G56" s="147"/>
      <c r="H56" s="147"/>
      <c r="I56" s="147"/>
      <c r="J56" s="147"/>
      <c r="K56" s="147"/>
      <c r="L56" s="147"/>
      <c r="M56" s="147"/>
      <c r="N56" s="147"/>
      <c r="O56" s="147"/>
      <c r="P56" s="147"/>
      <c r="Q56" s="147"/>
      <c r="R56" s="516">
        <f t="shared" ref="R56:R61" si="18">SUM(E56:Q56)</f>
        <v>400692</v>
      </c>
      <c r="S56" s="148"/>
      <c r="T56" s="148"/>
      <c r="U56" s="143"/>
    </row>
    <row r="57" spans="1:21" s="192" customFormat="1">
      <c r="A57" s="186" t="s">
        <v>152</v>
      </c>
      <c r="B57" s="193">
        <f t="shared" si="17"/>
        <v>0</v>
      </c>
      <c r="C57" s="190"/>
      <c r="D57" s="190"/>
      <c r="E57" s="190"/>
      <c r="F57" s="190"/>
      <c r="G57" s="190"/>
      <c r="H57" s="190"/>
      <c r="I57" s="190"/>
      <c r="J57" s="190"/>
      <c r="K57" s="190"/>
      <c r="L57" s="190"/>
      <c r="M57" s="190"/>
      <c r="N57" s="190"/>
      <c r="O57" s="190"/>
      <c r="P57" s="190"/>
      <c r="Q57" s="190"/>
      <c r="R57" s="516">
        <f t="shared" si="18"/>
        <v>0</v>
      </c>
      <c r="S57" s="194"/>
      <c r="T57" s="194"/>
      <c r="U57" s="191"/>
    </row>
    <row r="58" spans="1:21" s="144" customFormat="1">
      <c r="A58" s="145" t="s">
        <v>156</v>
      </c>
      <c r="B58" s="146">
        <f t="shared" si="17"/>
        <v>0</v>
      </c>
      <c r="C58" s="147"/>
      <c r="D58" s="147"/>
      <c r="E58" s="147"/>
      <c r="F58" s="147"/>
      <c r="G58" s="147"/>
      <c r="H58" s="147"/>
      <c r="I58" s="147"/>
      <c r="J58" s="147"/>
      <c r="K58" s="147"/>
      <c r="L58" s="147"/>
      <c r="M58" s="147"/>
      <c r="N58" s="147"/>
      <c r="O58" s="147"/>
      <c r="P58" s="147"/>
      <c r="Q58" s="147"/>
      <c r="R58" s="516">
        <f t="shared" si="18"/>
        <v>0</v>
      </c>
      <c r="S58" s="148"/>
      <c r="T58" s="148"/>
      <c r="U58" s="143"/>
    </row>
    <row r="59" spans="1:21" s="144" customFormat="1">
      <c r="A59" s="283" t="s">
        <v>154</v>
      </c>
      <c r="B59" s="146">
        <f t="shared" si="17"/>
        <v>0</v>
      </c>
      <c r="C59" s="147"/>
      <c r="D59" s="147"/>
      <c r="E59" s="147"/>
      <c r="F59" s="147"/>
      <c r="G59" s="147"/>
      <c r="H59" s="147"/>
      <c r="I59" s="147"/>
      <c r="J59" s="147"/>
      <c r="K59" s="147"/>
      <c r="L59" s="147"/>
      <c r="M59" s="147"/>
      <c r="N59" s="147"/>
      <c r="O59" s="147"/>
      <c r="P59" s="147"/>
      <c r="Q59" s="147"/>
      <c r="R59" s="516">
        <f t="shared" si="18"/>
        <v>0</v>
      </c>
      <c r="S59" s="148"/>
      <c r="T59" s="148"/>
      <c r="U59" s="143"/>
    </row>
    <row r="60" spans="1:21" s="144" customFormat="1">
      <c r="A60" s="145" t="s">
        <v>155</v>
      </c>
      <c r="B60" s="146">
        <f t="shared" si="17"/>
        <v>0</v>
      </c>
      <c r="C60" s="147"/>
      <c r="D60" s="147"/>
      <c r="E60" s="147"/>
      <c r="F60" s="147"/>
      <c r="G60" s="147"/>
      <c r="H60" s="147"/>
      <c r="I60" s="147"/>
      <c r="J60" s="147"/>
      <c r="K60" s="147"/>
      <c r="L60" s="147"/>
      <c r="M60" s="147"/>
      <c r="N60" s="147"/>
      <c r="O60" s="147"/>
      <c r="P60" s="147"/>
      <c r="Q60" s="147"/>
      <c r="R60" s="516">
        <f t="shared" si="18"/>
        <v>0</v>
      </c>
      <c r="S60" s="148"/>
      <c r="T60" s="148"/>
      <c r="U60" s="143"/>
    </row>
    <row r="61" spans="1:21" s="144" customFormat="1">
      <c r="A61" s="1143" t="s">
        <v>34</v>
      </c>
      <c r="B61" s="146">
        <f t="shared" si="17"/>
        <v>0</v>
      </c>
      <c r="C61" s="147"/>
      <c r="D61" s="147"/>
      <c r="E61" s="147"/>
      <c r="F61" s="147"/>
      <c r="G61" s="147"/>
      <c r="H61" s="147"/>
      <c r="I61" s="147"/>
      <c r="J61" s="147"/>
      <c r="K61" s="147"/>
      <c r="L61" s="147"/>
      <c r="M61" s="147"/>
      <c r="N61" s="147"/>
      <c r="O61" s="147"/>
      <c r="P61" s="147"/>
      <c r="Q61" s="147"/>
      <c r="R61" s="516">
        <f t="shared" si="18"/>
        <v>0</v>
      </c>
      <c r="S61" s="148"/>
      <c r="T61" s="148"/>
      <c r="U61" s="143"/>
    </row>
    <row r="62" spans="1:21" s="144" customFormat="1" ht="13.7" customHeight="1">
      <c r="A62" s="149" t="s">
        <v>301</v>
      </c>
      <c r="B62" s="146">
        <f>SUM(C62:D62)</f>
        <v>400692</v>
      </c>
      <c r="C62" s="146">
        <f t="shared" ref="C62:R62" si="19">SUM(C56:C61)</f>
        <v>400692</v>
      </c>
      <c r="D62" s="146">
        <f t="shared" si="19"/>
        <v>0</v>
      </c>
      <c r="E62" s="146">
        <f t="shared" si="19"/>
        <v>400692</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42">
        <f t="shared" si="19"/>
        <v>400692</v>
      </c>
      <c r="S62" s="148"/>
      <c r="T62" s="148"/>
      <c r="U62" s="143"/>
    </row>
    <row r="63" spans="1:21" s="144" customFormat="1">
      <c r="A63" s="154" t="s">
        <v>302</v>
      </c>
      <c r="B63" s="146">
        <f t="shared" ref="B63:R63" si="20">SUM(B8+B11+B13+B14+B15+B26+B27+B38+B42+B43+B54+B62)</f>
        <v>57131608</v>
      </c>
      <c r="C63" s="146">
        <f t="shared" si="20"/>
        <v>57131608</v>
      </c>
      <c r="D63" s="146">
        <f t="shared" si="20"/>
        <v>0</v>
      </c>
      <c r="E63" s="146">
        <f t="shared" si="20"/>
        <v>17970695</v>
      </c>
      <c r="F63" s="146">
        <f t="shared" si="20"/>
        <v>39160913</v>
      </c>
      <c r="G63" s="146">
        <f t="shared" si="20"/>
        <v>0</v>
      </c>
      <c r="H63" s="146">
        <f t="shared" si="20"/>
        <v>0</v>
      </c>
      <c r="I63" s="146">
        <f t="shared" si="20"/>
        <v>0</v>
      </c>
      <c r="J63" s="146">
        <f t="shared" si="20"/>
        <v>0</v>
      </c>
      <c r="K63" s="146">
        <f t="shared" si="20"/>
        <v>0</v>
      </c>
      <c r="L63" s="146">
        <f t="shared" si="20"/>
        <v>0</v>
      </c>
      <c r="M63" s="146">
        <f t="shared" si="20"/>
        <v>0</v>
      </c>
      <c r="N63" s="146">
        <f t="shared" si="20"/>
        <v>0</v>
      </c>
      <c r="O63" s="146">
        <f t="shared" si="20"/>
        <v>0</v>
      </c>
      <c r="P63" s="146">
        <f t="shared" si="20"/>
        <v>0</v>
      </c>
      <c r="Q63" s="146">
        <f t="shared" si="20"/>
        <v>0</v>
      </c>
      <c r="R63" s="342">
        <f t="shared" si="20"/>
        <v>57131608</v>
      </c>
      <c r="S63" s="146">
        <f>SUM(S10+S13+S14+S15+S26+S27+S38+S42+S43+S54)</f>
        <v>42281725</v>
      </c>
      <c r="T63" s="146">
        <f>SUM(T11+T13+T14+T15+T26+T27+T38+T42+T43+T54)</f>
        <v>0</v>
      </c>
      <c r="U63" s="143"/>
    </row>
    <row r="64" spans="1:21" s="144" customFormat="1" ht="24">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325000</v>
      </c>
      <c r="C65" s="147">
        <v>325000</v>
      </c>
      <c r="D65" s="147"/>
      <c r="E65" s="147">
        <f t="shared" ref="E65:E66" si="21">C65-SUM(F65:Q65)</f>
        <v>325000</v>
      </c>
      <c r="F65" s="147"/>
      <c r="G65" s="147"/>
      <c r="H65" s="147"/>
      <c r="I65" s="147"/>
      <c r="J65" s="147"/>
      <c r="K65" s="147"/>
      <c r="L65" s="147"/>
      <c r="M65" s="147"/>
      <c r="N65" s="147"/>
      <c r="O65" s="147"/>
      <c r="P65" s="147"/>
      <c r="Q65" s="147"/>
      <c r="R65" s="516">
        <f>SUM(E65:Q65)</f>
        <v>325000</v>
      </c>
      <c r="S65" s="147">
        <f t="shared" ref="S65:S66" si="22">C65</f>
        <v>325000</v>
      </c>
      <c r="T65" s="147"/>
      <c r="U65" s="143"/>
    </row>
    <row r="66" spans="1:21" s="144" customFormat="1" ht="24" customHeight="1">
      <c r="A66" s="283" t="s">
        <v>1630</v>
      </c>
      <c r="B66" s="146">
        <f>SUM(C66+D66)</f>
        <v>500000</v>
      </c>
      <c r="C66" s="147">
        <v>500000</v>
      </c>
      <c r="D66" s="147"/>
      <c r="E66" s="147">
        <f t="shared" si="21"/>
        <v>500000</v>
      </c>
      <c r="F66" s="147"/>
      <c r="G66" s="147"/>
      <c r="H66" s="147"/>
      <c r="I66" s="147"/>
      <c r="J66" s="147"/>
      <c r="K66" s="147"/>
      <c r="L66" s="147"/>
      <c r="M66" s="147"/>
      <c r="N66" s="147"/>
      <c r="O66" s="147"/>
      <c r="P66" s="147"/>
      <c r="Q66" s="147"/>
      <c r="R66" s="516">
        <f>SUM(E66:Q66)</f>
        <v>500000</v>
      </c>
      <c r="S66" s="147">
        <f t="shared" si="22"/>
        <v>500000</v>
      </c>
      <c r="T66" s="147"/>
      <c r="U66" s="143"/>
    </row>
    <row r="67" spans="1:21" s="144" customFormat="1" ht="24" customHeight="1">
      <c r="A67" s="283" t="s">
        <v>1631</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1637</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1634</v>
      </c>
      <c r="B70" s="146">
        <f>SUM(C70:D70)</f>
        <v>825000</v>
      </c>
      <c r="C70" s="146">
        <f>SUM(C65:C69)</f>
        <v>825000</v>
      </c>
      <c r="D70" s="146">
        <f>SUM(D65:D69)</f>
        <v>0</v>
      </c>
      <c r="E70" s="146">
        <f t="shared" ref="E70:T70" si="23">SUM(E65:E69)</f>
        <v>825000</v>
      </c>
      <c r="F70" s="146">
        <f t="shared" si="23"/>
        <v>0</v>
      </c>
      <c r="G70" s="146">
        <f t="shared" si="23"/>
        <v>0</v>
      </c>
      <c r="H70" s="146">
        <f t="shared" si="23"/>
        <v>0</v>
      </c>
      <c r="I70" s="146">
        <f t="shared" si="23"/>
        <v>0</v>
      </c>
      <c r="J70" s="146">
        <f t="shared" si="23"/>
        <v>0</v>
      </c>
      <c r="K70" s="146">
        <f t="shared" si="23"/>
        <v>0</v>
      </c>
      <c r="L70" s="146">
        <f t="shared" si="23"/>
        <v>0</v>
      </c>
      <c r="M70" s="146">
        <f t="shared" si="23"/>
        <v>0</v>
      </c>
      <c r="N70" s="146">
        <f t="shared" si="23"/>
        <v>0</v>
      </c>
      <c r="O70" s="146">
        <f t="shared" si="23"/>
        <v>0</v>
      </c>
      <c r="P70" s="146">
        <f t="shared" si="23"/>
        <v>0</v>
      </c>
      <c r="Q70" s="146">
        <f t="shared" si="23"/>
        <v>0</v>
      </c>
      <c r="R70" s="342">
        <f t="shared" si="23"/>
        <v>825000</v>
      </c>
      <c r="S70" s="150">
        <f t="shared" si="23"/>
        <v>825000</v>
      </c>
      <c r="T70" s="150">
        <f t="shared" si="23"/>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981362</v>
      </c>
      <c r="C75" s="147">
        <v>981362</v>
      </c>
      <c r="D75" s="147"/>
      <c r="E75" s="147">
        <f>C75-SUM(F75:Q75)</f>
        <v>981362</v>
      </c>
      <c r="F75" s="147"/>
      <c r="G75" s="147"/>
      <c r="H75" s="147"/>
      <c r="I75" s="147"/>
      <c r="J75" s="147"/>
      <c r="K75" s="147"/>
      <c r="L75" s="147"/>
      <c r="M75" s="147"/>
      <c r="N75" s="147"/>
      <c r="O75" s="147"/>
      <c r="P75" s="147"/>
      <c r="Q75" s="147"/>
      <c r="R75" s="516">
        <f>SUM(E75:Q75)</f>
        <v>981362</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981362</v>
      </c>
      <c r="C77" s="146">
        <f>SUM(C72:C76)</f>
        <v>981362</v>
      </c>
      <c r="D77" s="146">
        <f>SUM(D72:D76)</f>
        <v>0</v>
      </c>
      <c r="E77" s="146">
        <f t="shared" ref="E77:Q77" si="24">SUM(E72:E76)</f>
        <v>981362</v>
      </c>
      <c r="F77" s="146">
        <f t="shared" si="24"/>
        <v>0</v>
      </c>
      <c r="G77" s="146">
        <f t="shared" si="24"/>
        <v>0</v>
      </c>
      <c r="H77" s="146">
        <f t="shared" si="24"/>
        <v>0</v>
      </c>
      <c r="I77" s="146">
        <f t="shared" si="24"/>
        <v>0</v>
      </c>
      <c r="J77" s="146">
        <f t="shared" si="24"/>
        <v>0</v>
      </c>
      <c r="K77" s="146">
        <f t="shared" si="24"/>
        <v>0</v>
      </c>
      <c r="L77" s="146">
        <f t="shared" si="24"/>
        <v>0</v>
      </c>
      <c r="M77" s="146">
        <f t="shared" si="24"/>
        <v>0</v>
      </c>
      <c r="N77" s="146">
        <f t="shared" si="24"/>
        <v>0</v>
      </c>
      <c r="O77" s="146">
        <f t="shared" si="24"/>
        <v>0</v>
      </c>
      <c r="P77" s="146">
        <f t="shared" si="24"/>
        <v>0</v>
      </c>
      <c r="Q77" s="146">
        <f t="shared" si="24"/>
        <v>0</v>
      </c>
      <c r="R77" s="342">
        <f>SUM(R72:R76)</f>
        <v>981362</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1790214</v>
      </c>
      <c r="C79" s="147">
        <v>1790214</v>
      </c>
      <c r="D79" s="147"/>
      <c r="E79" s="147">
        <f t="shared" ref="E79:E80" si="25">C79-SUM(F79:Q79)</f>
        <v>1790214</v>
      </c>
      <c r="F79" s="147"/>
      <c r="G79" s="147"/>
      <c r="H79" s="147"/>
      <c r="I79" s="147"/>
      <c r="J79" s="147"/>
      <c r="K79" s="147"/>
      <c r="L79" s="147"/>
      <c r="M79" s="147"/>
      <c r="N79" s="147"/>
      <c r="O79" s="147"/>
      <c r="P79" s="147"/>
      <c r="Q79" s="147"/>
      <c r="R79" s="516">
        <f>SUM(E79:Q79)</f>
        <v>1790214</v>
      </c>
      <c r="S79" s="147">
        <f t="shared" ref="S79:S80" si="26">C79</f>
        <v>1790214</v>
      </c>
      <c r="T79" s="147"/>
      <c r="U79" s="143"/>
    </row>
    <row r="80" spans="1:21" s="144" customFormat="1">
      <c r="A80" s="283" t="s">
        <v>58</v>
      </c>
      <c r="B80" s="146">
        <f>SUM(C80:D80)</f>
        <v>450000</v>
      </c>
      <c r="C80" s="147">
        <v>450000</v>
      </c>
      <c r="D80" s="147"/>
      <c r="E80" s="147">
        <f t="shared" si="25"/>
        <v>450000</v>
      </c>
      <c r="F80" s="147"/>
      <c r="G80" s="147"/>
      <c r="H80" s="147"/>
      <c r="I80" s="147"/>
      <c r="J80" s="147"/>
      <c r="K80" s="147"/>
      <c r="L80" s="147"/>
      <c r="M80" s="147"/>
      <c r="N80" s="147"/>
      <c r="O80" s="147"/>
      <c r="P80" s="147"/>
      <c r="Q80" s="147"/>
      <c r="R80" s="516">
        <f>SUM(E80:Q80)</f>
        <v>450000</v>
      </c>
      <c r="S80" s="147">
        <f t="shared" si="26"/>
        <v>450000</v>
      </c>
      <c r="T80" s="147"/>
      <c r="U80" s="143"/>
    </row>
    <row r="81" spans="1:21" s="144" customFormat="1">
      <c r="A81" s="149" t="s">
        <v>1209</v>
      </c>
      <c r="B81" s="146">
        <f>SUM(C81:D81)</f>
        <v>2240214</v>
      </c>
      <c r="C81" s="509">
        <f>SUM(C79:C80)</f>
        <v>2240214</v>
      </c>
      <c r="D81" s="509">
        <f t="shared" ref="D81:T81" si="27">SUM(D79:D80)</f>
        <v>0</v>
      </c>
      <c r="E81" s="509">
        <f t="shared" si="27"/>
        <v>2240214</v>
      </c>
      <c r="F81" s="509">
        <f t="shared" si="27"/>
        <v>0</v>
      </c>
      <c r="G81" s="509">
        <f t="shared" si="27"/>
        <v>0</v>
      </c>
      <c r="H81" s="509">
        <f t="shared" si="27"/>
        <v>0</v>
      </c>
      <c r="I81" s="509">
        <f t="shared" si="27"/>
        <v>0</v>
      </c>
      <c r="J81" s="509">
        <f t="shared" si="27"/>
        <v>0</v>
      </c>
      <c r="K81" s="509">
        <f t="shared" si="27"/>
        <v>0</v>
      </c>
      <c r="L81" s="509">
        <f t="shared" si="27"/>
        <v>0</v>
      </c>
      <c r="M81" s="509">
        <f t="shared" si="27"/>
        <v>0</v>
      </c>
      <c r="N81" s="509">
        <f t="shared" si="27"/>
        <v>0</v>
      </c>
      <c r="O81" s="509">
        <f t="shared" si="27"/>
        <v>0</v>
      </c>
      <c r="P81" s="509">
        <f t="shared" si="27"/>
        <v>0</v>
      </c>
      <c r="Q81" s="509">
        <f t="shared" si="27"/>
        <v>0</v>
      </c>
      <c r="R81" s="509">
        <f t="shared" si="27"/>
        <v>2240214</v>
      </c>
      <c r="S81" s="509">
        <f t="shared" si="27"/>
        <v>2240214</v>
      </c>
      <c r="T81" s="509">
        <f t="shared" si="27"/>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2051</v>
      </c>
      <c r="B83" s="146">
        <f t="shared" ref="B83:B95" si="28">SUM(C83+D83)</f>
        <v>259108</v>
      </c>
      <c r="C83" s="147">
        <f>161780+97328</f>
        <v>259108</v>
      </c>
      <c r="D83" s="147"/>
      <c r="E83" s="147">
        <f>C83-SUM(F83:Q83)</f>
        <v>259108</v>
      </c>
      <c r="F83" s="147"/>
      <c r="G83" s="147"/>
      <c r="H83" s="147"/>
      <c r="I83" s="147"/>
      <c r="J83" s="147"/>
      <c r="K83" s="147"/>
      <c r="L83" s="147"/>
      <c r="M83" s="147"/>
      <c r="N83" s="147"/>
      <c r="O83" s="147"/>
      <c r="P83" s="147"/>
      <c r="Q83" s="147"/>
      <c r="R83" s="516">
        <f t="shared" ref="R83:R95" si="29">SUM(E83:Q83)</f>
        <v>259108</v>
      </c>
      <c r="S83" s="148"/>
      <c r="T83" s="148"/>
      <c r="U83" s="143"/>
    </row>
    <row r="84" spans="1:21" s="144" customFormat="1">
      <c r="A84" s="145" t="s">
        <v>767</v>
      </c>
      <c r="B84" s="146">
        <f t="shared" si="28"/>
        <v>0</v>
      </c>
      <c r="C84" s="147"/>
      <c r="D84" s="147"/>
      <c r="E84" s="147"/>
      <c r="F84" s="147"/>
      <c r="G84" s="147"/>
      <c r="H84" s="147"/>
      <c r="I84" s="147"/>
      <c r="J84" s="147"/>
      <c r="K84" s="147"/>
      <c r="L84" s="147"/>
      <c r="M84" s="147"/>
      <c r="N84" s="147"/>
      <c r="O84" s="147"/>
      <c r="P84" s="147"/>
      <c r="Q84" s="147"/>
      <c r="R84" s="516">
        <f t="shared" si="29"/>
        <v>0</v>
      </c>
      <c r="S84" s="147"/>
      <c r="T84" s="147"/>
      <c r="U84" s="143"/>
    </row>
    <row r="85" spans="1:21" s="144" customFormat="1">
      <c r="A85" s="145" t="s">
        <v>768</v>
      </c>
      <c r="B85" s="146">
        <f t="shared" si="28"/>
        <v>0</v>
      </c>
      <c r="C85" s="147"/>
      <c r="D85" s="147"/>
      <c r="E85" s="147"/>
      <c r="F85" s="147"/>
      <c r="G85" s="147"/>
      <c r="H85" s="147"/>
      <c r="I85" s="147"/>
      <c r="J85" s="147"/>
      <c r="K85" s="147"/>
      <c r="L85" s="147"/>
      <c r="M85" s="147"/>
      <c r="N85" s="147"/>
      <c r="O85" s="147"/>
      <c r="P85" s="147"/>
      <c r="Q85" s="147"/>
      <c r="R85" s="516">
        <f t="shared" si="29"/>
        <v>0</v>
      </c>
      <c r="S85" s="147"/>
      <c r="T85" s="147"/>
      <c r="U85" s="143"/>
    </row>
    <row r="86" spans="1:21" s="144" customFormat="1">
      <c r="A86" s="145" t="s">
        <v>769</v>
      </c>
      <c r="B86" s="146">
        <f t="shared" si="28"/>
        <v>2300000</v>
      </c>
      <c r="C86" s="147">
        <f>1800000+500000</f>
        <v>2300000</v>
      </c>
      <c r="D86" s="147"/>
      <c r="E86" s="147">
        <f>C86-SUM(F86:Q86)</f>
        <v>2300000</v>
      </c>
      <c r="F86" s="147"/>
      <c r="G86" s="147"/>
      <c r="H86" s="147"/>
      <c r="I86" s="147"/>
      <c r="J86" s="147"/>
      <c r="K86" s="147"/>
      <c r="L86" s="147"/>
      <c r="M86" s="147"/>
      <c r="N86" s="147"/>
      <c r="O86" s="147"/>
      <c r="P86" s="147"/>
      <c r="Q86" s="147"/>
      <c r="R86" s="516">
        <f t="shared" si="29"/>
        <v>2300000</v>
      </c>
      <c r="S86" s="147">
        <f t="shared" ref="S86" si="30">C86</f>
        <v>2300000</v>
      </c>
      <c r="T86" s="147"/>
      <c r="U86" s="143"/>
    </row>
    <row r="87" spans="1:21" s="144" customFormat="1">
      <c r="A87" s="145" t="s">
        <v>770</v>
      </c>
      <c r="B87" s="146">
        <f t="shared" si="28"/>
        <v>0</v>
      </c>
      <c r="C87" s="147"/>
      <c r="D87" s="147"/>
      <c r="E87" s="147"/>
      <c r="F87" s="147"/>
      <c r="G87" s="147"/>
      <c r="H87" s="147"/>
      <c r="I87" s="147"/>
      <c r="J87" s="147"/>
      <c r="K87" s="147"/>
      <c r="L87" s="147"/>
      <c r="M87" s="147"/>
      <c r="N87" s="147"/>
      <c r="O87" s="147"/>
      <c r="P87" s="147"/>
      <c r="Q87" s="147"/>
      <c r="R87" s="516">
        <f t="shared" si="29"/>
        <v>0</v>
      </c>
      <c r="S87" s="147"/>
      <c r="T87" s="147"/>
      <c r="U87" s="143"/>
    </row>
    <row r="88" spans="1:21" s="144" customFormat="1">
      <c r="A88" s="145" t="s">
        <v>771</v>
      </c>
      <c r="B88" s="146">
        <f t="shared" si="28"/>
        <v>50000</v>
      </c>
      <c r="C88" s="147">
        <v>50000</v>
      </c>
      <c r="D88" s="147"/>
      <c r="E88" s="147">
        <f t="shared" ref="E88:E92" si="31">C88-SUM(F88:Q88)</f>
        <v>50000</v>
      </c>
      <c r="F88" s="147"/>
      <c r="G88" s="147"/>
      <c r="H88" s="147"/>
      <c r="I88" s="147"/>
      <c r="J88" s="147"/>
      <c r="K88" s="147"/>
      <c r="L88" s="147"/>
      <c r="M88" s="147"/>
      <c r="N88" s="147"/>
      <c r="O88" s="147"/>
      <c r="P88" s="147"/>
      <c r="Q88" s="147"/>
      <c r="R88" s="516">
        <f t="shared" si="29"/>
        <v>50000</v>
      </c>
      <c r="S88" s="148"/>
      <c r="T88" s="148"/>
      <c r="U88" s="143"/>
    </row>
    <row r="89" spans="1:21" s="144" customFormat="1">
      <c r="A89" s="145" t="s">
        <v>772</v>
      </c>
      <c r="B89" s="146">
        <f t="shared" si="28"/>
        <v>250000</v>
      </c>
      <c r="C89" s="147">
        <v>250000</v>
      </c>
      <c r="D89" s="147"/>
      <c r="E89" s="147">
        <f t="shared" si="31"/>
        <v>250000</v>
      </c>
      <c r="F89" s="147"/>
      <c r="G89" s="147"/>
      <c r="H89" s="147"/>
      <c r="I89" s="147"/>
      <c r="J89" s="147"/>
      <c r="K89" s="147"/>
      <c r="L89" s="147"/>
      <c r="M89" s="147"/>
      <c r="N89" s="147"/>
      <c r="O89" s="147"/>
      <c r="P89" s="147"/>
      <c r="Q89" s="147"/>
      <c r="R89" s="516">
        <f t="shared" si="29"/>
        <v>250000</v>
      </c>
      <c r="S89" s="147">
        <f t="shared" ref="S89:S91" si="32">C89</f>
        <v>250000</v>
      </c>
      <c r="T89" s="147"/>
      <c r="U89" s="143"/>
    </row>
    <row r="90" spans="1:21" s="144" customFormat="1">
      <c r="A90" s="145" t="s">
        <v>773</v>
      </c>
      <c r="B90" s="146">
        <f t="shared" si="28"/>
        <v>10000</v>
      </c>
      <c r="C90" s="147">
        <v>10000</v>
      </c>
      <c r="D90" s="147"/>
      <c r="E90" s="147">
        <f t="shared" si="31"/>
        <v>10000</v>
      </c>
      <c r="F90" s="147"/>
      <c r="G90" s="147"/>
      <c r="H90" s="147"/>
      <c r="I90" s="147"/>
      <c r="J90" s="147"/>
      <c r="K90" s="147"/>
      <c r="L90" s="147"/>
      <c r="M90" s="147"/>
      <c r="N90" s="147"/>
      <c r="O90" s="147"/>
      <c r="P90" s="147"/>
      <c r="Q90" s="147"/>
      <c r="R90" s="516">
        <f t="shared" si="29"/>
        <v>10000</v>
      </c>
      <c r="S90" s="147">
        <f t="shared" si="32"/>
        <v>10000</v>
      </c>
      <c r="T90" s="147"/>
      <c r="U90" s="143"/>
    </row>
    <row r="91" spans="1:21" s="144" customFormat="1">
      <c r="A91" s="145" t="s">
        <v>372</v>
      </c>
      <c r="B91" s="146">
        <f t="shared" si="28"/>
        <v>52500</v>
      </c>
      <c r="C91" s="147">
        <v>52500</v>
      </c>
      <c r="D91" s="147"/>
      <c r="E91" s="147">
        <f t="shared" si="31"/>
        <v>52500</v>
      </c>
      <c r="F91" s="147"/>
      <c r="G91" s="147"/>
      <c r="H91" s="147"/>
      <c r="I91" s="147"/>
      <c r="J91" s="147"/>
      <c r="K91" s="147"/>
      <c r="L91" s="147"/>
      <c r="M91" s="147"/>
      <c r="N91" s="147"/>
      <c r="O91" s="147"/>
      <c r="P91" s="147"/>
      <c r="Q91" s="147"/>
      <c r="R91" s="516">
        <f t="shared" si="29"/>
        <v>52500</v>
      </c>
      <c r="S91" s="147">
        <f t="shared" si="32"/>
        <v>52500</v>
      </c>
      <c r="T91" s="147"/>
      <c r="U91" s="143"/>
    </row>
    <row r="92" spans="1:21" s="144" customFormat="1">
      <c r="A92" s="283" t="s">
        <v>1211</v>
      </c>
      <c r="B92" s="146">
        <f t="shared" si="28"/>
        <v>10000</v>
      </c>
      <c r="C92" s="147">
        <v>10000</v>
      </c>
      <c r="D92" s="147"/>
      <c r="E92" s="147">
        <f t="shared" si="31"/>
        <v>10000</v>
      </c>
      <c r="F92" s="147"/>
      <c r="G92" s="147"/>
      <c r="H92" s="147"/>
      <c r="I92" s="147"/>
      <c r="J92" s="147"/>
      <c r="K92" s="147"/>
      <c r="L92" s="147"/>
      <c r="M92" s="147"/>
      <c r="N92" s="147"/>
      <c r="O92" s="147"/>
      <c r="P92" s="147"/>
      <c r="Q92" s="147"/>
      <c r="R92" s="516">
        <f t="shared" si="29"/>
        <v>10000</v>
      </c>
      <c r="S92" s="147"/>
      <c r="T92" s="147"/>
      <c r="U92" s="143"/>
    </row>
    <row r="93" spans="1:21" s="144" customFormat="1">
      <c r="A93" s="1143" t="s">
        <v>34</v>
      </c>
      <c r="B93" s="146">
        <f t="shared" si="28"/>
        <v>0</v>
      </c>
      <c r="C93" s="147"/>
      <c r="D93" s="147"/>
      <c r="E93" s="147"/>
      <c r="F93" s="147"/>
      <c r="G93" s="147"/>
      <c r="H93" s="147"/>
      <c r="I93" s="147"/>
      <c r="J93" s="147"/>
      <c r="K93" s="147"/>
      <c r="L93" s="147"/>
      <c r="M93" s="147"/>
      <c r="N93" s="147"/>
      <c r="O93" s="147"/>
      <c r="P93" s="147"/>
      <c r="Q93" s="147"/>
      <c r="R93" s="516">
        <f t="shared" si="29"/>
        <v>0</v>
      </c>
      <c r="S93" s="147"/>
      <c r="T93" s="147"/>
      <c r="U93" s="143"/>
    </row>
    <row r="94" spans="1:21" s="144" customFormat="1">
      <c r="A94" s="1143" t="s">
        <v>34</v>
      </c>
      <c r="B94" s="146">
        <f t="shared" si="28"/>
        <v>0</v>
      </c>
      <c r="C94" s="147"/>
      <c r="D94" s="147"/>
      <c r="E94" s="147"/>
      <c r="F94" s="147"/>
      <c r="G94" s="147"/>
      <c r="H94" s="147"/>
      <c r="I94" s="147"/>
      <c r="J94" s="147"/>
      <c r="K94" s="147"/>
      <c r="L94" s="147"/>
      <c r="M94" s="147"/>
      <c r="N94" s="147"/>
      <c r="O94" s="147"/>
      <c r="P94" s="147"/>
      <c r="Q94" s="147"/>
      <c r="R94" s="516">
        <f t="shared" si="29"/>
        <v>0</v>
      </c>
      <c r="S94" s="147"/>
      <c r="T94" s="147"/>
      <c r="U94" s="143"/>
    </row>
    <row r="95" spans="1:21" s="144" customFormat="1">
      <c r="A95" s="1143" t="s">
        <v>34</v>
      </c>
      <c r="B95" s="146">
        <f t="shared" si="28"/>
        <v>0</v>
      </c>
      <c r="C95" s="147"/>
      <c r="D95" s="147"/>
      <c r="E95" s="147"/>
      <c r="F95" s="147"/>
      <c r="G95" s="147"/>
      <c r="H95" s="147"/>
      <c r="I95" s="147"/>
      <c r="J95" s="147"/>
      <c r="K95" s="147"/>
      <c r="L95" s="147"/>
      <c r="M95" s="147"/>
      <c r="N95" s="147"/>
      <c r="O95" s="147"/>
      <c r="P95" s="147"/>
      <c r="Q95" s="147"/>
      <c r="R95" s="516">
        <f t="shared" si="29"/>
        <v>0</v>
      </c>
      <c r="S95" s="147"/>
      <c r="T95" s="147"/>
      <c r="U95" s="143"/>
    </row>
    <row r="96" spans="1:21" s="144" customFormat="1">
      <c r="A96" s="149" t="s">
        <v>774</v>
      </c>
      <c r="B96" s="146">
        <f>SUM(C96:D96)</f>
        <v>2931608</v>
      </c>
      <c r="C96" s="146">
        <f t="shared" ref="C96:R96" si="33">SUM(C83:C95)</f>
        <v>2931608</v>
      </c>
      <c r="D96" s="146">
        <f t="shared" si="33"/>
        <v>0</v>
      </c>
      <c r="E96" s="146">
        <f t="shared" si="33"/>
        <v>2931608</v>
      </c>
      <c r="F96" s="146">
        <f t="shared" si="33"/>
        <v>0</v>
      </c>
      <c r="G96" s="146">
        <f t="shared" si="33"/>
        <v>0</v>
      </c>
      <c r="H96" s="146">
        <f t="shared" si="33"/>
        <v>0</v>
      </c>
      <c r="I96" s="146">
        <f t="shared" si="33"/>
        <v>0</v>
      </c>
      <c r="J96" s="146">
        <f t="shared" si="33"/>
        <v>0</v>
      </c>
      <c r="K96" s="146">
        <f t="shared" si="33"/>
        <v>0</v>
      </c>
      <c r="L96" s="146">
        <f t="shared" si="33"/>
        <v>0</v>
      </c>
      <c r="M96" s="146">
        <f t="shared" si="33"/>
        <v>0</v>
      </c>
      <c r="N96" s="146">
        <f t="shared" si="33"/>
        <v>0</v>
      </c>
      <c r="O96" s="146">
        <f t="shared" si="33"/>
        <v>0</v>
      </c>
      <c r="P96" s="146">
        <f t="shared" si="33"/>
        <v>0</v>
      </c>
      <c r="Q96" s="146">
        <f t="shared" si="33"/>
        <v>0</v>
      </c>
      <c r="R96" s="342">
        <f t="shared" si="33"/>
        <v>2931608</v>
      </c>
      <c r="S96" s="150">
        <f>SUM(S84:S87,S89:S95)</f>
        <v>2612500</v>
      </c>
      <c r="T96" s="146">
        <f>SUM(T84:T87,T89:T95)</f>
        <v>0</v>
      </c>
      <c r="U96" s="143"/>
    </row>
    <row r="97" spans="1:21" s="144" customFormat="1">
      <c r="A97" s="149" t="s">
        <v>775</v>
      </c>
      <c r="B97" s="146">
        <f>SUM(C97:D97)</f>
        <v>64109792</v>
      </c>
      <c r="C97" s="146">
        <f t="shared" ref="C97:R97" si="34">SUM(C63+C70+C77+C81+C96)</f>
        <v>64109792</v>
      </c>
      <c r="D97" s="146">
        <f t="shared" si="34"/>
        <v>0</v>
      </c>
      <c r="E97" s="146">
        <f t="shared" si="34"/>
        <v>24948879</v>
      </c>
      <c r="F97" s="146">
        <f t="shared" si="34"/>
        <v>39160913</v>
      </c>
      <c r="G97" s="146">
        <f t="shared" si="34"/>
        <v>0</v>
      </c>
      <c r="H97" s="146">
        <f t="shared" si="34"/>
        <v>0</v>
      </c>
      <c r="I97" s="146">
        <f t="shared" si="34"/>
        <v>0</v>
      </c>
      <c r="J97" s="146">
        <f t="shared" si="34"/>
        <v>0</v>
      </c>
      <c r="K97" s="146">
        <f t="shared" si="34"/>
        <v>0</v>
      </c>
      <c r="L97" s="146">
        <f t="shared" si="34"/>
        <v>0</v>
      </c>
      <c r="M97" s="146">
        <f t="shared" si="34"/>
        <v>0</v>
      </c>
      <c r="N97" s="146">
        <f t="shared" si="34"/>
        <v>0</v>
      </c>
      <c r="O97" s="146">
        <f t="shared" si="34"/>
        <v>0</v>
      </c>
      <c r="P97" s="146">
        <f t="shared" si="34"/>
        <v>0</v>
      </c>
      <c r="Q97" s="146">
        <f t="shared" si="34"/>
        <v>0</v>
      </c>
      <c r="R97" s="146">
        <f t="shared" si="34"/>
        <v>64109792</v>
      </c>
      <c r="S97" s="146">
        <f>SUM(S63+S70+S81+S96)</f>
        <v>47959439</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7193915</v>
      </c>
      <c r="C99" s="974">
        <v>7193915</v>
      </c>
      <c r="D99" s="974"/>
      <c r="E99" s="974">
        <f>C99-SUM(F99:Q99)</f>
        <v>0</v>
      </c>
      <c r="F99" s="147">
        <f>C99-G99</f>
        <v>908272</v>
      </c>
      <c r="G99" s="147">
        <f>G108</f>
        <v>6285643</v>
      </c>
      <c r="H99" s="147"/>
      <c r="I99" s="147"/>
      <c r="J99" s="147"/>
      <c r="K99" s="147"/>
      <c r="L99" s="147"/>
      <c r="M99" s="147"/>
      <c r="N99" s="147"/>
      <c r="O99" s="147"/>
      <c r="P99" s="147"/>
      <c r="Q99" s="147"/>
      <c r="R99" s="516">
        <f>SUM(E99:Q99)</f>
        <v>7193915</v>
      </c>
      <c r="S99" s="147">
        <f t="shared" ref="S99" si="35">C99</f>
        <v>7193915</v>
      </c>
      <c r="T99" s="147"/>
      <c r="U99" s="143"/>
    </row>
    <row r="100" spans="1:21" s="144" customFormat="1">
      <c r="A100" s="283" t="s">
        <v>1635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7193915</v>
      </c>
      <c r="C104" s="146">
        <f>SUM(C99:C103)</f>
        <v>7193915</v>
      </c>
      <c r="D104" s="146">
        <f t="shared" ref="D104:T104" si="36">SUM(D99:D103)</f>
        <v>0</v>
      </c>
      <c r="E104" s="146">
        <f t="shared" si="36"/>
        <v>0</v>
      </c>
      <c r="F104" s="146">
        <f t="shared" si="36"/>
        <v>908272</v>
      </c>
      <c r="G104" s="146">
        <f t="shared" si="36"/>
        <v>6285643</v>
      </c>
      <c r="H104" s="146">
        <f t="shared" si="36"/>
        <v>0</v>
      </c>
      <c r="I104" s="146">
        <f t="shared" si="36"/>
        <v>0</v>
      </c>
      <c r="J104" s="146">
        <f t="shared" si="36"/>
        <v>0</v>
      </c>
      <c r="K104" s="146">
        <f t="shared" si="36"/>
        <v>0</v>
      </c>
      <c r="L104" s="146">
        <f t="shared" si="36"/>
        <v>0</v>
      </c>
      <c r="M104" s="146">
        <f t="shared" si="36"/>
        <v>0</v>
      </c>
      <c r="N104" s="146">
        <f t="shared" si="36"/>
        <v>0</v>
      </c>
      <c r="O104" s="146">
        <f t="shared" si="36"/>
        <v>0</v>
      </c>
      <c r="P104" s="146">
        <f t="shared" si="36"/>
        <v>0</v>
      </c>
      <c r="Q104" s="146">
        <f t="shared" si="36"/>
        <v>0</v>
      </c>
      <c r="R104" s="342">
        <f t="shared" si="36"/>
        <v>7193915</v>
      </c>
      <c r="S104" s="150">
        <f t="shared" si="36"/>
        <v>7193915</v>
      </c>
      <c r="T104" s="150">
        <f t="shared" si="36"/>
        <v>0</v>
      </c>
      <c r="U104" s="143"/>
    </row>
    <row r="105" spans="1:21" s="144" customFormat="1">
      <c r="A105" s="149" t="s">
        <v>780</v>
      </c>
      <c r="B105" s="150">
        <f>SUM(C105:D105)</f>
        <v>71303707</v>
      </c>
      <c r="C105" s="150">
        <f t="shared" ref="C105:R105" si="37">SUM(C97+C104)</f>
        <v>71303707</v>
      </c>
      <c r="D105" s="150">
        <f t="shared" si="37"/>
        <v>0</v>
      </c>
      <c r="E105" s="150">
        <f t="shared" si="37"/>
        <v>24948879</v>
      </c>
      <c r="F105" s="150">
        <f t="shared" si="37"/>
        <v>40069185</v>
      </c>
      <c r="G105" s="150">
        <f t="shared" si="37"/>
        <v>6285643</v>
      </c>
      <c r="H105" s="150">
        <f t="shared" si="37"/>
        <v>0</v>
      </c>
      <c r="I105" s="150">
        <f t="shared" si="37"/>
        <v>0</v>
      </c>
      <c r="J105" s="150">
        <f t="shared" si="37"/>
        <v>0</v>
      </c>
      <c r="K105" s="150">
        <f t="shared" si="37"/>
        <v>0</v>
      </c>
      <c r="L105" s="150">
        <f t="shared" si="37"/>
        <v>0</v>
      </c>
      <c r="M105" s="150">
        <f t="shared" si="37"/>
        <v>0</v>
      </c>
      <c r="N105" s="150">
        <f t="shared" si="37"/>
        <v>0</v>
      </c>
      <c r="O105" s="150">
        <f t="shared" si="37"/>
        <v>0</v>
      </c>
      <c r="P105" s="150">
        <f t="shared" si="37"/>
        <v>0</v>
      </c>
      <c r="Q105" s="150">
        <f t="shared" si="37"/>
        <v>0</v>
      </c>
      <c r="R105" s="342">
        <f t="shared" si="37"/>
        <v>71303707</v>
      </c>
      <c r="S105" s="150">
        <f>S97+S104</f>
        <v>55153354</v>
      </c>
      <c r="T105" s="150">
        <f>T97+T104</f>
        <v>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55153354</v>
      </c>
      <c r="T107" s="150">
        <f>T105+T106</f>
        <v>0</v>
      </c>
    </row>
    <row r="108" spans="1:21" s="189" customFormat="1">
      <c r="A108" s="162" t="s">
        <v>879</v>
      </c>
      <c r="B108" s="157"/>
      <c r="C108" s="157"/>
      <c r="D108" s="157"/>
      <c r="E108" s="301">
        <f>Application!AO648</f>
        <v>24948879</v>
      </c>
      <c r="F108" s="301">
        <f>Application!AO635</f>
        <v>40069185</v>
      </c>
      <c r="G108" s="301">
        <f>Application!AO636</f>
        <v>6285643</v>
      </c>
      <c r="H108" s="301">
        <f>Application!AO637</f>
        <v>0</v>
      </c>
      <c r="I108" s="301">
        <f>Application!AO638</f>
        <v>0</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2052</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76" t="s">
        <v>990</v>
      </c>
      <c r="E122" s="1876"/>
      <c r="F122" s="1876"/>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8" t="s">
        <v>1224</v>
      </c>
      <c r="E123" s="1551"/>
      <c r="F123" s="1551"/>
      <c r="G123" s="1551"/>
      <c r="H123" s="1551"/>
      <c r="I123" s="1551"/>
      <c r="J123" s="1551"/>
      <c r="K123" s="1551"/>
      <c r="L123" s="1551"/>
      <c r="M123" s="1551"/>
      <c r="N123" s="1551"/>
      <c r="O123" s="1551"/>
      <c r="P123" s="1551"/>
      <c r="Q123" s="1551"/>
      <c r="R123" s="1551"/>
      <c r="S123" s="1551"/>
      <c r="T123" s="324"/>
      <c r="U123" s="326"/>
    </row>
    <row r="124" spans="1:21" ht="12.75">
      <c r="A124" s="117" t="s">
        <v>992</v>
      </c>
      <c r="B124" s="333"/>
      <c r="C124" s="117"/>
      <c r="D124" s="1551"/>
      <c r="E124" s="1551"/>
      <c r="F124" s="1551"/>
      <c r="G124" s="1551"/>
      <c r="H124" s="1551"/>
      <c r="I124" s="1551"/>
      <c r="J124" s="1551"/>
      <c r="K124" s="1551"/>
      <c r="L124" s="1551"/>
      <c r="M124" s="1551"/>
      <c r="N124" s="1551"/>
      <c r="O124" s="1551"/>
      <c r="P124" s="1551"/>
      <c r="Q124" s="1551"/>
      <c r="R124" s="1551"/>
      <c r="S124" s="1551"/>
      <c r="T124" s="324"/>
      <c r="U124" s="326"/>
    </row>
    <row r="125" spans="1:21" ht="12.75">
      <c r="A125" s="117" t="s">
        <v>993</v>
      </c>
      <c r="B125" s="333"/>
      <c r="C125" s="117"/>
      <c r="D125" s="1551"/>
      <c r="E125" s="1551"/>
      <c r="F125" s="1551"/>
      <c r="G125" s="1551"/>
      <c r="H125" s="1551"/>
      <c r="I125" s="1551"/>
      <c r="J125" s="1551"/>
      <c r="K125" s="1551"/>
      <c r="L125" s="1551"/>
      <c r="M125" s="1551"/>
      <c r="N125" s="1551"/>
      <c r="O125" s="1551"/>
      <c r="P125" s="1551"/>
      <c r="Q125" s="1551"/>
      <c r="R125" s="1551"/>
      <c r="S125" s="1551"/>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71"/>
      <c r="E128" s="1871"/>
      <c r="F128" s="1871"/>
      <c r="G128" s="1871"/>
      <c r="H128" s="1871"/>
      <c r="I128" s="117"/>
      <c r="J128" s="1867"/>
      <c r="K128" s="1867"/>
      <c r="L128" s="117"/>
      <c r="M128" s="117"/>
      <c r="N128" s="117"/>
      <c r="O128" s="117"/>
      <c r="P128" s="117"/>
      <c r="Q128" s="117"/>
      <c r="R128" s="117"/>
      <c r="S128" s="117"/>
      <c r="T128" s="324"/>
      <c r="U128" s="326"/>
    </row>
    <row r="129" spans="1:21" ht="12.75">
      <c r="A129" s="117" t="s">
        <v>300</v>
      </c>
      <c r="B129" s="333"/>
      <c r="C129" s="117"/>
      <c r="D129" s="1875" t="s">
        <v>997</v>
      </c>
      <c r="E129" s="1875"/>
      <c r="F129" s="1875"/>
      <c r="G129" s="1875"/>
      <c r="H129" s="1875"/>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521"/>
      <c r="E131" s="1521"/>
      <c r="F131" s="1521"/>
      <c r="G131" s="1521"/>
      <c r="H131" s="1521"/>
      <c r="I131" s="117"/>
      <c r="J131" s="1521"/>
      <c r="K131" s="1521"/>
      <c r="L131" s="1521"/>
      <c r="M131" s="1521"/>
      <c r="N131" s="117"/>
      <c r="O131" s="117"/>
      <c r="P131" s="117"/>
      <c r="Q131" s="117"/>
      <c r="R131" s="117"/>
      <c r="S131" s="117"/>
      <c r="T131" s="324"/>
      <c r="U131" s="326"/>
    </row>
    <row r="132" spans="1:21" ht="12" customHeight="1">
      <c r="A132" s="336"/>
      <c r="B132" s="117"/>
      <c r="C132" s="117"/>
      <c r="D132" s="1869" t="s">
        <v>1000</v>
      </c>
      <c r="E132" s="1869"/>
      <c r="F132" s="1869"/>
      <c r="G132" s="1869"/>
      <c r="H132" s="1869"/>
      <c r="I132" s="117"/>
      <c r="J132" s="1869" t="s">
        <v>1001</v>
      </c>
      <c r="K132" s="1869"/>
      <c r="L132" s="1869"/>
      <c r="M132" s="1869"/>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0"/>
      <c r="B138" s="1871"/>
      <c r="C138" s="1871"/>
      <c r="D138" s="328"/>
      <c r="E138" s="1867"/>
      <c r="F138" s="1867"/>
      <c r="G138" s="117"/>
      <c r="H138" s="117"/>
      <c r="I138" s="117"/>
      <c r="J138" s="117"/>
      <c r="K138" s="117"/>
      <c r="L138" s="117"/>
      <c r="M138" s="117"/>
      <c r="N138" s="117"/>
      <c r="O138" s="117"/>
      <c r="P138" s="117"/>
      <c r="Q138" s="117"/>
      <c r="R138" s="117"/>
      <c r="S138" s="117"/>
      <c r="T138" s="330"/>
      <c r="U138" s="331"/>
    </row>
    <row r="139" spans="1:21" ht="12.75">
      <c r="A139" s="1866" t="s">
        <v>1004</v>
      </c>
      <c r="B139" s="1866"/>
      <c r="C139" s="1866"/>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C3" sqref="C3"/>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9" t="s">
        <v>1227</v>
      </c>
      <c r="B1" s="1880"/>
      <c r="C1" s="1880"/>
      <c r="D1" s="1880"/>
      <c r="E1" s="1880"/>
      <c r="F1" s="1880"/>
      <c r="G1" s="1880"/>
      <c r="H1" s="1880"/>
      <c r="I1" s="1880"/>
      <c r="J1" s="1881"/>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11000000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11000000</v>
      </c>
      <c r="C8" s="361">
        <f>SUM(C4:C7)</f>
        <v>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11000000</v>
      </c>
      <c r="C12" s="361">
        <f>SUM(C8+C11)</f>
        <v>0</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599</v>
      </c>
      <c r="B30" s="361">
        <f>'Sources and Uses Budget'!C30</f>
        <v>31400000</v>
      </c>
      <c r="C30" s="362"/>
      <c r="D30" s="362"/>
      <c r="E30" s="361">
        <f>'Sources and Uses Budget'!S30</f>
        <v>31400000</v>
      </c>
      <c r="F30" s="362"/>
      <c r="G30" s="362"/>
      <c r="H30" s="361">
        <f>'Sources and Uses Budget'!T30</f>
        <v>0</v>
      </c>
      <c r="I30" s="362"/>
      <c r="J30" s="362"/>
      <c r="K30" s="359"/>
    </row>
    <row r="31" spans="1:11" s="360" customFormat="1">
      <c r="A31" s="145" t="s">
        <v>600</v>
      </c>
      <c r="B31" s="361">
        <f>'Sources and Uses Budget'!C31</f>
        <v>1752120</v>
      </c>
      <c r="C31" s="362"/>
      <c r="D31" s="362"/>
      <c r="E31" s="361">
        <f>'Sources and Uses Budget'!S31</f>
        <v>1752120</v>
      </c>
      <c r="F31" s="362"/>
      <c r="G31" s="362"/>
      <c r="H31" s="361">
        <f>'Sources and Uses Budget'!T31</f>
        <v>0</v>
      </c>
      <c r="I31" s="362"/>
      <c r="J31" s="362"/>
      <c r="K31" s="359"/>
    </row>
    <row r="32" spans="1:11" s="360" customFormat="1">
      <c r="A32" s="145" t="s">
        <v>137</v>
      </c>
      <c r="B32" s="361">
        <f>'Sources and Uses Budget'!C32</f>
        <v>1326085</v>
      </c>
      <c r="C32" s="362"/>
      <c r="D32" s="362"/>
      <c r="E32" s="361">
        <f>'Sources and Uses Budget'!S32</f>
        <v>1326085</v>
      </c>
      <c r="F32" s="362"/>
      <c r="G32" s="362"/>
      <c r="H32" s="361">
        <f>'Sources and Uses Budget'!T32</f>
        <v>0</v>
      </c>
      <c r="I32" s="362"/>
      <c r="J32" s="362"/>
      <c r="K32" s="359"/>
    </row>
    <row r="33" spans="1:11" s="360" customFormat="1">
      <c r="A33" s="145" t="s">
        <v>138</v>
      </c>
      <c r="B33" s="361">
        <f>'Sources and Uses Budget'!C33</f>
        <v>1326085</v>
      </c>
      <c r="C33" s="362"/>
      <c r="D33" s="362"/>
      <c r="E33" s="361">
        <f>'Sources and Uses Budget'!S33</f>
        <v>1326085</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900000</v>
      </c>
      <c r="C35" s="362"/>
      <c r="D35" s="362"/>
      <c r="E35" s="361">
        <f>'Sources and Uses Budget'!S35</f>
        <v>900000</v>
      </c>
      <c r="F35" s="362"/>
      <c r="G35" s="362"/>
      <c r="H35" s="361">
        <f>'Sources and Uses Budget'!T35</f>
        <v>0</v>
      </c>
      <c r="I35" s="362"/>
      <c r="J35" s="362"/>
      <c r="K35" s="359"/>
    </row>
    <row r="36" spans="1:11" s="360" customFormat="1">
      <c r="A36" s="508" t="s">
        <v>1629</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36704290</v>
      </c>
      <c r="C38" s="361">
        <f>SUM(C29:C37)</f>
        <v>0</v>
      </c>
      <c r="D38" s="361">
        <f>SUM(D29:D37)</f>
        <v>0</v>
      </c>
      <c r="E38" s="361">
        <f>'Sources and Uses Budget'!S38</f>
        <v>36704290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894625</v>
      </c>
      <c r="C40" s="362"/>
      <c r="D40" s="362"/>
      <c r="E40" s="361">
        <f>'Sources and Uses Budget'!S40</f>
        <v>894625</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894625</v>
      </c>
      <c r="C42" s="361">
        <f>SUM(C39:C41)</f>
        <v>0</v>
      </c>
      <c r="D42" s="361">
        <f>SUM(D39:D41)</f>
        <v>0</v>
      </c>
      <c r="E42" s="361">
        <f>'Sources and Uses Budget'!S42</f>
        <v>894625</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894625</v>
      </c>
      <c r="C43" s="362"/>
      <c r="D43" s="362"/>
      <c r="E43" s="361">
        <f>'Sources and Uses Budget'!S43</f>
        <v>894625</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4479905</v>
      </c>
      <c r="C45" s="362"/>
      <c r="D45" s="362"/>
      <c r="E45" s="361">
        <f>'Sources and Uses Budget'!S45</f>
        <v>2837460</v>
      </c>
      <c r="F45" s="362"/>
      <c r="G45" s="362"/>
      <c r="H45" s="361">
        <f>'Sources and Uses Budget'!T45</f>
        <v>0</v>
      </c>
      <c r="I45" s="362"/>
      <c r="J45" s="362"/>
      <c r="K45" s="359"/>
    </row>
    <row r="46" spans="1:11" s="360" customFormat="1">
      <c r="A46" s="364" t="s">
        <v>151</v>
      </c>
      <c r="B46" s="361">
        <f>'Sources and Uses Budget'!C46</f>
        <v>561634</v>
      </c>
      <c r="C46" s="362"/>
      <c r="D46" s="362"/>
      <c r="E46" s="361">
        <f>'Sources and Uses Budget'!S46</f>
        <v>355725</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1485000</v>
      </c>
      <c r="C49" s="362"/>
      <c r="D49" s="362"/>
      <c r="E49" s="361">
        <f>'Sources and Uses Budget'!S49</f>
        <v>445000</v>
      </c>
      <c r="F49" s="362"/>
      <c r="G49" s="362"/>
      <c r="H49" s="361">
        <f>'Sources and Uses Budget'!T49</f>
        <v>0</v>
      </c>
      <c r="I49" s="362"/>
      <c r="J49" s="362"/>
      <c r="K49" s="359"/>
    </row>
    <row r="50" spans="1:11" s="360" customFormat="1">
      <c r="A50" s="364" t="s">
        <v>156</v>
      </c>
      <c r="B50" s="361">
        <f>'Sources and Uses Budget'!C50</f>
        <v>150000</v>
      </c>
      <c r="C50" s="362"/>
      <c r="D50" s="362"/>
      <c r="E50" s="361">
        <f>'Sources and Uses Budget'!S50</f>
        <v>150000</v>
      </c>
      <c r="F50" s="362"/>
      <c r="G50" s="362"/>
      <c r="H50" s="361">
        <f>'Sources and Uses Budget'!T50</f>
        <v>0</v>
      </c>
      <c r="I50" s="362"/>
      <c r="J50" s="362"/>
      <c r="K50" s="359"/>
    </row>
    <row r="51" spans="1:11" s="360" customFormat="1">
      <c r="A51" s="364" t="s">
        <v>154</v>
      </c>
      <c r="B51" s="361">
        <f>'Sources and Uses Budget'!C51</f>
        <v>560837</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7237376</v>
      </c>
      <c r="C54" s="367">
        <f>SUM(C45:C53)</f>
        <v>0</v>
      </c>
      <c r="D54" s="367">
        <f>SUM(D45:D53)</f>
        <v>0</v>
      </c>
      <c r="E54" s="361">
        <f>'Sources and Uses Budget'!S54</f>
        <v>3788185</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400692</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400692</v>
      </c>
      <c r="C62" s="361">
        <f>SUM(C56:C61)</f>
        <v>0</v>
      </c>
      <c r="D62" s="361">
        <f>SUM(D56:D61)</f>
        <v>0</v>
      </c>
      <c r="E62" s="363"/>
      <c r="F62" s="363"/>
      <c r="G62" s="363"/>
      <c r="H62" s="363"/>
      <c r="I62" s="363"/>
      <c r="J62" s="363"/>
      <c r="K62" s="359"/>
    </row>
    <row r="63" spans="1:11" s="360" customFormat="1">
      <c r="A63" s="370" t="s">
        <v>302</v>
      </c>
      <c r="B63" s="361">
        <f>'Sources and Uses Budget'!C63</f>
        <v>57131608</v>
      </c>
      <c r="C63" s="361">
        <f>SUM(C8+C11+C13+C14+C15+C26+C27+C38+C42+C43+C54+C62)</f>
        <v>0</v>
      </c>
      <c r="D63" s="361">
        <f>SUM(D8+D11+D13+D14+D15+D26+D27+D38+D42+D43+D54+D62)</f>
        <v>0</v>
      </c>
      <c r="E63" s="361">
        <f>'Sources and Uses Budget'!S63</f>
        <v>42281725</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1633</v>
      </c>
      <c r="B64" s="358"/>
      <c r="C64" s="358"/>
      <c r="D64" s="358"/>
      <c r="E64" s="358"/>
      <c r="F64" s="358"/>
      <c r="G64" s="358"/>
      <c r="H64" s="358"/>
      <c r="I64" s="358"/>
      <c r="J64" s="358"/>
      <c r="K64" s="359"/>
    </row>
    <row r="65" spans="1:11" s="360" customFormat="1">
      <c r="A65" s="145" t="s">
        <v>171</v>
      </c>
      <c r="B65" s="361">
        <f>'Sources and Uses Budget'!C65</f>
        <v>325000</v>
      </c>
      <c r="C65" s="362"/>
      <c r="D65" s="362"/>
      <c r="E65" s="361">
        <f>'Sources and Uses Budget'!S65</f>
        <v>325000</v>
      </c>
      <c r="F65" s="362"/>
      <c r="G65" s="362"/>
      <c r="H65" s="361">
        <f>'Sources and Uses Budget'!T65</f>
        <v>0</v>
      </c>
      <c r="I65" s="362"/>
      <c r="J65" s="362"/>
      <c r="K65" s="359"/>
    </row>
    <row r="66" spans="1:11" s="360" customFormat="1" ht="24">
      <c r="A66" s="283" t="s">
        <v>1630</v>
      </c>
      <c r="B66" s="361">
        <f>'Sources and Uses Budget'!C66</f>
        <v>500000</v>
      </c>
      <c r="C66" s="362"/>
      <c r="D66" s="362"/>
      <c r="E66" s="361">
        <f>'Sources and Uses Budget'!S66</f>
        <v>500000</v>
      </c>
      <c r="F66" s="362"/>
      <c r="G66" s="362"/>
      <c r="H66" s="361">
        <f>'Sources and Uses Budget'!T66</f>
        <v>0</v>
      </c>
      <c r="I66" s="362"/>
      <c r="J66" s="362"/>
      <c r="K66" s="359"/>
    </row>
    <row r="67" spans="1:11" s="360" customFormat="1" ht="24">
      <c r="A67" s="283" t="s">
        <v>1631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1637</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601</v>
      </c>
      <c r="B70" s="361">
        <f>'Sources and Uses Budget'!C70</f>
        <v>825000</v>
      </c>
      <c r="C70" s="361">
        <f>SUM(C64:C69)</f>
        <v>0</v>
      </c>
      <c r="D70" s="361">
        <f>SUM(D64:D69)</f>
        <v>0</v>
      </c>
      <c r="E70" s="361">
        <f>'Sources and Uses Budget'!S70</f>
        <v>825000</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981362</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981362</v>
      </c>
      <c r="C77" s="361">
        <f>SUM(C72:C76)</f>
        <v>0</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1790214</v>
      </c>
      <c r="C79" s="362"/>
      <c r="D79" s="362"/>
      <c r="E79" s="361">
        <f>'Sources and Uses Budget'!S79</f>
        <v>1790214</v>
      </c>
      <c r="F79" s="362"/>
      <c r="G79" s="362"/>
      <c r="H79" s="361">
        <f>'Sources and Uses Budget'!T79</f>
        <v>0</v>
      </c>
      <c r="I79" s="362"/>
      <c r="J79" s="362"/>
      <c r="K79" s="359"/>
    </row>
    <row r="80" spans="1:11" s="360" customFormat="1">
      <c r="A80" s="364" t="s">
        <v>58</v>
      </c>
      <c r="B80" s="361">
        <f>'Sources and Uses Budget'!C80</f>
        <v>450000</v>
      </c>
      <c r="C80" s="362"/>
      <c r="D80" s="362"/>
      <c r="E80" s="361">
        <f>'Sources and Uses Budget'!S80</f>
        <v>450000</v>
      </c>
      <c r="F80" s="362"/>
      <c r="G80" s="362"/>
      <c r="H80" s="361">
        <f>'Sources and Uses Budget'!T80</f>
        <v>0</v>
      </c>
      <c r="I80" s="362"/>
      <c r="J80" s="362"/>
      <c r="K80" s="359"/>
    </row>
    <row r="81" spans="1:11" s="360" customFormat="1">
      <c r="A81" s="365" t="s">
        <v>1209</v>
      </c>
      <c r="B81" s="361">
        <f>'Sources and Uses Budget'!C81</f>
        <v>2240214</v>
      </c>
      <c r="C81" s="361">
        <f>SUM(C79:C80)</f>
        <v>0</v>
      </c>
      <c r="D81" s="361">
        <f>SUM(D79:D80)</f>
        <v>0</v>
      </c>
      <c r="E81" s="361">
        <f>'Sources and Uses Budget'!S81</f>
        <v>2240214</v>
      </c>
      <c r="F81" s="361">
        <f>SUM(F79:F80)</f>
        <v>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2051</v>
      </c>
      <c r="B83" s="361">
        <f>'Sources and Uses Budget'!C83</f>
        <v>259108</v>
      </c>
      <c r="C83" s="362"/>
      <c r="D83" s="362"/>
      <c r="E83" s="363"/>
      <c r="F83" s="363"/>
      <c r="G83" s="363"/>
      <c r="H83" s="363"/>
      <c r="I83" s="363"/>
      <c r="J83" s="363"/>
      <c r="K83" s="359"/>
    </row>
    <row r="84" spans="1:11" s="360" customFormat="1">
      <c r="A84" s="145" t="s">
        <v>767</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768</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769</v>
      </c>
      <c r="B86" s="361">
        <f>'Sources and Uses Budget'!C86</f>
        <v>2300000</v>
      </c>
      <c r="C86" s="362"/>
      <c r="D86" s="362"/>
      <c r="E86" s="361">
        <f>'Sources and Uses Budget'!S86</f>
        <v>2300000</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50000</v>
      </c>
      <c r="C88" s="362"/>
      <c r="D88" s="362"/>
      <c r="E88" s="363"/>
      <c r="F88" s="363"/>
      <c r="G88" s="363"/>
      <c r="H88" s="363"/>
      <c r="I88" s="363"/>
      <c r="J88" s="363"/>
      <c r="K88" s="359"/>
    </row>
    <row r="89" spans="1:11" s="360" customFormat="1">
      <c r="A89" s="145" t="s">
        <v>772</v>
      </c>
      <c r="B89" s="361">
        <f>'Sources and Uses Budget'!C89</f>
        <v>250000</v>
      </c>
      <c r="C89" s="362"/>
      <c r="D89" s="362"/>
      <c r="E89" s="361">
        <f>'Sources and Uses Budget'!S89</f>
        <v>250000</v>
      </c>
      <c r="F89" s="362"/>
      <c r="G89" s="362"/>
      <c r="H89" s="361">
        <f>'Sources and Uses Budget'!T89</f>
        <v>0</v>
      </c>
      <c r="I89" s="362"/>
      <c r="J89" s="362"/>
      <c r="K89" s="359"/>
    </row>
    <row r="90" spans="1:11" s="360" customFormat="1">
      <c r="A90" s="145" t="s">
        <v>773</v>
      </c>
      <c r="B90" s="361">
        <f>'Sources and Uses Budget'!C90</f>
        <v>10000</v>
      </c>
      <c r="C90" s="362"/>
      <c r="D90" s="362"/>
      <c r="E90" s="361">
        <f>'Sources and Uses Budget'!S90</f>
        <v>10000</v>
      </c>
      <c r="F90" s="362"/>
      <c r="G90" s="362"/>
      <c r="H90" s="361">
        <f>'Sources and Uses Budget'!T90</f>
        <v>0</v>
      </c>
      <c r="I90" s="362"/>
      <c r="J90" s="362"/>
      <c r="K90" s="359"/>
    </row>
    <row r="91" spans="1:11" s="360" customFormat="1">
      <c r="A91" s="155" t="s">
        <v>372</v>
      </c>
      <c r="B91" s="361">
        <f>'Sources and Uses Budget'!C91</f>
        <v>52500</v>
      </c>
      <c r="C91" s="362"/>
      <c r="D91" s="362"/>
      <c r="E91" s="361">
        <f>'Sources and Uses Budget'!S91</f>
        <v>52500</v>
      </c>
      <c r="F91" s="362"/>
      <c r="G91" s="362"/>
      <c r="H91" s="361">
        <f>'Sources and Uses Budget'!T91</f>
        <v>0</v>
      </c>
      <c r="I91" s="362"/>
      <c r="J91" s="362"/>
      <c r="K91" s="359"/>
    </row>
    <row r="92" spans="1:11" s="360" customFormat="1">
      <c r="A92" s="508" t="s">
        <v>1211</v>
      </c>
      <c r="B92" s="361">
        <f>'Sources and Uses Budget'!C92</f>
        <v>10000</v>
      </c>
      <c r="C92" s="362"/>
      <c r="D92" s="362"/>
      <c r="E92" s="361">
        <f>'Sources and Uses Budget'!S92</f>
        <v>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2931608</v>
      </c>
      <c r="C96" s="361">
        <f>SUM(C83:C95)</f>
        <v>0</v>
      </c>
      <c r="D96" s="361">
        <f>SUM(D83:D95)</f>
        <v>0</v>
      </c>
      <c r="E96" s="361">
        <f>'Sources and Uses Budget'!S96</f>
        <v>2612500</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64109792</v>
      </c>
      <c r="C97" s="361">
        <f>SUM(C63+C70+C77+C81+C96)</f>
        <v>0</v>
      </c>
      <c r="D97" s="361">
        <f>SUM(D63+D70+D77+D81+D96)</f>
        <v>0</v>
      </c>
      <c r="E97" s="361">
        <f>'Sources and Uses Budget'!S97</f>
        <v>47959439</v>
      </c>
      <c r="F97" s="367">
        <f>SUM(+F63+F70+F81+F96)</f>
        <v>0</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7193915</v>
      </c>
      <c r="C99" s="362"/>
      <c r="D99" s="362"/>
      <c r="E99" s="361">
        <f>'Sources and Uses Budget'!S99</f>
        <v>7193915</v>
      </c>
      <c r="F99" s="362"/>
      <c r="G99" s="362"/>
      <c r="H99" s="361">
        <f>'Sources and Uses Budget'!T99</f>
        <v>0</v>
      </c>
      <c r="I99" s="362"/>
      <c r="J99" s="362"/>
      <c r="K99" s="359"/>
    </row>
    <row r="100" spans="1:11" s="360" customFormat="1">
      <c r="A100" s="283" t="s">
        <v>1635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7193915</v>
      </c>
      <c r="C104" s="361">
        <f>SUM(C99:C103)</f>
        <v>0</v>
      </c>
      <c r="D104" s="361">
        <f>SUM(D99:D103)</f>
        <v>0</v>
      </c>
      <c r="E104" s="361">
        <f>'Sources and Uses Budget'!S104</f>
        <v>7193915</v>
      </c>
      <c r="F104" s="367">
        <f>SUM(F99:F103)</f>
        <v>0</v>
      </c>
      <c r="G104" s="367">
        <f>SUM(G99:G103)</f>
        <v>0</v>
      </c>
      <c r="H104" s="361">
        <f>'Sources and Uses Budget'!T104</f>
        <v>0</v>
      </c>
      <c r="I104" s="367">
        <f>SUM(I99:I103)</f>
        <v>0</v>
      </c>
      <c r="J104" s="367">
        <f>SUM(J99:J103)</f>
        <v>0</v>
      </c>
      <c r="K104" s="359"/>
    </row>
    <row r="105" spans="1:11" s="360" customFormat="1">
      <c r="A105" s="365" t="s">
        <v>1030</v>
      </c>
      <c r="B105" s="361">
        <f>'Sources and Uses Budget'!C105</f>
        <v>71303707</v>
      </c>
      <c r="C105" s="367">
        <f>SUM(C97+C104)</f>
        <v>0</v>
      </c>
      <c r="D105" s="367">
        <f>SUM(D97+D104)</f>
        <v>0</v>
      </c>
      <c r="E105" s="361">
        <f>'Sources and Uses Budget'!S105</f>
        <v>55153354</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55153354</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7"/>
      <c r="E124" s="1317"/>
      <c r="F124" s="1317"/>
      <c r="G124" s="1317"/>
      <c r="H124" s="1317"/>
      <c r="I124" s="1317"/>
      <c r="J124" s="376"/>
      <c r="K124" s="359"/>
    </row>
    <row r="125" spans="1:11" s="360" customFormat="1" ht="12.75">
      <c r="A125" s="385"/>
      <c r="B125" s="384"/>
      <c r="C125" s="385"/>
      <c r="D125" s="1317"/>
      <c r="E125" s="1317"/>
      <c r="F125" s="1317"/>
      <c r="G125" s="1317"/>
      <c r="H125" s="1317"/>
      <c r="I125" s="1317"/>
      <c r="J125" s="376"/>
      <c r="K125" s="359"/>
    </row>
    <row r="126" spans="1:11" s="360" customFormat="1" ht="12.75">
      <c r="A126" s="385"/>
      <c r="B126" s="384"/>
      <c r="C126" s="385"/>
      <c r="D126" s="1317"/>
      <c r="E126" s="1317"/>
      <c r="F126" s="1317"/>
      <c r="G126" s="1317"/>
      <c r="H126" s="1317"/>
      <c r="I126" s="1317"/>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8"/>
      <c r="B139" s="1317"/>
      <c r="C139" s="1317"/>
      <c r="D139" s="356"/>
      <c r="E139" s="385"/>
      <c r="F139" s="385"/>
      <c r="G139" s="385"/>
    </row>
    <row r="140" spans="1:11" ht="12" customHeight="1">
      <c r="A140" s="1290"/>
      <c r="B140" s="1290"/>
      <c r="C140" s="1290"/>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2318" t="s">
        <v>2391</v>
      </c>
      <c r="B1" s="2319"/>
      <c r="C1" s="2319"/>
      <c r="D1" s="2319"/>
      <c r="E1" s="2319"/>
      <c r="F1" s="2319"/>
      <c r="G1" s="2319"/>
      <c r="H1" s="2319"/>
      <c r="I1" s="2319"/>
      <c r="J1" s="2319"/>
      <c r="K1" s="2319"/>
      <c r="L1" s="2319"/>
      <c r="M1" s="2319"/>
      <c r="N1" s="2319"/>
      <c r="O1" s="2319"/>
      <c r="P1" s="2319"/>
      <c r="Q1" s="2319"/>
      <c r="R1" s="2319"/>
      <c r="S1" s="2319"/>
      <c r="T1" s="2319"/>
      <c r="U1" s="2319"/>
      <c r="V1" s="2319"/>
      <c r="W1" s="2319"/>
      <c r="X1" s="2319"/>
      <c r="Y1" s="2319"/>
      <c r="Z1" s="2319"/>
      <c r="AA1" s="2319"/>
      <c r="AB1" s="2319"/>
      <c r="AC1" s="2319"/>
      <c r="AD1" s="2319"/>
      <c r="AE1" s="2319"/>
      <c r="AF1" s="2319"/>
      <c r="AG1" s="2319"/>
      <c r="AH1" s="2319"/>
      <c r="AI1" s="2319"/>
      <c r="AJ1" s="2319"/>
      <c r="AK1" s="2319"/>
      <c r="AL1" s="2319"/>
      <c r="AM1" s="2319"/>
      <c r="AN1" s="2319"/>
      <c r="AO1" s="2319"/>
      <c r="AP1" s="2319"/>
      <c r="AQ1" s="2319"/>
      <c r="AR1" s="2319"/>
      <c r="AS1" s="2319"/>
      <c r="AT1" s="2319"/>
      <c r="AU1" s="2319"/>
      <c r="AV1" s="2319"/>
      <c r="AW1" s="2319"/>
      <c r="AX1" s="2319"/>
      <c r="AY1" s="2319"/>
      <c r="AZ1" s="2319"/>
      <c r="BA1" s="2319"/>
      <c r="BB1" s="2319"/>
      <c r="BC1" s="2319"/>
      <c r="BD1" s="2319"/>
      <c r="BE1" s="2320"/>
    </row>
    <row r="2" spans="1:65" ht="15.75" customHeight="1">
      <c r="A2" s="2321" t="s">
        <v>2390</v>
      </c>
      <c r="B2" s="2322"/>
      <c r="C2" s="2322"/>
      <c r="D2" s="2322"/>
      <c r="E2" s="2322"/>
      <c r="F2" s="2322"/>
      <c r="G2" s="2322"/>
      <c r="H2" s="2322"/>
      <c r="I2" s="2322"/>
      <c r="J2" s="2322"/>
      <c r="K2" s="2322"/>
      <c r="L2" s="2322"/>
      <c r="M2" s="2322"/>
      <c r="N2" s="2322"/>
      <c r="O2" s="2322"/>
      <c r="P2" s="2322"/>
      <c r="Q2" s="2322"/>
      <c r="R2" s="2322"/>
      <c r="S2" s="2322"/>
      <c r="T2" s="2322"/>
      <c r="U2" s="2322"/>
      <c r="V2" s="2322"/>
      <c r="W2" s="2322"/>
      <c r="X2" s="2322"/>
      <c r="Y2" s="2322"/>
      <c r="Z2" s="2322"/>
      <c r="AA2" s="2322"/>
      <c r="AB2" s="2322"/>
      <c r="AC2" s="2322"/>
      <c r="AD2" s="2322"/>
      <c r="AE2" s="2322"/>
      <c r="AF2" s="2322"/>
      <c r="AG2" s="2322"/>
      <c r="AH2" s="2322"/>
      <c r="AI2" s="2322"/>
      <c r="AJ2" s="2322"/>
      <c r="AK2" s="2322"/>
      <c r="AL2" s="2322"/>
      <c r="AM2" s="2322"/>
      <c r="AN2" s="2322"/>
      <c r="AO2" s="2322"/>
      <c r="AP2" s="2322"/>
      <c r="AQ2" s="2322"/>
      <c r="AR2" s="2322"/>
      <c r="AS2" s="2322"/>
      <c r="AT2" s="2322"/>
      <c r="AU2" s="2322"/>
      <c r="AV2" s="2322"/>
      <c r="AW2" s="2322"/>
      <c r="AX2" s="2322"/>
      <c r="AY2" s="2322"/>
      <c r="AZ2" s="2322"/>
      <c r="BA2" s="2322"/>
      <c r="BB2" s="2322"/>
      <c r="BC2" s="2322"/>
      <c r="BD2" s="2322"/>
      <c r="BE2" s="2323"/>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2" t="s">
        <v>2595</v>
      </c>
      <c r="AY3" s="2173"/>
      <c r="AZ3" s="2173"/>
      <c r="BA3" s="2324"/>
      <c r="BB3" s="2172" t="s">
        <v>2596</v>
      </c>
      <c r="BC3" s="2173"/>
      <c r="BD3" s="2173"/>
      <c r="BE3" s="2324"/>
    </row>
    <row r="4" spans="1:65" ht="15.75" customHeight="1" thickBot="1">
      <c r="A4" s="1207"/>
      <c r="B4" s="1209" t="s">
        <v>656</v>
      </c>
      <c r="C4" s="1209"/>
      <c r="D4" s="1209"/>
      <c r="E4" s="1209"/>
      <c r="F4" s="1209"/>
      <c r="G4" s="1208"/>
      <c r="H4" s="1208"/>
      <c r="I4" s="1208"/>
      <c r="J4" s="1208"/>
      <c r="K4" s="1208"/>
      <c r="L4" s="2315" t="str">
        <f>IF(Application!H18="","",Application!H18)</f>
        <v>1200 Main</v>
      </c>
      <c r="M4" s="2316"/>
      <c r="N4" s="2316"/>
      <c r="O4" s="2316"/>
      <c r="P4" s="2316"/>
      <c r="Q4" s="2316"/>
      <c r="R4" s="2316"/>
      <c r="S4" s="2316"/>
      <c r="T4" s="2316"/>
      <c r="U4" s="2316"/>
      <c r="V4" s="2316"/>
      <c r="W4" s="2316"/>
      <c r="X4" s="2316"/>
      <c r="Y4" s="2316"/>
      <c r="Z4" s="2316"/>
      <c r="AA4" s="2316"/>
      <c r="AB4" s="2316"/>
      <c r="AC4" s="2317"/>
      <c r="AD4" s="1208"/>
      <c r="AE4" s="1208"/>
      <c r="AF4" s="2304" t="s">
        <v>2389</v>
      </c>
      <c r="AG4" s="2304"/>
      <c r="AH4" s="2304"/>
      <c r="AI4" s="2304"/>
      <c r="AJ4" s="2304"/>
      <c r="AK4" s="2304"/>
      <c r="AL4" s="2304"/>
      <c r="AM4" s="2304"/>
      <c r="AN4" s="2304"/>
      <c r="AO4" s="2304"/>
      <c r="AP4" s="2305"/>
      <c r="AQ4" s="2306"/>
      <c r="AR4" s="2306"/>
      <c r="AS4" s="2306"/>
      <c r="AT4" s="2306"/>
      <c r="AU4" s="2306"/>
      <c r="AV4" s="1208"/>
      <c r="AW4" s="1208"/>
      <c r="AX4" s="2312" t="s">
        <v>2597</v>
      </c>
      <c r="AY4" s="2313"/>
      <c r="AZ4" s="2313"/>
      <c r="BA4" s="2314"/>
      <c r="BB4" s="1210">
        <f t="array" ref="BB4">ROUNDDOWN(SUM(IF((B19:I27&gt;0)*(B19:I27&lt;=30%),J19:O27,0))/J29,2)</f>
        <v>0.1</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4" t="s">
        <v>2388</v>
      </c>
      <c r="AG5" s="2304"/>
      <c r="AH5" s="2304"/>
      <c r="AI5" s="2304"/>
      <c r="AJ5" s="2304"/>
      <c r="AK5" s="2304"/>
      <c r="AL5" s="2304"/>
      <c r="AM5" s="2304"/>
      <c r="AN5" s="2304"/>
      <c r="AO5" s="2304"/>
      <c r="AP5" s="2305"/>
      <c r="AQ5" s="2306"/>
      <c r="AR5" s="2306"/>
      <c r="AS5" s="2306"/>
      <c r="AT5" s="2306"/>
      <c r="AU5" s="2306"/>
      <c r="AV5" s="1208"/>
      <c r="AW5" s="1208"/>
      <c r="AX5" s="2312" t="s">
        <v>2598</v>
      </c>
      <c r="AY5" s="2313"/>
      <c r="AZ5" s="2313"/>
      <c r="BA5" s="2314"/>
      <c r="BB5" s="1210">
        <f t="array" ref="BB5">ROUNDDOWN(SUM(IF((B19:I27&gt;0%)*(B19:I27&lt;=50%),J19:O27,0))/J29,2)</f>
        <v>0.2</v>
      </c>
      <c r="BC5" s="1211"/>
      <c r="BD5" s="1211"/>
      <c r="BE5" s="1212"/>
    </row>
    <row r="6" spans="1:65" ht="15.75" customHeight="1" thickBot="1">
      <c r="A6" s="1207"/>
      <c r="B6" s="1209" t="s">
        <v>2387</v>
      </c>
      <c r="C6" s="1208"/>
      <c r="D6" s="1208"/>
      <c r="E6" s="1208"/>
      <c r="F6" s="1208"/>
      <c r="G6" s="1208"/>
      <c r="H6" s="1208"/>
      <c r="I6" s="1208"/>
      <c r="J6" s="1208"/>
      <c r="K6" s="1208"/>
      <c r="L6" s="2315" t="str">
        <f>IF(Application!H16="","",Application!H16)</f>
        <v>1200 Main GP, LLC</v>
      </c>
      <c r="M6" s="2316"/>
      <c r="N6" s="2316"/>
      <c r="O6" s="2316"/>
      <c r="P6" s="2316"/>
      <c r="Q6" s="2316"/>
      <c r="R6" s="2316"/>
      <c r="S6" s="2316"/>
      <c r="T6" s="2316"/>
      <c r="U6" s="2316"/>
      <c r="V6" s="2316"/>
      <c r="W6" s="2316"/>
      <c r="X6" s="2316"/>
      <c r="Y6" s="2316"/>
      <c r="Z6" s="2316"/>
      <c r="AA6" s="2316"/>
      <c r="AB6" s="2316"/>
      <c r="AC6" s="2317"/>
      <c r="AD6" s="1208"/>
      <c r="AE6" s="1208"/>
      <c r="AF6" s="2307" t="s">
        <v>2386</v>
      </c>
      <c r="AG6" s="2307"/>
      <c r="AH6" s="2307"/>
      <c r="AI6" s="2307"/>
      <c r="AJ6" s="2307"/>
      <c r="AK6" s="2307"/>
      <c r="AL6" s="2307"/>
      <c r="AM6" s="2307"/>
      <c r="AN6" s="2307"/>
      <c r="AO6" s="2307"/>
      <c r="AP6" s="2308"/>
      <c r="AQ6" s="2308"/>
      <c r="AR6" s="2308"/>
      <c r="AS6" s="2308"/>
      <c r="AT6" s="2308"/>
      <c r="AU6" s="2308"/>
      <c r="AV6" s="1208"/>
      <c r="AW6" s="1208"/>
      <c r="AX6" s="2312" t="s">
        <v>2599</v>
      </c>
      <c r="AY6" s="2313"/>
      <c r="AZ6" s="2313"/>
      <c r="BA6" s="2314"/>
      <c r="BB6" s="1210">
        <f t="array" ref="BB6">ROUNDDOWN(SUM(IF((B19:I27&gt;60%)*(B19:I27&lt;=80%),J19:O27,0))/J29,2)</f>
        <v>0.41</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07" t="s">
        <v>2385</v>
      </c>
      <c r="AG7" s="2307"/>
      <c r="AH7" s="2307"/>
      <c r="AI7" s="2307"/>
      <c r="AJ7" s="2307"/>
      <c r="AK7" s="2307"/>
      <c r="AL7" s="2307"/>
      <c r="AM7" s="2307"/>
      <c r="AN7" s="2307"/>
      <c r="AO7" s="2307"/>
      <c r="AP7" s="2308"/>
      <c r="AQ7" s="2308"/>
      <c r="AR7" s="2308"/>
      <c r="AS7" s="2308"/>
      <c r="AT7" s="2308"/>
      <c r="AU7" s="2308"/>
      <c r="AV7" s="1208"/>
      <c r="AW7" s="1208"/>
      <c r="AX7" s="1208"/>
      <c r="AY7" s="1208"/>
      <c r="AZ7" s="1208"/>
      <c r="BA7" s="1208"/>
      <c r="BB7" s="1208"/>
      <c r="BC7" s="1208"/>
      <c r="BD7" s="1208"/>
      <c r="BE7" s="1213"/>
    </row>
    <row r="8" spans="1:65" thickBot="1">
      <c r="A8" s="1207"/>
      <c r="B8" s="1209" t="s">
        <v>2636</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09" t="str">
        <f>Application!T197</f>
        <v>No</v>
      </c>
      <c r="AC8" s="2310"/>
      <c r="AD8" s="2311"/>
      <c r="AE8" s="1208"/>
      <c r="AF8" s="2307" t="s">
        <v>2384</v>
      </c>
      <c r="AG8" s="2307"/>
      <c r="AH8" s="2307"/>
      <c r="AI8" s="2307"/>
      <c r="AJ8" s="2307"/>
      <c r="AK8" s="2307"/>
      <c r="AL8" s="2307"/>
      <c r="AM8" s="2307"/>
      <c r="AN8" s="2307"/>
      <c r="AO8" s="2307"/>
      <c r="AP8" s="2308" t="s">
        <v>2055</v>
      </c>
      <c r="AQ8" s="2308"/>
      <c r="AR8" s="2308"/>
      <c r="AS8" s="2308"/>
      <c r="AT8" s="2308"/>
      <c r="AU8" s="2308"/>
      <c r="AV8" s="1208"/>
      <c r="AW8" s="1208"/>
      <c r="AX8" s="1208"/>
      <c r="AY8" s="1208"/>
      <c r="AZ8" s="1208"/>
      <c r="BA8" s="1208"/>
      <c r="BB8" s="1208"/>
      <c r="BC8" s="1208"/>
      <c r="BD8" s="1208"/>
      <c r="BE8" s="1213"/>
      <c r="BM8" s="1204" t="s">
        <v>1957</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4" t="s">
        <v>2383</v>
      </c>
      <c r="AG9" s="2304"/>
      <c r="AH9" s="2304"/>
      <c r="AI9" s="2304"/>
      <c r="AJ9" s="2304"/>
      <c r="AK9" s="2304"/>
      <c r="AL9" s="2304"/>
      <c r="AM9" s="2304"/>
      <c r="AN9" s="2304"/>
      <c r="AO9" s="2304"/>
      <c r="AP9" s="2305"/>
      <c r="AQ9" s="2306"/>
      <c r="AR9" s="2306"/>
      <c r="AS9" s="2306"/>
      <c r="AT9" s="2306"/>
      <c r="AU9" s="2306"/>
      <c r="AV9" s="1208"/>
      <c r="AW9" s="1208"/>
      <c r="AX9" s="1208"/>
      <c r="AY9" s="1208"/>
      <c r="AZ9" s="1208"/>
      <c r="BA9" s="1208"/>
      <c r="BB9" s="1208"/>
      <c r="BC9" s="1208"/>
      <c r="BD9" s="1208"/>
      <c r="BE9" s="1213"/>
      <c r="BM9" s="1204" t="s">
        <v>2382</v>
      </c>
    </row>
    <row r="10" spans="1:65" ht="15">
      <c r="A10" s="1207"/>
      <c r="B10" s="1209" t="s">
        <v>2381</v>
      </c>
      <c r="C10" s="1209"/>
      <c r="D10" s="1209"/>
      <c r="E10" s="1209"/>
      <c r="F10" s="1209"/>
      <c r="G10" s="1209"/>
      <c r="H10" s="1209"/>
      <c r="I10" s="1209"/>
      <c r="J10" s="1209"/>
      <c r="K10" s="1209"/>
      <c r="L10" s="1209"/>
      <c r="M10" s="1208"/>
      <c r="N10" s="2303">
        <f>Application!AO635</f>
        <v>40069185</v>
      </c>
      <c r="O10" s="2303"/>
      <c r="P10" s="2303"/>
      <c r="Q10" s="2303"/>
      <c r="R10" s="2303"/>
      <c r="S10" s="2303"/>
      <c r="T10" s="2303"/>
      <c r="U10" s="1208"/>
      <c r="V10" s="1208"/>
      <c r="W10" s="1208"/>
      <c r="X10" s="1214"/>
      <c r="Y10" s="1214"/>
      <c r="Z10" s="1214"/>
      <c r="AA10" s="1214"/>
      <c r="AB10" s="1214"/>
      <c r="AC10" s="1214"/>
      <c r="AD10" s="1214"/>
      <c r="AE10" s="1214"/>
      <c r="AF10" s="2304" t="s">
        <v>2380</v>
      </c>
      <c r="AG10" s="2304"/>
      <c r="AH10" s="2304"/>
      <c r="AI10" s="2304"/>
      <c r="AJ10" s="2304"/>
      <c r="AK10" s="2304"/>
      <c r="AL10" s="2304"/>
      <c r="AM10" s="2304"/>
      <c r="AN10" s="2304"/>
      <c r="AO10" s="2304"/>
      <c r="AP10" s="2305"/>
      <c r="AQ10" s="2306"/>
      <c r="AR10" s="2306"/>
      <c r="AS10" s="2306"/>
      <c r="AT10" s="2306"/>
      <c r="AU10" s="2306"/>
      <c r="AV10" s="1214"/>
      <c r="AW10" s="1214"/>
      <c r="AX10" s="1208"/>
      <c r="AY10" s="1208"/>
      <c r="AZ10" s="1208"/>
      <c r="BA10" s="1208"/>
      <c r="BB10" s="1208"/>
      <c r="BC10" s="1208"/>
      <c r="BD10" s="1208"/>
      <c r="BE10" s="1213"/>
      <c r="BM10" s="1204" t="s">
        <v>2379</v>
      </c>
    </row>
    <row r="11" spans="1:65" ht="15">
      <c r="A11" s="1207"/>
      <c r="B11" s="1209" t="s">
        <v>2378</v>
      </c>
      <c r="C11" s="1209"/>
      <c r="D11" s="1209"/>
      <c r="E11" s="1209"/>
      <c r="F11" s="1209"/>
      <c r="G11" s="1209"/>
      <c r="H11" s="1209"/>
      <c r="I11" s="1209"/>
      <c r="J11" s="1209"/>
      <c r="K11" s="1209"/>
      <c r="L11" s="1209"/>
      <c r="M11" s="1208"/>
      <c r="N11" s="2303">
        <f>Application!AA943</f>
        <v>0</v>
      </c>
      <c r="O11" s="2303"/>
      <c r="P11" s="2303"/>
      <c r="Q11" s="2303"/>
      <c r="R11" s="2303"/>
      <c r="S11" s="2303"/>
      <c r="T11" s="2303"/>
      <c r="U11" s="1208"/>
      <c r="V11" s="1208"/>
      <c r="W11" s="1208"/>
      <c r="X11" s="1214"/>
      <c r="Y11" s="1214"/>
      <c r="Z11" s="1214"/>
      <c r="AA11" s="1214"/>
      <c r="AB11" s="1214"/>
      <c r="AC11" s="1214"/>
      <c r="AD11" s="1214"/>
      <c r="AE11" s="1214"/>
      <c r="AF11" s="2304" t="s">
        <v>2377</v>
      </c>
      <c r="AG11" s="2304"/>
      <c r="AH11" s="2304"/>
      <c r="AI11" s="2304"/>
      <c r="AJ11" s="2304"/>
      <c r="AK11" s="2304"/>
      <c r="AL11" s="2304"/>
      <c r="AM11" s="2304"/>
      <c r="AN11" s="2304"/>
      <c r="AO11" s="2304"/>
      <c r="AP11" s="2305"/>
      <c r="AQ11" s="2306"/>
      <c r="AR11" s="2306"/>
      <c r="AS11" s="2306"/>
      <c r="AT11" s="2306"/>
      <c r="AU11" s="2306"/>
      <c r="AV11" s="1214"/>
      <c r="AW11" s="1214"/>
      <c r="AX11" s="1208"/>
      <c r="AY11" s="1208"/>
      <c r="AZ11" s="1208"/>
      <c r="BA11" s="1208"/>
      <c r="BB11" s="1208"/>
      <c r="BC11" s="1208"/>
      <c r="BD11" s="1208"/>
      <c r="BE11" s="1213"/>
      <c r="BM11" s="1204" t="s">
        <v>2055</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2376</v>
      </c>
    </row>
    <row r="13" spans="1:65" thickBot="1">
      <c r="A13" s="1208"/>
      <c r="B13" s="2294" t="s">
        <v>2375</v>
      </c>
      <c r="C13" s="2295"/>
      <c r="D13" s="2295"/>
      <c r="E13" s="2295"/>
      <c r="F13" s="2295"/>
      <c r="G13" s="2295"/>
      <c r="H13" s="2295"/>
      <c r="I13" s="2295"/>
      <c r="J13" s="2295"/>
      <c r="K13" s="2295"/>
      <c r="L13" s="2295"/>
      <c r="M13" s="2295"/>
      <c r="N13" s="2295"/>
      <c r="O13" s="2295"/>
      <c r="P13" s="2296"/>
      <c r="Q13" s="2297" t="s">
        <v>669</v>
      </c>
      <c r="R13" s="2298"/>
      <c r="S13" s="2298"/>
      <c r="T13" s="2299"/>
      <c r="U13" s="1214"/>
      <c r="V13" s="1208"/>
      <c r="W13" s="1208"/>
      <c r="X13" s="1208"/>
      <c r="Y13" s="1208"/>
      <c r="Z13" s="1208"/>
      <c r="AA13" s="2284" t="s">
        <v>2374</v>
      </c>
      <c r="AB13" s="2284"/>
      <c r="AC13" s="2284"/>
      <c r="AD13" s="2284"/>
      <c r="AE13" s="2284"/>
      <c r="AF13" s="2284"/>
      <c r="AG13" s="2284"/>
      <c r="AH13" s="2284"/>
      <c r="AI13" s="2284"/>
      <c r="AJ13" s="2284"/>
      <c r="AK13" s="2284"/>
      <c r="AL13" s="2284"/>
      <c r="AM13" s="2284"/>
      <c r="AN13" s="2284"/>
      <c r="AO13" s="2300">
        <f>Application!W481</f>
        <v>47</v>
      </c>
      <c r="AP13" s="2301"/>
      <c r="AQ13" s="2301"/>
      <c r="AR13" s="2301"/>
      <c r="AS13" s="2301"/>
      <c r="AT13" s="1214"/>
      <c r="AU13" s="1214"/>
      <c r="AV13" s="1214"/>
      <c r="AW13" s="1214"/>
      <c r="AX13" s="1214"/>
      <c r="AY13" s="1214"/>
      <c r="AZ13" s="1214"/>
      <c r="BA13" s="1214"/>
      <c r="BB13" s="1214"/>
      <c r="BC13" s="1214"/>
      <c r="BD13" s="1214"/>
      <c r="BE13" s="1215"/>
      <c r="BM13" s="1204" t="s">
        <v>2373</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2" t="s">
        <v>2372</v>
      </c>
      <c r="AB14" s="2302"/>
      <c r="AC14" s="2302"/>
      <c r="AD14" s="2302"/>
      <c r="AE14" s="2302"/>
      <c r="AF14" s="2302"/>
      <c r="AG14" s="2302"/>
      <c r="AH14" s="2302"/>
      <c r="AI14" s="2302"/>
      <c r="AJ14" s="2302"/>
      <c r="AK14" s="2302"/>
      <c r="AL14" s="2302"/>
      <c r="AM14" s="2302"/>
      <c r="AN14" s="2302"/>
      <c r="AO14" s="2285"/>
      <c r="AP14" s="2286"/>
      <c r="AQ14" s="2286"/>
      <c r="AR14" s="2286"/>
      <c r="AS14" s="2286"/>
      <c r="AT14" s="1214"/>
      <c r="AU14" s="1214"/>
      <c r="AV14" s="1214"/>
      <c r="AW14" s="1214"/>
      <c r="AX14" s="1214"/>
      <c r="AY14" s="1214"/>
      <c r="AZ14" s="1214"/>
      <c r="BA14" s="1214"/>
      <c r="BB14" s="1214"/>
      <c r="BC14" s="1214"/>
      <c r="BD14" s="1214"/>
      <c r="BE14" s="1215"/>
    </row>
    <row r="15" spans="1:65" thickBot="1">
      <c r="A15" s="1208"/>
      <c r="B15" s="2279" t="s">
        <v>2371</v>
      </c>
      <c r="C15" s="2280"/>
      <c r="D15" s="2280"/>
      <c r="E15" s="2280"/>
      <c r="F15" s="2280"/>
      <c r="G15" s="2280"/>
      <c r="H15" s="2280"/>
      <c r="I15" s="2280"/>
      <c r="J15" s="2280"/>
      <c r="K15" s="2280"/>
      <c r="L15" s="2280"/>
      <c r="M15" s="2280"/>
      <c r="N15" s="2280"/>
      <c r="O15" s="2280"/>
      <c r="P15" s="2280"/>
      <c r="Q15" s="2280"/>
      <c r="R15" s="2281"/>
      <c r="S15" s="2282" t="str">
        <f>IF(Application!AB215="","",Application!AB215)</f>
        <v/>
      </c>
      <c r="T15" s="2282"/>
      <c r="U15" s="2282"/>
      <c r="V15" s="2282"/>
      <c r="W15" s="2283"/>
      <c r="X15" s="1214"/>
      <c r="Y15" s="1208"/>
      <c r="Z15" s="1208"/>
      <c r="AA15" s="2284" t="s">
        <v>2370</v>
      </c>
      <c r="AB15" s="2284"/>
      <c r="AC15" s="2284"/>
      <c r="AD15" s="2284"/>
      <c r="AE15" s="2284"/>
      <c r="AF15" s="2284"/>
      <c r="AG15" s="2284"/>
      <c r="AH15" s="2284"/>
      <c r="AI15" s="2284"/>
      <c r="AJ15" s="2284"/>
      <c r="AK15" s="2284"/>
      <c r="AL15" s="2284"/>
      <c r="AM15" s="2284"/>
      <c r="AN15" s="2284"/>
      <c r="AO15" s="2285"/>
      <c r="AP15" s="2286"/>
      <c r="AQ15" s="2286"/>
      <c r="AR15" s="2286"/>
      <c r="AS15" s="2286"/>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2107" t="s">
        <v>2369</v>
      </c>
      <c r="C17" s="2108"/>
      <c r="D17" s="2108"/>
      <c r="E17" s="2108"/>
      <c r="F17" s="2108"/>
      <c r="G17" s="2108"/>
      <c r="H17" s="2108"/>
      <c r="I17" s="2108"/>
      <c r="J17" s="2108"/>
      <c r="K17" s="2108"/>
      <c r="L17" s="2108"/>
      <c r="M17" s="2108"/>
      <c r="N17" s="2108"/>
      <c r="O17" s="2108"/>
      <c r="P17" s="2108"/>
      <c r="Q17" s="2108"/>
      <c r="R17" s="2108"/>
      <c r="S17" s="2108"/>
      <c r="T17" s="2108"/>
      <c r="U17" s="2108"/>
      <c r="V17" s="2108"/>
      <c r="W17" s="2108"/>
      <c r="X17" s="2108"/>
      <c r="Y17" s="2108"/>
      <c r="Z17" s="2108"/>
      <c r="AA17" s="2108"/>
      <c r="AB17" s="2108"/>
      <c r="AC17" s="2108"/>
      <c r="AD17" s="2108"/>
      <c r="AE17" s="2108"/>
      <c r="AF17" s="2108"/>
      <c r="AG17" s="2108"/>
      <c r="AH17" s="2108"/>
      <c r="AI17" s="2108"/>
      <c r="AJ17" s="2108"/>
      <c r="AK17" s="2108"/>
      <c r="AL17" s="2108"/>
      <c r="AM17" s="2108"/>
      <c r="AN17" s="2108"/>
      <c r="AO17" s="2108"/>
      <c r="AP17" s="2108"/>
      <c r="AQ17" s="2108"/>
      <c r="AR17" s="2108"/>
      <c r="AS17" s="2108"/>
      <c r="AT17" s="2108"/>
      <c r="AU17" s="2108"/>
      <c r="AV17" s="2108"/>
      <c r="AW17" s="2108"/>
      <c r="AX17" s="2108"/>
      <c r="AY17" s="2109"/>
      <c r="AZ17" s="1208"/>
      <c r="BA17" s="1208"/>
      <c r="BB17" s="1208"/>
      <c r="BC17" s="1208"/>
      <c r="BD17" s="1208"/>
      <c r="BE17" s="1215"/>
      <c r="BF17" s="1206"/>
    </row>
    <row r="18" spans="1:58" ht="15.75" customHeight="1">
      <c r="A18" s="1208"/>
      <c r="B18" s="2287" t="s">
        <v>2368</v>
      </c>
      <c r="C18" s="2288"/>
      <c r="D18" s="2288"/>
      <c r="E18" s="2288"/>
      <c r="F18" s="2288"/>
      <c r="G18" s="2288"/>
      <c r="H18" s="2288"/>
      <c r="I18" s="2289"/>
      <c r="J18" s="2290" t="s">
        <v>1575</v>
      </c>
      <c r="K18" s="2291"/>
      <c r="L18" s="2291"/>
      <c r="M18" s="2291"/>
      <c r="N18" s="2291"/>
      <c r="O18" s="2292"/>
      <c r="P18" s="2290" t="s">
        <v>324</v>
      </c>
      <c r="Q18" s="2291"/>
      <c r="R18" s="2291"/>
      <c r="S18" s="2291"/>
      <c r="T18" s="2291"/>
      <c r="U18" s="2292"/>
      <c r="V18" s="2290" t="s">
        <v>325</v>
      </c>
      <c r="W18" s="2291"/>
      <c r="X18" s="2291"/>
      <c r="Y18" s="2291"/>
      <c r="Z18" s="2291"/>
      <c r="AA18" s="2292"/>
      <c r="AB18" s="2290" t="s">
        <v>163</v>
      </c>
      <c r="AC18" s="2291"/>
      <c r="AD18" s="2291"/>
      <c r="AE18" s="2291"/>
      <c r="AF18" s="2291"/>
      <c r="AG18" s="2292"/>
      <c r="AH18" s="2290" t="s">
        <v>164</v>
      </c>
      <c r="AI18" s="2291"/>
      <c r="AJ18" s="2291"/>
      <c r="AK18" s="2291"/>
      <c r="AL18" s="2291"/>
      <c r="AM18" s="2292"/>
      <c r="AN18" s="2290" t="s">
        <v>165</v>
      </c>
      <c r="AO18" s="2291"/>
      <c r="AP18" s="2291"/>
      <c r="AQ18" s="2291"/>
      <c r="AR18" s="2291"/>
      <c r="AS18" s="2292"/>
      <c r="AT18" s="2290" t="s">
        <v>2367</v>
      </c>
      <c r="AU18" s="2291"/>
      <c r="AV18" s="2291"/>
      <c r="AW18" s="2291"/>
      <c r="AX18" s="2291"/>
      <c r="AY18" s="2293"/>
      <c r="AZ18" s="1208"/>
      <c r="BA18" s="1208"/>
      <c r="BB18" s="1208"/>
      <c r="BC18" s="1208"/>
      <c r="BD18" s="1208"/>
      <c r="BE18" s="1215"/>
    </row>
    <row r="19" spans="1:58" ht="15">
      <c r="A19" s="1208"/>
      <c r="B19" s="2273">
        <v>0.3</v>
      </c>
      <c r="C19" s="2274"/>
      <c r="D19" s="2274"/>
      <c r="E19" s="2274"/>
      <c r="F19" s="2274"/>
      <c r="G19" s="2274"/>
      <c r="H19" s="2274"/>
      <c r="I19" s="2275"/>
      <c r="J19" s="2276">
        <f t="shared" ref="J19:J24" si="0">SUM(P19:AS19)</f>
        <v>20</v>
      </c>
      <c r="K19" s="2277"/>
      <c r="L19" s="2277"/>
      <c r="M19" s="2277"/>
      <c r="N19" s="2277"/>
      <c r="O19" s="2278"/>
      <c r="P19" s="2276" cm="1">
        <f t="array" ref="P19">SUMPRODUCT((Application!$B$726:$B$760 = 'CalHFA Addendum'!P$18)*(Application!$AC$726:$AC$760 = 'CalHFA Addendum'!$B19),Application!$G$726:$G$760)</f>
        <v>2</v>
      </c>
      <c r="Q19" s="2277"/>
      <c r="R19" s="2277"/>
      <c r="S19" s="2277"/>
      <c r="T19" s="2277"/>
      <c r="U19" s="2278"/>
      <c r="V19" s="2276" cm="1">
        <f t="array" ref="V19">SUMPRODUCT((Application!$B$726:$B$760 = 'CalHFA Addendum'!V$18)*(Application!$AC$726:$AC$760 = 'CalHFA Addendum'!$B19),Application!$G$726:$G$760)</f>
        <v>17</v>
      </c>
      <c r="W19" s="2277"/>
      <c r="X19" s="2277"/>
      <c r="Y19" s="2277"/>
      <c r="Z19" s="2277"/>
      <c r="AA19" s="2278"/>
      <c r="AB19" s="2276" cm="1">
        <f t="array" ref="AB19">SUMPRODUCT((Application!$B$726:$B$760 = 'CalHFA Addendum'!AB$18)*(Application!$AC$726:$AC$760 = 'CalHFA Addendum'!$B19),Application!$G$726:$G$760)</f>
        <v>1</v>
      </c>
      <c r="AC19" s="2277"/>
      <c r="AD19" s="2277"/>
      <c r="AE19" s="2277"/>
      <c r="AF19" s="2277"/>
      <c r="AG19" s="2278"/>
      <c r="AH19" s="2276" cm="1">
        <f t="array" ref="AH19">SUMPRODUCT((Application!$B$726:$B$760 = 'CalHFA Addendum'!AH$18)*(Application!$AC$726:$AC$760 = 'CalHFA Addendum'!$B19),Application!$G$726:$G$760)</f>
        <v>0</v>
      </c>
      <c r="AI19" s="2277"/>
      <c r="AJ19" s="2277"/>
      <c r="AK19" s="2277"/>
      <c r="AL19" s="2277"/>
      <c r="AM19" s="2278"/>
      <c r="AN19" s="2276" cm="1">
        <f t="array" ref="AN19">SUMPRODUCT((Application!$B$726:$B$760 = 'CalHFA Addendum'!AN$18)*(Application!$AC$726:$AC$760 = 'CalHFA Addendum'!$B19),Application!$G$726:$G$760)</f>
        <v>0</v>
      </c>
      <c r="AO19" s="2277"/>
      <c r="AP19" s="2277"/>
      <c r="AQ19" s="2277"/>
      <c r="AR19" s="2277"/>
      <c r="AS19" s="2278"/>
      <c r="AT19" s="2261">
        <f>J19/$J$29</f>
        <v>0.10526315789473684</v>
      </c>
      <c r="AU19" s="2262"/>
      <c r="AV19" s="2262"/>
      <c r="AW19" s="2262"/>
      <c r="AX19" s="2262"/>
      <c r="AY19" s="2263"/>
      <c r="AZ19" s="1216"/>
      <c r="BA19" s="1208"/>
      <c r="BB19" s="1208"/>
      <c r="BC19" s="1208"/>
      <c r="BD19" s="1208"/>
      <c r="BE19" s="1215"/>
    </row>
    <row r="20" spans="1:58" ht="15" customHeight="1">
      <c r="A20" s="1208"/>
      <c r="B20" s="2273">
        <v>0.4</v>
      </c>
      <c r="C20" s="2274"/>
      <c r="D20" s="2274"/>
      <c r="E20" s="2274"/>
      <c r="F20" s="2274"/>
      <c r="G20" s="2274"/>
      <c r="H20" s="2274"/>
      <c r="I20" s="2275"/>
      <c r="J20" s="2276">
        <f t="shared" si="0"/>
        <v>0</v>
      </c>
      <c r="K20" s="2277"/>
      <c r="L20" s="2277"/>
      <c r="M20" s="2277"/>
      <c r="N20" s="2277"/>
      <c r="O20" s="2278"/>
      <c r="P20" s="2276" cm="1">
        <f t="array" ref="P20">SUMPRODUCT((Application!$B$726:$B$760 = 'CalHFA Addendum'!P$18)*(Application!$AC$726:$AC$760 = 'CalHFA Addendum'!$B20),Application!$G$726:$G$760)</f>
        <v>0</v>
      </c>
      <c r="Q20" s="2277"/>
      <c r="R20" s="2277"/>
      <c r="S20" s="2277"/>
      <c r="T20" s="2277"/>
      <c r="U20" s="2278"/>
      <c r="V20" s="2276" cm="1">
        <f t="array" ref="V20">SUMPRODUCT((Application!$B$726:$B$760 = 'CalHFA Addendum'!V$18)*(Application!$AC$726:$AC$760 = 'CalHFA Addendum'!$B20),Application!$G$726:$G$760)</f>
        <v>0</v>
      </c>
      <c r="W20" s="2277"/>
      <c r="X20" s="2277"/>
      <c r="Y20" s="2277"/>
      <c r="Z20" s="2277"/>
      <c r="AA20" s="2278"/>
      <c r="AB20" s="2276" cm="1">
        <f t="array" ref="AB20">SUMPRODUCT((Application!$B$726:$B$760 = 'CalHFA Addendum'!AB$18)*(Application!$AC$726:$AC$760 = 'CalHFA Addendum'!$B20),Application!$G$726:$G$760)</f>
        <v>0</v>
      </c>
      <c r="AC20" s="2277"/>
      <c r="AD20" s="2277"/>
      <c r="AE20" s="2277"/>
      <c r="AF20" s="2277"/>
      <c r="AG20" s="2278"/>
      <c r="AH20" s="2276" cm="1">
        <f t="array" ref="AH20">SUMPRODUCT((Application!$B$726:$B$760 = 'CalHFA Addendum'!AH$18)*(Application!$AC$726:$AC$760 = 'CalHFA Addendum'!$B20),Application!$G$726:$G$760)</f>
        <v>0</v>
      </c>
      <c r="AI20" s="2277"/>
      <c r="AJ20" s="2277"/>
      <c r="AK20" s="2277"/>
      <c r="AL20" s="2277"/>
      <c r="AM20" s="2278"/>
      <c r="AN20" s="2276" cm="1">
        <f t="array" ref="AN20">SUMPRODUCT((Application!$B$726:$B$760 = 'CalHFA Addendum'!AN$18)*(Application!$AC$726:$AC$760 = 'CalHFA Addendum'!$B20),Application!$G$726:$G$760)</f>
        <v>0</v>
      </c>
      <c r="AO20" s="2277"/>
      <c r="AP20" s="2277"/>
      <c r="AQ20" s="2277"/>
      <c r="AR20" s="2277"/>
      <c r="AS20" s="2278"/>
      <c r="AT20" s="2261">
        <f t="shared" ref="AT20:AT29" si="1">J20/$J$29</f>
        <v>0</v>
      </c>
      <c r="AU20" s="2262"/>
      <c r="AV20" s="2262"/>
      <c r="AW20" s="2262"/>
      <c r="AX20" s="2262"/>
      <c r="AY20" s="2263"/>
      <c r="AZ20" s="1208"/>
      <c r="BA20" s="1208"/>
      <c r="BB20" s="1208"/>
      <c r="BC20" s="1208"/>
      <c r="BD20" s="1208"/>
      <c r="BE20" s="1215"/>
    </row>
    <row r="21" spans="1:58" ht="15">
      <c r="A21" s="1208"/>
      <c r="B21" s="2273">
        <v>0.5</v>
      </c>
      <c r="C21" s="2274"/>
      <c r="D21" s="2274"/>
      <c r="E21" s="2274"/>
      <c r="F21" s="2274"/>
      <c r="G21" s="2274"/>
      <c r="H21" s="2274"/>
      <c r="I21" s="2275"/>
      <c r="J21" s="2276">
        <f t="shared" si="0"/>
        <v>19</v>
      </c>
      <c r="K21" s="2277"/>
      <c r="L21" s="2277"/>
      <c r="M21" s="2277"/>
      <c r="N21" s="2277"/>
      <c r="O21" s="2278"/>
      <c r="P21" s="2276" cm="1">
        <f t="array" ref="P21">SUMPRODUCT((Application!$B$726:$B$760 = 'CalHFA Addendum'!P$18)*(Application!$AC$726:$AC$760 = 'CalHFA Addendum'!$B21),Application!$G$726:$G$760)</f>
        <v>2</v>
      </c>
      <c r="Q21" s="2277"/>
      <c r="R21" s="2277"/>
      <c r="S21" s="2277"/>
      <c r="T21" s="2277"/>
      <c r="U21" s="2278"/>
      <c r="V21" s="2276" cm="1">
        <f t="array" ref="V21">SUMPRODUCT((Application!$B$726:$B$760 = 'CalHFA Addendum'!V$18)*(Application!$AC$726:$AC$760 = 'CalHFA Addendum'!$B21),Application!$G$726:$G$760)</f>
        <v>17</v>
      </c>
      <c r="W21" s="2277"/>
      <c r="X21" s="2277"/>
      <c r="Y21" s="2277"/>
      <c r="Z21" s="2277"/>
      <c r="AA21" s="2278"/>
      <c r="AB21" s="2276" cm="1">
        <f t="array" ref="AB21">SUMPRODUCT((Application!$B$726:$B$760 = 'CalHFA Addendum'!AB$18)*(Application!$AC$726:$AC$760 = 'CalHFA Addendum'!$B21),Application!$G$726:$G$760)</f>
        <v>0</v>
      </c>
      <c r="AC21" s="2277"/>
      <c r="AD21" s="2277"/>
      <c r="AE21" s="2277"/>
      <c r="AF21" s="2277"/>
      <c r="AG21" s="2278"/>
      <c r="AH21" s="2276" cm="1">
        <f t="array" ref="AH21">SUMPRODUCT((Application!$B$726:$B$760 = 'CalHFA Addendum'!AH$18)*(Application!$AC$726:$AC$760 = 'CalHFA Addendum'!$B21),Application!$G$726:$G$760)</f>
        <v>0</v>
      </c>
      <c r="AI21" s="2277"/>
      <c r="AJ21" s="2277"/>
      <c r="AK21" s="2277"/>
      <c r="AL21" s="2277"/>
      <c r="AM21" s="2278"/>
      <c r="AN21" s="2276" cm="1">
        <f t="array" ref="AN21">SUMPRODUCT((Application!$B$726:$B$760 = 'CalHFA Addendum'!AN$18)*(Application!$AC$726:$AC$760 = 'CalHFA Addendum'!$B21),Application!$G$726:$G$760)</f>
        <v>0</v>
      </c>
      <c r="AO21" s="2277"/>
      <c r="AP21" s="2277"/>
      <c r="AQ21" s="2277"/>
      <c r="AR21" s="2277"/>
      <c r="AS21" s="2278"/>
      <c r="AT21" s="2261">
        <f t="shared" si="1"/>
        <v>0.1</v>
      </c>
      <c r="AU21" s="2262"/>
      <c r="AV21" s="2262"/>
      <c r="AW21" s="2262"/>
      <c r="AX21" s="2262"/>
      <c r="AY21" s="2263"/>
      <c r="AZ21" s="1208"/>
      <c r="BA21" s="1208"/>
      <c r="BB21" s="1208"/>
      <c r="BC21" s="1208"/>
      <c r="BD21" s="1208"/>
      <c r="BE21" s="1215"/>
    </row>
    <row r="22" spans="1:58" ht="15">
      <c r="A22" s="1208"/>
      <c r="B22" s="2273">
        <v>0.6</v>
      </c>
      <c r="C22" s="2274"/>
      <c r="D22" s="2274"/>
      <c r="E22" s="2274"/>
      <c r="F22" s="2274"/>
      <c r="G22" s="2274"/>
      <c r="H22" s="2274"/>
      <c r="I22" s="2275"/>
      <c r="J22" s="2276">
        <f t="shared" si="0"/>
        <v>71</v>
      </c>
      <c r="K22" s="2277"/>
      <c r="L22" s="2277"/>
      <c r="M22" s="2277"/>
      <c r="N22" s="2277"/>
      <c r="O22" s="2278"/>
      <c r="P22" s="2276" cm="1">
        <f t="array" ref="P22">SUMPRODUCT((Application!$B$726:$B$760 = 'CalHFA Addendum'!P$18)*(Application!$AC$726:$AC$760 = 'CalHFA Addendum'!$B22),Application!$G$726:$G$760)</f>
        <v>6</v>
      </c>
      <c r="Q22" s="2277"/>
      <c r="R22" s="2277"/>
      <c r="S22" s="2277"/>
      <c r="T22" s="2277"/>
      <c r="U22" s="2278"/>
      <c r="V22" s="2276" cm="1">
        <f t="array" ref="V22">SUMPRODUCT((Application!$B$726:$B$760 = 'CalHFA Addendum'!V$18)*(Application!$AC$726:$AC$760 = 'CalHFA Addendum'!$B22),Application!$G$726:$G$760)</f>
        <v>63</v>
      </c>
      <c r="W22" s="2277"/>
      <c r="X22" s="2277"/>
      <c r="Y22" s="2277"/>
      <c r="Z22" s="2277"/>
      <c r="AA22" s="2278"/>
      <c r="AB22" s="2276" cm="1">
        <f t="array" ref="AB22">SUMPRODUCT((Application!$B$726:$B$760 = 'CalHFA Addendum'!AB$18)*(Application!$AC$726:$AC$760 = 'CalHFA Addendum'!$B22),Application!$G$726:$G$760)</f>
        <v>2</v>
      </c>
      <c r="AC22" s="2277"/>
      <c r="AD22" s="2277"/>
      <c r="AE22" s="2277"/>
      <c r="AF22" s="2277"/>
      <c r="AG22" s="2278"/>
      <c r="AH22" s="2276" cm="1">
        <f t="array" ref="AH22">SUMPRODUCT((Application!$B$726:$B$760 = 'CalHFA Addendum'!AH$18)*(Application!$AC$726:$AC$760 = 'CalHFA Addendum'!$B22),Application!$G$726:$G$760)</f>
        <v>0</v>
      </c>
      <c r="AI22" s="2277"/>
      <c r="AJ22" s="2277"/>
      <c r="AK22" s="2277"/>
      <c r="AL22" s="2277"/>
      <c r="AM22" s="2278"/>
      <c r="AN22" s="2276" cm="1">
        <f t="array" ref="AN22">SUMPRODUCT((Application!$B$726:$B$760 = 'CalHFA Addendum'!AN$18)*(Application!$AC$726:$AC$760 = 'CalHFA Addendum'!$B22),Application!$G$726:$G$760)</f>
        <v>0</v>
      </c>
      <c r="AO22" s="2277"/>
      <c r="AP22" s="2277"/>
      <c r="AQ22" s="2277"/>
      <c r="AR22" s="2277"/>
      <c r="AS22" s="2278"/>
      <c r="AT22" s="2261">
        <f t="shared" si="1"/>
        <v>0.37368421052631579</v>
      </c>
      <c r="AU22" s="2262"/>
      <c r="AV22" s="2262"/>
      <c r="AW22" s="2262"/>
      <c r="AX22" s="2262"/>
      <c r="AY22" s="2263"/>
      <c r="AZ22" s="1208"/>
      <c r="BA22" s="1208"/>
      <c r="BB22" s="1208"/>
      <c r="BC22" s="1208"/>
      <c r="BD22" s="1208"/>
      <c r="BE22" s="1215"/>
    </row>
    <row r="23" spans="1:58" ht="15">
      <c r="A23" s="1208"/>
      <c r="B23" s="2273">
        <v>0.7</v>
      </c>
      <c r="C23" s="2274"/>
      <c r="D23" s="2274"/>
      <c r="E23" s="2274"/>
      <c r="F23" s="2274"/>
      <c r="G23" s="2274"/>
      <c r="H23" s="2274"/>
      <c r="I23" s="2275"/>
      <c r="J23" s="2276">
        <f t="shared" si="0"/>
        <v>78</v>
      </c>
      <c r="K23" s="2277"/>
      <c r="L23" s="2277"/>
      <c r="M23" s="2277"/>
      <c r="N23" s="2277"/>
      <c r="O23" s="2278"/>
      <c r="P23" s="2276" cm="1">
        <f t="array" ref="P23">SUMPRODUCT((Application!$B$726:$B$760 = 'CalHFA Addendum'!P$18)*(Application!$AC$726:$AC$760 = 'CalHFA Addendum'!$B23),Application!$G$726:$G$760)</f>
        <v>6</v>
      </c>
      <c r="Q23" s="2277"/>
      <c r="R23" s="2277"/>
      <c r="S23" s="2277"/>
      <c r="T23" s="2277"/>
      <c r="U23" s="2278"/>
      <c r="V23" s="2276" cm="1">
        <f t="array" ref="V23">SUMPRODUCT((Application!$B$726:$B$760 = 'CalHFA Addendum'!V$18)*(Application!$AC$726:$AC$760 = 'CalHFA Addendum'!$B23),Application!$G$726:$G$760)</f>
        <v>69</v>
      </c>
      <c r="W23" s="2277"/>
      <c r="X23" s="2277"/>
      <c r="Y23" s="2277"/>
      <c r="Z23" s="2277"/>
      <c r="AA23" s="2278"/>
      <c r="AB23" s="2276" cm="1">
        <f t="array" ref="AB23">SUMPRODUCT((Application!$B$726:$B$760 = 'CalHFA Addendum'!AB$18)*(Application!$AC$726:$AC$760 = 'CalHFA Addendum'!$B23),Application!$G$726:$G$760)</f>
        <v>3</v>
      </c>
      <c r="AC23" s="2277"/>
      <c r="AD23" s="2277"/>
      <c r="AE23" s="2277"/>
      <c r="AF23" s="2277"/>
      <c r="AG23" s="2278"/>
      <c r="AH23" s="2276" cm="1">
        <f t="array" ref="AH23">SUMPRODUCT((Application!$B$726:$B$760 = 'CalHFA Addendum'!AH$18)*(Application!$AC$726:$AC$760 = 'CalHFA Addendum'!$B23),Application!$G$726:$G$760)</f>
        <v>0</v>
      </c>
      <c r="AI23" s="2277"/>
      <c r="AJ23" s="2277"/>
      <c r="AK23" s="2277"/>
      <c r="AL23" s="2277"/>
      <c r="AM23" s="2278"/>
      <c r="AN23" s="2276" cm="1">
        <f t="array" ref="AN23">SUMPRODUCT((Application!$B$726:$B$760 = 'CalHFA Addendum'!AN$18)*(Application!$AC$726:$AC$760 = 'CalHFA Addendum'!$B23),Application!$G$726:$G$760)</f>
        <v>0</v>
      </c>
      <c r="AO23" s="2277"/>
      <c r="AP23" s="2277"/>
      <c r="AQ23" s="2277"/>
      <c r="AR23" s="2277"/>
      <c r="AS23" s="2278"/>
      <c r="AT23" s="2261">
        <f t="shared" si="1"/>
        <v>0.41052631578947368</v>
      </c>
      <c r="AU23" s="2262"/>
      <c r="AV23" s="2262"/>
      <c r="AW23" s="2262"/>
      <c r="AX23" s="2262"/>
      <c r="AY23" s="2263"/>
      <c r="AZ23" s="1208"/>
      <c r="BA23" s="1208"/>
      <c r="BB23" s="1208"/>
      <c r="BC23" s="1208"/>
      <c r="BD23" s="1208"/>
      <c r="BE23" s="1215"/>
    </row>
    <row r="24" spans="1:58" ht="15">
      <c r="A24" s="1208"/>
      <c r="B24" s="2273">
        <v>0.8</v>
      </c>
      <c r="C24" s="2274"/>
      <c r="D24" s="2274"/>
      <c r="E24" s="2274"/>
      <c r="F24" s="2274"/>
      <c r="G24" s="2274"/>
      <c r="H24" s="2274"/>
      <c r="I24" s="2275"/>
      <c r="J24" s="2276">
        <f t="shared" si="0"/>
        <v>0</v>
      </c>
      <c r="K24" s="2277"/>
      <c r="L24" s="2277"/>
      <c r="M24" s="2277"/>
      <c r="N24" s="2277"/>
      <c r="O24" s="2278"/>
      <c r="P24" s="2276" cm="1">
        <f t="array" ref="P24">SUMPRODUCT((Application!$B$726:$B$760 = 'CalHFA Addendum'!P$18)*(Application!$AC$726:$AC$760 = 'CalHFA Addendum'!$B24),Application!$G$726:$G$760)</f>
        <v>0</v>
      </c>
      <c r="Q24" s="2277"/>
      <c r="R24" s="2277"/>
      <c r="S24" s="2277"/>
      <c r="T24" s="2277"/>
      <c r="U24" s="2278"/>
      <c r="V24" s="2276" cm="1">
        <f t="array" ref="V24">SUMPRODUCT((Application!$B$726:$B$760 = 'CalHFA Addendum'!V$18)*(Application!$AC$726:$AC$760 = 'CalHFA Addendum'!$B24),Application!$G$726:$G$760)</f>
        <v>0</v>
      </c>
      <c r="W24" s="2277"/>
      <c r="X24" s="2277"/>
      <c r="Y24" s="2277"/>
      <c r="Z24" s="2277"/>
      <c r="AA24" s="2278"/>
      <c r="AB24" s="2276" cm="1">
        <f t="array" ref="AB24">SUMPRODUCT((Application!$B$726:$B$760 = 'CalHFA Addendum'!AB$18)*(Application!$AC$726:$AC$760 = 'CalHFA Addendum'!$B24),Application!$G$726:$G$760)</f>
        <v>0</v>
      </c>
      <c r="AC24" s="2277"/>
      <c r="AD24" s="2277"/>
      <c r="AE24" s="2277"/>
      <c r="AF24" s="2277"/>
      <c r="AG24" s="2278"/>
      <c r="AH24" s="2276" cm="1">
        <f t="array" ref="AH24">SUMPRODUCT((Application!$B$726:$B$760 = 'CalHFA Addendum'!AH$18)*(Application!$AC$726:$AC$760 = 'CalHFA Addendum'!$B24),Application!$G$726:$G$760)</f>
        <v>0</v>
      </c>
      <c r="AI24" s="2277"/>
      <c r="AJ24" s="2277"/>
      <c r="AK24" s="2277"/>
      <c r="AL24" s="2277"/>
      <c r="AM24" s="2278"/>
      <c r="AN24" s="2276" cm="1">
        <f t="array" ref="AN24">SUMPRODUCT((Application!$B$726:$B$760 = 'CalHFA Addendum'!AN$18)*(Application!$AC$726:$AC$760 = 'CalHFA Addendum'!$B24),Application!$G$726:$G$760)</f>
        <v>0</v>
      </c>
      <c r="AO24" s="2277"/>
      <c r="AP24" s="2277"/>
      <c r="AQ24" s="2277"/>
      <c r="AR24" s="2277"/>
      <c r="AS24" s="2278"/>
      <c r="AT24" s="2261">
        <f t="shared" si="1"/>
        <v>0</v>
      </c>
      <c r="AU24" s="2262"/>
      <c r="AV24" s="2262"/>
      <c r="AW24" s="2262"/>
      <c r="AX24" s="2262"/>
      <c r="AY24" s="2263"/>
      <c r="AZ24" s="1208"/>
      <c r="BA24" s="1208"/>
      <c r="BB24" s="1208"/>
      <c r="BC24" s="1208"/>
      <c r="BD24" s="1208"/>
      <c r="BE24" s="1215"/>
    </row>
    <row r="25" spans="1:58" ht="15">
      <c r="A25" s="1208"/>
      <c r="B25" s="2273">
        <v>0.9</v>
      </c>
      <c r="C25" s="2274"/>
      <c r="D25" s="2274"/>
      <c r="E25" s="2274"/>
      <c r="F25" s="2274"/>
      <c r="G25" s="2274"/>
      <c r="H25" s="2274"/>
      <c r="I25" s="2275"/>
      <c r="J25" s="2258"/>
      <c r="K25" s="2259"/>
      <c r="L25" s="2259"/>
      <c r="M25" s="2259"/>
      <c r="N25" s="2259"/>
      <c r="O25" s="2260"/>
      <c r="P25" s="2258"/>
      <c r="Q25" s="2259"/>
      <c r="R25" s="2259"/>
      <c r="S25" s="2259"/>
      <c r="T25" s="2259"/>
      <c r="U25" s="2260"/>
      <c r="V25" s="2258"/>
      <c r="W25" s="2259"/>
      <c r="X25" s="2259"/>
      <c r="Y25" s="2259"/>
      <c r="Z25" s="2259"/>
      <c r="AA25" s="2260"/>
      <c r="AB25" s="2258"/>
      <c r="AC25" s="2259"/>
      <c r="AD25" s="2259"/>
      <c r="AE25" s="2259"/>
      <c r="AF25" s="2259"/>
      <c r="AG25" s="2260"/>
      <c r="AH25" s="2258"/>
      <c r="AI25" s="2259"/>
      <c r="AJ25" s="2259"/>
      <c r="AK25" s="2259"/>
      <c r="AL25" s="2259"/>
      <c r="AM25" s="2260"/>
      <c r="AN25" s="2258"/>
      <c r="AO25" s="2259"/>
      <c r="AP25" s="2259"/>
      <c r="AQ25" s="2259"/>
      <c r="AR25" s="2259"/>
      <c r="AS25" s="2260"/>
      <c r="AT25" s="2261">
        <f t="shared" si="1"/>
        <v>0</v>
      </c>
      <c r="AU25" s="2262"/>
      <c r="AV25" s="2262"/>
      <c r="AW25" s="2262"/>
      <c r="AX25" s="2262"/>
      <c r="AY25" s="2263"/>
      <c r="AZ25" s="1208"/>
      <c r="BA25" s="1208"/>
      <c r="BB25" s="1208"/>
      <c r="BC25" s="1208"/>
      <c r="BD25" s="1208"/>
      <c r="BE25" s="1215"/>
    </row>
    <row r="26" spans="1:58" ht="15">
      <c r="A26" s="1208"/>
      <c r="B26" s="2273">
        <v>1</v>
      </c>
      <c r="C26" s="2274"/>
      <c r="D26" s="2274"/>
      <c r="E26" s="2274"/>
      <c r="F26" s="2274"/>
      <c r="G26" s="2274"/>
      <c r="H26" s="2274"/>
      <c r="I26" s="2275"/>
      <c r="J26" s="2258"/>
      <c r="K26" s="2259"/>
      <c r="L26" s="2259"/>
      <c r="M26" s="2259"/>
      <c r="N26" s="2259"/>
      <c r="O26" s="2260"/>
      <c r="P26" s="2258"/>
      <c r="Q26" s="2259"/>
      <c r="R26" s="2259"/>
      <c r="S26" s="2259"/>
      <c r="T26" s="2259"/>
      <c r="U26" s="2260"/>
      <c r="V26" s="2258"/>
      <c r="W26" s="2259"/>
      <c r="X26" s="2259"/>
      <c r="Y26" s="2259"/>
      <c r="Z26" s="2259"/>
      <c r="AA26" s="2260"/>
      <c r="AB26" s="2258"/>
      <c r="AC26" s="2259"/>
      <c r="AD26" s="2259"/>
      <c r="AE26" s="2259"/>
      <c r="AF26" s="2259"/>
      <c r="AG26" s="2260"/>
      <c r="AH26" s="2258"/>
      <c r="AI26" s="2259"/>
      <c r="AJ26" s="2259"/>
      <c r="AK26" s="2259"/>
      <c r="AL26" s="2259"/>
      <c r="AM26" s="2260"/>
      <c r="AN26" s="2258"/>
      <c r="AO26" s="2259"/>
      <c r="AP26" s="2259"/>
      <c r="AQ26" s="2259"/>
      <c r="AR26" s="2259"/>
      <c r="AS26" s="2260"/>
      <c r="AT26" s="2261">
        <f t="shared" si="1"/>
        <v>0</v>
      </c>
      <c r="AU26" s="2262"/>
      <c r="AV26" s="2262"/>
      <c r="AW26" s="2262"/>
      <c r="AX26" s="2262"/>
      <c r="AY26" s="2263"/>
      <c r="AZ26" s="1208"/>
      <c r="BA26" s="1208"/>
      <c r="BB26" s="1208"/>
      <c r="BC26" s="1208"/>
      <c r="BD26" s="1208"/>
      <c r="BE26" s="1215"/>
    </row>
    <row r="27" spans="1:58" ht="15">
      <c r="A27" s="1208"/>
      <c r="B27" s="2273">
        <v>1.2</v>
      </c>
      <c r="C27" s="2274"/>
      <c r="D27" s="2274"/>
      <c r="E27" s="2274"/>
      <c r="F27" s="2274"/>
      <c r="G27" s="2274"/>
      <c r="H27" s="2274"/>
      <c r="I27" s="2275"/>
      <c r="J27" s="2258"/>
      <c r="K27" s="2259"/>
      <c r="L27" s="2259"/>
      <c r="M27" s="2259"/>
      <c r="N27" s="2259"/>
      <c r="O27" s="2260"/>
      <c r="P27" s="2258"/>
      <c r="Q27" s="2259"/>
      <c r="R27" s="2259"/>
      <c r="S27" s="2259"/>
      <c r="T27" s="2259"/>
      <c r="U27" s="2260"/>
      <c r="V27" s="2258"/>
      <c r="W27" s="2259"/>
      <c r="X27" s="2259"/>
      <c r="Y27" s="2259"/>
      <c r="Z27" s="2259"/>
      <c r="AA27" s="2260"/>
      <c r="AB27" s="2258"/>
      <c r="AC27" s="2259"/>
      <c r="AD27" s="2259"/>
      <c r="AE27" s="2259"/>
      <c r="AF27" s="2259"/>
      <c r="AG27" s="2260"/>
      <c r="AH27" s="2258"/>
      <c r="AI27" s="2259"/>
      <c r="AJ27" s="2259"/>
      <c r="AK27" s="2259"/>
      <c r="AL27" s="2259"/>
      <c r="AM27" s="2260"/>
      <c r="AN27" s="2258"/>
      <c r="AO27" s="2259"/>
      <c r="AP27" s="2259"/>
      <c r="AQ27" s="2259"/>
      <c r="AR27" s="2259"/>
      <c r="AS27" s="2260"/>
      <c r="AT27" s="2261">
        <f t="shared" si="1"/>
        <v>0</v>
      </c>
      <c r="AU27" s="2262"/>
      <c r="AV27" s="2262"/>
      <c r="AW27" s="2262"/>
      <c r="AX27" s="2262"/>
      <c r="AY27" s="2263"/>
      <c r="AZ27" s="1208"/>
      <c r="BA27" s="1208"/>
      <c r="BB27" s="1208"/>
      <c r="BC27" s="1208"/>
      <c r="BD27" s="1208"/>
      <c r="BE27" s="1215"/>
    </row>
    <row r="28" spans="1:58" thickBot="1">
      <c r="A28" s="1208"/>
      <c r="B28" s="2264" t="s">
        <v>2366</v>
      </c>
      <c r="C28" s="2265"/>
      <c r="D28" s="2265"/>
      <c r="E28" s="2265"/>
      <c r="F28" s="2265"/>
      <c r="G28" s="2265"/>
      <c r="H28" s="2265"/>
      <c r="I28" s="2266"/>
      <c r="J28" s="2267">
        <f>SUM(P28:AS28)</f>
        <v>2</v>
      </c>
      <c r="K28" s="2268"/>
      <c r="L28" s="2268"/>
      <c r="M28" s="2268"/>
      <c r="N28" s="2268"/>
      <c r="O28" s="2269"/>
      <c r="P28" s="2267">
        <f>_xlfn.IFNA(VLOOKUP(P$18,Application!$J$781:$S$784,6,FALSE), 0)</f>
        <v>0</v>
      </c>
      <c r="Q28" s="2268"/>
      <c r="R28" s="2268"/>
      <c r="S28" s="2268"/>
      <c r="T28" s="2268"/>
      <c r="U28" s="2269"/>
      <c r="V28" s="2267">
        <f>_xlfn.IFNA(VLOOKUP(V$18,Application!$J$781:$S$784,6,FALSE), 0)</f>
        <v>2</v>
      </c>
      <c r="W28" s="2268"/>
      <c r="X28" s="2268"/>
      <c r="Y28" s="2268"/>
      <c r="Z28" s="2268"/>
      <c r="AA28" s="2269"/>
      <c r="AB28" s="2267">
        <f>_xlfn.IFNA(VLOOKUP(AB$18,Application!$J$781:$S$784,6,FALSE), 0)</f>
        <v>0</v>
      </c>
      <c r="AC28" s="2268"/>
      <c r="AD28" s="2268"/>
      <c r="AE28" s="2268"/>
      <c r="AF28" s="2268"/>
      <c r="AG28" s="2269"/>
      <c r="AH28" s="2267">
        <f>_xlfn.IFNA(VLOOKUP(AH$18,Application!$J$781:$S$784,6,FALSE), 0)</f>
        <v>0</v>
      </c>
      <c r="AI28" s="2268"/>
      <c r="AJ28" s="2268"/>
      <c r="AK28" s="2268"/>
      <c r="AL28" s="2268"/>
      <c r="AM28" s="2269"/>
      <c r="AN28" s="2267">
        <f>_xlfn.IFNA(VLOOKUP(AN$18,Application!$J$781:$S$784,6,FALSE), 0)</f>
        <v>0</v>
      </c>
      <c r="AO28" s="2268"/>
      <c r="AP28" s="2268"/>
      <c r="AQ28" s="2268"/>
      <c r="AR28" s="2268"/>
      <c r="AS28" s="2269"/>
      <c r="AT28" s="2270">
        <f t="shared" si="1"/>
        <v>1.0526315789473684E-2</v>
      </c>
      <c r="AU28" s="2271"/>
      <c r="AV28" s="2271"/>
      <c r="AW28" s="2271"/>
      <c r="AX28" s="2271"/>
      <c r="AY28" s="2272"/>
      <c r="AZ28" s="1208"/>
      <c r="BA28" s="1208"/>
      <c r="BB28" s="1208"/>
      <c r="BC28" s="1208"/>
      <c r="BD28" s="1208"/>
      <c r="BE28" s="1215"/>
    </row>
    <row r="29" spans="1:58" thickBot="1">
      <c r="A29" s="1208"/>
      <c r="B29" s="2247" t="s">
        <v>1575</v>
      </c>
      <c r="C29" s="2220"/>
      <c r="D29" s="2220"/>
      <c r="E29" s="2220"/>
      <c r="F29" s="2220"/>
      <c r="G29" s="2220"/>
      <c r="H29" s="2220"/>
      <c r="I29" s="2221"/>
      <c r="J29" s="2219">
        <f>SUM(J19:O28)</f>
        <v>190</v>
      </c>
      <c r="K29" s="2220"/>
      <c r="L29" s="2220"/>
      <c r="M29" s="2220"/>
      <c r="N29" s="2220"/>
      <c r="O29" s="2221"/>
      <c r="P29" s="2219">
        <f>SUM(P19:U28)</f>
        <v>16</v>
      </c>
      <c r="Q29" s="2220"/>
      <c r="R29" s="2220"/>
      <c r="S29" s="2220"/>
      <c r="T29" s="2220"/>
      <c r="U29" s="2221"/>
      <c r="V29" s="2219">
        <f>SUM(V19:AA28)</f>
        <v>168</v>
      </c>
      <c r="W29" s="2220"/>
      <c r="X29" s="2220"/>
      <c r="Y29" s="2220"/>
      <c r="Z29" s="2220"/>
      <c r="AA29" s="2221"/>
      <c r="AB29" s="2219">
        <f>SUM(AB19:AG28)</f>
        <v>6</v>
      </c>
      <c r="AC29" s="2220"/>
      <c r="AD29" s="2220"/>
      <c r="AE29" s="2220"/>
      <c r="AF29" s="2220"/>
      <c r="AG29" s="2221"/>
      <c r="AH29" s="2219">
        <f>SUM(AH19:AM28)</f>
        <v>0</v>
      </c>
      <c r="AI29" s="2220"/>
      <c r="AJ29" s="2220"/>
      <c r="AK29" s="2220"/>
      <c r="AL29" s="2220"/>
      <c r="AM29" s="2221"/>
      <c r="AN29" s="2219">
        <f>SUM(AN19:AS28)</f>
        <v>0</v>
      </c>
      <c r="AO29" s="2220"/>
      <c r="AP29" s="2220"/>
      <c r="AQ29" s="2220"/>
      <c r="AR29" s="2220"/>
      <c r="AS29" s="2221"/>
      <c r="AT29" s="2222">
        <f t="shared" si="1"/>
        <v>1</v>
      </c>
      <c r="AU29" s="2223"/>
      <c r="AV29" s="2223"/>
      <c r="AW29" s="2223"/>
      <c r="AX29" s="2223"/>
      <c r="AY29" s="2224"/>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2225" t="s">
        <v>2365</v>
      </c>
      <c r="C31" s="2226"/>
      <c r="D31" s="2226"/>
      <c r="E31" s="2226"/>
      <c r="F31" s="2226"/>
      <c r="G31" s="2226"/>
      <c r="H31" s="2226"/>
      <c r="I31" s="2226"/>
      <c r="J31" s="2226"/>
      <c r="K31" s="2226"/>
      <c r="L31" s="2226"/>
      <c r="M31" s="2226"/>
      <c r="N31" s="2226"/>
      <c r="O31" s="2226"/>
      <c r="P31" s="2226"/>
      <c r="Q31" s="2226"/>
      <c r="R31" s="2226"/>
      <c r="S31" s="2226"/>
      <c r="T31" s="2226"/>
      <c r="U31" s="2226"/>
      <c r="V31" s="2226"/>
      <c r="W31" s="2226"/>
      <c r="X31" s="2226"/>
      <c r="Y31" s="2226"/>
      <c r="Z31" s="2226"/>
      <c r="AA31" s="2226"/>
      <c r="AB31" s="2226"/>
      <c r="AC31" s="2226"/>
      <c r="AD31" s="2226"/>
      <c r="AE31" s="2226"/>
      <c r="AF31" s="2226"/>
      <c r="AG31" s="2226"/>
      <c r="AH31" s="2226"/>
      <c r="AI31" s="2226"/>
      <c r="AJ31" s="2226"/>
      <c r="AK31" s="2226"/>
      <c r="AL31" s="2226"/>
      <c r="AM31" s="2226"/>
      <c r="AN31" s="2226"/>
      <c r="AO31" s="2226"/>
      <c r="AP31" s="2226"/>
      <c r="AQ31" s="2226"/>
      <c r="AR31" s="2226"/>
      <c r="AS31" s="2226"/>
      <c r="AT31" s="2226"/>
      <c r="AU31" s="2226"/>
      <c r="AV31" s="2226"/>
      <c r="AW31" s="2226"/>
      <c r="AX31" s="2226"/>
      <c r="AY31" s="2226"/>
      <c r="AZ31" s="2226"/>
      <c r="BA31" s="2226"/>
      <c r="BB31" s="2226"/>
      <c r="BC31" s="2226"/>
      <c r="BD31" s="2227"/>
      <c r="BE31" s="1215"/>
    </row>
    <row r="32" spans="1:58" thickBot="1">
      <c r="A32" s="1208"/>
      <c r="B32" s="2228" t="s">
        <v>2364</v>
      </c>
      <c r="C32" s="2229"/>
      <c r="D32" s="2229"/>
      <c r="E32" s="2229"/>
      <c r="F32" s="2229"/>
      <c r="G32" s="2229"/>
      <c r="H32" s="2229"/>
      <c r="I32" s="2229"/>
      <c r="J32" s="2232" t="s">
        <v>2363</v>
      </c>
      <c r="K32" s="2233"/>
      <c r="L32" s="2233"/>
      <c r="M32" s="2233"/>
      <c r="N32" s="2232" t="s">
        <v>2362</v>
      </c>
      <c r="O32" s="2233"/>
      <c r="P32" s="2233"/>
      <c r="Q32" s="2235"/>
      <c r="R32" s="2237" t="s">
        <v>2361</v>
      </c>
      <c r="S32" s="2238"/>
      <c r="T32" s="2238"/>
      <c r="U32" s="2238"/>
      <c r="V32" s="2238"/>
      <c r="W32" s="2238"/>
      <c r="X32" s="2238"/>
      <c r="Y32" s="2238"/>
      <c r="Z32" s="2238"/>
      <c r="AA32" s="2238"/>
      <c r="AB32" s="2238"/>
      <c r="AC32" s="2238"/>
      <c r="AD32" s="2238"/>
      <c r="AE32" s="2238"/>
      <c r="AF32" s="2238"/>
      <c r="AG32" s="2238"/>
      <c r="AH32" s="2238"/>
      <c r="AI32" s="2238"/>
      <c r="AJ32" s="2238"/>
      <c r="AK32" s="2238"/>
      <c r="AL32" s="2238"/>
      <c r="AM32" s="2238"/>
      <c r="AN32" s="2238"/>
      <c r="AO32" s="2238"/>
      <c r="AP32" s="2238"/>
      <c r="AQ32" s="2238"/>
      <c r="AR32" s="2238"/>
      <c r="AS32" s="2238"/>
      <c r="AT32" s="2238"/>
      <c r="AU32" s="2238"/>
      <c r="AV32" s="2238"/>
      <c r="AW32" s="2238"/>
      <c r="AX32" s="2238"/>
      <c r="AY32" s="2238"/>
      <c r="AZ32" s="2238"/>
      <c r="BA32" s="2238"/>
      <c r="BB32" s="2238"/>
      <c r="BC32" s="2238"/>
      <c r="BD32" s="2239"/>
      <c r="BE32" s="1215"/>
    </row>
    <row r="33" spans="1:58" ht="15" customHeight="1">
      <c r="A33" s="1208"/>
      <c r="B33" s="2230"/>
      <c r="C33" s="2231"/>
      <c r="D33" s="2231"/>
      <c r="E33" s="2231"/>
      <c r="F33" s="2231"/>
      <c r="G33" s="2231"/>
      <c r="H33" s="2231"/>
      <c r="I33" s="2231"/>
      <c r="J33" s="2234"/>
      <c r="K33" s="2234"/>
      <c r="L33" s="2234"/>
      <c r="M33" s="2234"/>
      <c r="N33" s="2234"/>
      <c r="O33" s="2234"/>
      <c r="P33" s="2234"/>
      <c r="Q33" s="2236"/>
      <c r="R33" s="2240" t="s">
        <v>2360</v>
      </c>
      <c r="S33" s="2241"/>
      <c r="T33" s="2241"/>
      <c r="U33" s="2241"/>
      <c r="V33" s="2241"/>
      <c r="W33" s="2241"/>
      <c r="X33" s="2241"/>
      <c r="Y33" s="2241"/>
      <c r="Z33" s="2241"/>
      <c r="AA33" s="2241"/>
      <c r="AB33" s="2241"/>
      <c r="AC33" s="2241"/>
      <c r="AD33" s="2241"/>
      <c r="AE33" s="2241"/>
      <c r="AF33" s="2241"/>
      <c r="AG33" s="2241"/>
      <c r="AH33" s="2241"/>
      <c r="AI33" s="2241"/>
      <c r="AJ33" s="2241"/>
      <c r="AK33" s="2241"/>
      <c r="AL33" s="2241"/>
      <c r="AM33" s="2241"/>
      <c r="AN33" s="2241"/>
      <c r="AO33" s="2241"/>
      <c r="AP33" s="2241"/>
      <c r="AQ33" s="2241"/>
      <c r="AR33" s="2241"/>
      <c r="AS33" s="2241"/>
      <c r="AT33" s="2241"/>
      <c r="AU33" s="2241"/>
      <c r="AV33" s="2241"/>
      <c r="AW33" s="2241"/>
      <c r="AX33" s="2241"/>
      <c r="AY33" s="2241"/>
      <c r="AZ33" s="2241"/>
      <c r="BA33" s="2241"/>
      <c r="BB33" s="2241"/>
      <c r="BC33" s="2241"/>
      <c r="BD33" s="2242"/>
      <c r="BE33" s="1215"/>
    </row>
    <row r="34" spans="1:58" ht="15.75" customHeight="1" thickBot="1">
      <c r="A34" s="1208"/>
      <c r="B34" s="2230"/>
      <c r="C34" s="2231"/>
      <c r="D34" s="2231"/>
      <c r="E34" s="2231"/>
      <c r="F34" s="2231"/>
      <c r="G34" s="2231"/>
      <c r="H34" s="2231"/>
      <c r="I34" s="2231"/>
      <c r="J34" s="2234"/>
      <c r="K34" s="2234"/>
      <c r="L34" s="2234"/>
      <c r="M34" s="2234"/>
      <c r="N34" s="2234"/>
      <c r="O34" s="2234"/>
      <c r="P34" s="2234"/>
      <c r="Q34" s="2236"/>
      <c r="R34" s="2243"/>
      <c r="S34" s="2244"/>
      <c r="T34" s="2244"/>
      <c r="U34" s="2244"/>
      <c r="V34" s="2244"/>
      <c r="W34" s="2244"/>
      <c r="X34" s="2244"/>
      <c r="Y34" s="2244"/>
      <c r="Z34" s="2244"/>
      <c r="AA34" s="2244"/>
      <c r="AB34" s="2244"/>
      <c r="AC34" s="2244"/>
      <c r="AD34" s="2244"/>
      <c r="AE34" s="2244"/>
      <c r="AF34" s="2244"/>
      <c r="AG34" s="2244"/>
      <c r="AH34" s="2244"/>
      <c r="AI34" s="2244"/>
      <c r="AJ34" s="2244"/>
      <c r="AK34" s="2244"/>
      <c r="AL34" s="2244"/>
      <c r="AM34" s="2244"/>
      <c r="AN34" s="2244"/>
      <c r="AO34" s="2244"/>
      <c r="AP34" s="2244"/>
      <c r="AQ34" s="2244"/>
      <c r="AR34" s="2244"/>
      <c r="AS34" s="2244"/>
      <c r="AT34" s="2244"/>
      <c r="AU34" s="2244"/>
      <c r="AV34" s="2244"/>
      <c r="AW34" s="2244"/>
      <c r="AX34" s="2244"/>
      <c r="AY34" s="2244"/>
      <c r="AZ34" s="2244"/>
      <c r="BA34" s="2244"/>
      <c r="BB34" s="2244"/>
      <c r="BC34" s="2244"/>
      <c r="BD34" s="2245"/>
      <c r="BE34" s="1215"/>
    </row>
    <row r="35" spans="1:58" ht="15.75" customHeight="1">
      <c r="A35" s="1208"/>
      <c r="B35" s="2230"/>
      <c r="C35" s="2231"/>
      <c r="D35" s="2231"/>
      <c r="E35" s="2231"/>
      <c r="F35" s="2231"/>
      <c r="G35" s="2231"/>
      <c r="H35" s="2231"/>
      <c r="I35" s="2231"/>
      <c r="J35" s="2234"/>
      <c r="K35" s="2234"/>
      <c r="L35" s="2234"/>
      <c r="M35" s="2234"/>
      <c r="N35" s="2234"/>
      <c r="O35" s="2234"/>
      <c r="P35" s="2234"/>
      <c r="Q35" s="2234"/>
      <c r="R35" s="2246">
        <v>0.3</v>
      </c>
      <c r="S35" s="2246"/>
      <c r="T35" s="2246"/>
      <c r="U35" s="2246"/>
      <c r="V35" s="2246">
        <v>0.4</v>
      </c>
      <c r="W35" s="2246"/>
      <c r="X35" s="2246"/>
      <c r="Y35" s="2246"/>
      <c r="Z35" s="2246">
        <v>0.5</v>
      </c>
      <c r="AA35" s="2246"/>
      <c r="AB35" s="2246"/>
      <c r="AC35" s="2246"/>
      <c r="AD35" s="2246">
        <v>0.6</v>
      </c>
      <c r="AE35" s="2246"/>
      <c r="AF35" s="2246"/>
      <c r="AG35" s="2246"/>
      <c r="AH35" s="2246">
        <v>0.7</v>
      </c>
      <c r="AI35" s="2246"/>
      <c r="AJ35" s="2246"/>
      <c r="AK35" s="2246"/>
      <c r="AL35" s="2251">
        <v>0.8</v>
      </c>
      <c r="AM35" s="2252"/>
      <c r="AN35" s="2252"/>
      <c r="AO35" s="2253"/>
      <c r="AP35" s="2254">
        <v>1.2</v>
      </c>
      <c r="AQ35" s="2255"/>
      <c r="AR35" s="2256"/>
      <c r="AS35" s="2248" t="s">
        <v>2359</v>
      </c>
      <c r="AT35" s="2249"/>
      <c r="AU35" s="2249"/>
      <c r="AV35" s="2249"/>
      <c r="AW35" s="2249"/>
      <c r="AX35" s="2257"/>
      <c r="AY35" s="2248" t="s">
        <v>2358</v>
      </c>
      <c r="AZ35" s="2249"/>
      <c r="BA35" s="2249"/>
      <c r="BB35" s="2249"/>
      <c r="BC35" s="2249"/>
      <c r="BD35" s="2250"/>
      <c r="BE35" s="1215"/>
    </row>
    <row r="36" spans="1:58" ht="15.75" customHeight="1">
      <c r="A36" s="1208"/>
      <c r="B36" s="2152" t="s">
        <v>2357</v>
      </c>
      <c r="C36" s="2153"/>
      <c r="D36" s="2153"/>
      <c r="E36" s="2153"/>
      <c r="F36" s="2153"/>
      <c r="G36" s="2153"/>
      <c r="H36" s="2153"/>
      <c r="I36" s="2153"/>
      <c r="J36" s="2217" t="s">
        <v>2356</v>
      </c>
      <c r="K36" s="2217"/>
      <c r="L36" s="2217"/>
      <c r="M36" s="2217"/>
      <c r="N36" s="2217">
        <v>55</v>
      </c>
      <c r="O36" s="2217"/>
      <c r="P36" s="2217"/>
      <c r="Q36" s="2217"/>
      <c r="R36" s="2218"/>
      <c r="S36" s="2218"/>
      <c r="T36" s="2218"/>
      <c r="U36" s="2218"/>
      <c r="V36" s="2218"/>
      <c r="W36" s="2218"/>
      <c r="X36" s="2218"/>
      <c r="Y36" s="2218"/>
      <c r="Z36" s="2218"/>
      <c r="AA36" s="2218"/>
      <c r="AB36" s="2218"/>
      <c r="AC36" s="2218"/>
      <c r="AD36" s="2218"/>
      <c r="AE36" s="2218"/>
      <c r="AF36" s="2218"/>
      <c r="AG36" s="2218"/>
      <c r="AH36" s="2218"/>
      <c r="AI36" s="2218"/>
      <c r="AJ36" s="2218"/>
      <c r="AK36" s="2218"/>
      <c r="AL36" s="2202"/>
      <c r="AM36" s="2203"/>
      <c r="AN36" s="2203"/>
      <c r="AO36" s="2204"/>
      <c r="AP36" s="2202"/>
      <c r="AQ36" s="2203"/>
      <c r="AR36" s="2204"/>
      <c r="AS36" s="2205">
        <f t="shared" ref="AS36:AS47" si="2">SUM(R36:AR36)</f>
        <v>0</v>
      </c>
      <c r="AT36" s="2206"/>
      <c r="AU36" s="2206"/>
      <c r="AV36" s="2206"/>
      <c r="AW36" s="2206"/>
      <c r="AX36" s="2207"/>
      <c r="AY36" s="2208">
        <f t="shared" ref="AY36:AY47" si="3">AS36/$J$29</f>
        <v>0</v>
      </c>
      <c r="AZ36" s="2209"/>
      <c r="BA36" s="2209"/>
      <c r="BB36" s="2209"/>
      <c r="BC36" s="2209"/>
      <c r="BD36" s="2210"/>
      <c r="BE36" s="1215"/>
    </row>
    <row r="37" spans="1:58" ht="15.75" customHeight="1">
      <c r="A37" s="1208"/>
      <c r="B37" s="2152" t="s">
        <v>2355</v>
      </c>
      <c r="C37" s="2153"/>
      <c r="D37" s="2153"/>
      <c r="E37" s="2153"/>
      <c r="F37" s="2153"/>
      <c r="G37" s="2153"/>
      <c r="H37" s="2153"/>
      <c r="I37" s="2153"/>
      <c r="J37" s="2217" t="s">
        <v>2354</v>
      </c>
      <c r="K37" s="2217"/>
      <c r="L37" s="2217"/>
      <c r="M37" s="2217"/>
      <c r="N37" s="2217">
        <v>55</v>
      </c>
      <c r="O37" s="2217"/>
      <c r="P37" s="2217"/>
      <c r="Q37" s="2217"/>
      <c r="R37" s="2218"/>
      <c r="S37" s="2218"/>
      <c r="T37" s="2218"/>
      <c r="U37" s="2218"/>
      <c r="V37" s="2218"/>
      <c r="W37" s="2218"/>
      <c r="X37" s="2218"/>
      <c r="Y37" s="2218"/>
      <c r="Z37" s="2218"/>
      <c r="AA37" s="2218"/>
      <c r="AB37" s="2218"/>
      <c r="AC37" s="2218"/>
      <c r="AD37" s="2218"/>
      <c r="AE37" s="2218"/>
      <c r="AF37" s="2218"/>
      <c r="AG37" s="2218"/>
      <c r="AH37" s="2218"/>
      <c r="AI37" s="2218"/>
      <c r="AJ37" s="2218"/>
      <c r="AK37" s="2218"/>
      <c r="AL37" s="2202"/>
      <c r="AM37" s="2203"/>
      <c r="AN37" s="2203"/>
      <c r="AO37" s="2204"/>
      <c r="AP37" s="2202"/>
      <c r="AQ37" s="2203"/>
      <c r="AR37" s="2204"/>
      <c r="AS37" s="2205">
        <f t="shared" si="2"/>
        <v>0</v>
      </c>
      <c r="AT37" s="2206"/>
      <c r="AU37" s="2206"/>
      <c r="AV37" s="2206"/>
      <c r="AW37" s="2206"/>
      <c r="AX37" s="2207"/>
      <c r="AY37" s="2208">
        <f t="shared" si="3"/>
        <v>0</v>
      </c>
      <c r="AZ37" s="2209"/>
      <c r="BA37" s="2209"/>
      <c r="BB37" s="2209"/>
      <c r="BC37" s="2209"/>
      <c r="BD37" s="2210"/>
      <c r="BE37" s="1215"/>
    </row>
    <row r="38" spans="1:58" ht="15.75" customHeight="1">
      <c r="A38" s="1208"/>
      <c r="B38" s="2152" t="s">
        <v>2353</v>
      </c>
      <c r="C38" s="2153"/>
      <c r="D38" s="2153"/>
      <c r="E38" s="2153"/>
      <c r="F38" s="2153"/>
      <c r="G38" s="2153"/>
      <c r="H38" s="2153"/>
      <c r="I38" s="2153"/>
      <c r="J38" s="2217" t="s">
        <v>2352</v>
      </c>
      <c r="K38" s="2217"/>
      <c r="L38" s="2217"/>
      <c r="M38" s="2217"/>
      <c r="N38" s="2217">
        <v>55</v>
      </c>
      <c r="O38" s="2217"/>
      <c r="P38" s="2217"/>
      <c r="Q38" s="2217"/>
      <c r="R38" s="2218"/>
      <c r="S38" s="2218"/>
      <c r="T38" s="2218"/>
      <c r="U38" s="2218"/>
      <c r="V38" s="2218"/>
      <c r="W38" s="2218"/>
      <c r="X38" s="2218"/>
      <c r="Y38" s="2218"/>
      <c r="Z38" s="2218"/>
      <c r="AA38" s="2218"/>
      <c r="AB38" s="2218"/>
      <c r="AC38" s="2218"/>
      <c r="AD38" s="2218"/>
      <c r="AE38" s="2218"/>
      <c r="AF38" s="2218"/>
      <c r="AG38" s="2218"/>
      <c r="AH38" s="2218"/>
      <c r="AI38" s="2218"/>
      <c r="AJ38" s="2218"/>
      <c r="AK38" s="2218"/>
      <c r="AL38" s="2202"/>
      <c r="AM38" s="2203"/>
      <c r="AN38" s="2203"/>
      <c r="AO38" s="2204"/>
      <c r="AP38" s="2202"/>
      <c r="AQ38" s="2203"/>
      <c r="AR38" s="2204"/>
      <c r="AS38" s="2205">
        <f t="shared" si="2"/>
        <v>0</v>
      </c>
      <c r="AT38" s="2206"/>
      <c r="AU38" s="2206"/>
      <c r="AV38" s="2206"/>
      <c r="AW38" s="2206"/>
      <c r="AX38" s="2207"/>
      <c r="AY38" s="2208">
        <f t="shared" si="3"/>
        <v>0</v>
      </c>
      <c r="AZ38" s="2209"/>
      <c r="BA38" s="2209"/>
      <c r="BB38" s="2209"/>
      <c r="BC38" s="2209"/>
      <c r="BD38" s="2210"/>
      <c r="BE38" s="1215"/>
    </row>
    <row r="39" spans="1:58" ht="15.75" customHeight="1">
      <c r="A39" s="1208"/>
      <c r="B39" s="2152" t="s">
        <v>2351</v>
      </c>
      <c r="C39" s="2153"/>
      <c r="D39" s="2153"/>
      <c r="E39" s="2153"/>
      <c r="F39" s="2153"/>
      <c r="G39" s="2153"/>
      <c r="H39" s="2153"/>
      <c r="I39" s="2153"/>
      <c r="J39" s="2217"/>
      <c r="K39" s="2217"/>
      <c r="L39" s="2217"/>
      <c r="M39" s="2217"/>
      <c r="N39" s="2217"/>
      <c r="O39" s="2217"/>
      <c r="P39" s="2217"/>
      <c r="Q39" s="2217"/>
      <c r="R39" s="2218"/>
      <c r="S39" s="2218"/>
      <c r="T39" s="2218"/>
      <c r="U39" s="2218"/>
      <c r="V39" s="2218"/>
      <c r="W39" s="2218"/>
      <c r="X39" s="2218"/>
      <c r="Y39" s="2218"/>
      <c r="Z39" s="2218"/>
      <c r="AA39" s="2218"/>
      <c r="AB39" s="2218"/>
      <c r="AC39" s="2218"/>
      <c r="AD39" s="2218"/>
      <c r="AE39" s="2218"/>
      <c r="AF39" s="2218"/>
      <c r="AG39" s="2218"/>
      <c r="AH39" s="2218"/>
      <c r="AI39" s="2218"/>
      <c r="AJ39" s="2218"/>
      <c r="AK39" s="2218"/>
      <c r="AL39" s="2202"/>
      <c r="AM39" s="2203"/>
      <c r="AN39" s="2203"/>
      <c r="AO39" s="2204"/>
      <c r="AP39" s="2202"/>
      <c r="AQ39" s="2203"/>
      <c r="AR39" s="2204"/>
      <c r="AS39" s="2205">
        <f t="shared" si="2"/>
        <v>0</v>
      </c>
      <c r="AT39" s="2206"/>
      <c r="AU39" s="2206"/>
      <c r="AV39" s="2206"/>
      <c r="AW39" s="2206"/>
      <c r="AX39" s="2207"/>
      <c r="AY39" s="2208">
        <f t="shared" si="3"/>
        <v>0</v>
      </c>
      <c r="AZ39" s="2209"/>
      <c r="BA39" s="2209"/>
      <c r="BB39" s="2209"/>
      <c r="BC39" s="2209"/>
      <c r="BD39" s="2210"/>
      <c r="BE39" s="1215"/>
    </row>
    <row r="40" spans="1:58" ht="15.75" customHeight="1">
      <c r="A40" s="1208"/>
      <c r="B40" s="2152" t="s">
        <v>2351</v>
      </c>
      <c r="C40" s="2153"/>
      <c r="D40" s="2153"/>
      <c r="E40" s="2153"/>
      <c r="F40" s="2153"/>
      <c r="G40" s="2153"/>
      <c r="H40" s="2153"/>
      <c r="I40" s="2153"/>
      <c r="J40" s="2217"/>
      <c r="K40" s="2217"/>
      <c r="L40" s="2217"/>
      <c r="M40" s="2217"/>
      <c r="N40" s="2217"/>
      <c r="O40" s="2217"/>
      <c r="P40" s="2217"/>
      <c r="Q40" s="2217"/>
      <c r="R40" s="2218"/>
      <c r="S40" s="2218"/>
      <c r="T40" s="2218"/>
      <c r="U40" s="2218"/>
      <c r="V40" s="2218"/>
      <c r="W40" s="2218"/>
      <c r="X40" s="2218"/>
      <c r="Y40" s="2218"/>
      <c r="Z40" s="2218"/>
      <c r="AA40" s="2218"/>
      <c r="AB40" s="2218"/>
      <c r="AC40" s="2218"/>
      <c r="AD40" s="2218"/>
      <c r="AE40" s="2218"/>
      <c r="AF40" s="2218"/>
      <c r="AG40" s="2218"/>
      <c r="AH40" s="2218"/>
      <c r="AI40" s="2218"/>
      <c r="AJ40" s="2218"/>
      <c r="AK40" s="2218"/>
      <c r="AL40" s="2202"/>
      <c r="AM40" s="2203"/>
      <c r="AN40" s="2203"/>
      <c r="AO40" s="2204"/>
      <c r="AP40" s="2202"/>
      <c r="AQ40" s="2203"/>
      <c r="AR40" s="2204"/>
      <c r="AS40" s="2205">
        <f t="shared" si="2"/>
        <v>0</v>
      </c>
      <c r="AT40" s="2206"/>
      <c r="AU40" s="2206"/>
      <c r="AV40" s="2206"/>
      <c r="AW40" s="2206"/>
      <c r="AX40" s="2207"/>
      <c r="AY40" s="2208">
        <f t="shared" si="3"/>
        <v>0</v>
      </c>
      <c r="AZ40" s="2209"/>
      <c r="BA40" s="2209"/>
      <c r="BB40" s="2209"/>
      <c r="BC40" s="2209"/>
      <c r="BD40" s="2210"/>
      <c r="BE40" s="1215"/>
    </row>
    <row r="41" spans="1:58" ht="15.75" customHeight="1">
      <c r="A41" s="1208"/>
      <c r="B41" s="2152" t="s">
        <v>2350</v>
      </c>
      <c r="C41" s="2153"/>
      <c r="D41" s="2153"/>
      <c r="E41" s="2153"/>
      <c r="F41" s="2153"/>
      <c r="G41" s="2153"/>
      <c r="H41" s="2153"/>
      <c r="I41" s="2153"/>
      <c r="J41" s="2217"/>
      <c r="K41" s="2217"/>
      <c r="L41" s="2217"/>
      <c r="M41" s="2217"/>
      <c r="N41" s="2217"/>
      <c r="O41" s="2217"/>
      <c r="P41" s="2217"/>
      <c r="Q41" s="2217"/>
      <c r="R41" s="2218"/>
      <c r="S41" s="2218"/>
      <c r="T41" s="2218"/>
      <c r="U41" s="2218"/>
      <c r="V41" s="2218"/>
      <c r="W41" s="2218"/>
      <c r="X41" s="2218"/>
      <c r="Y41" s="2218"/>
      <c r="Z41" s="2218"/>
      <c r="AA41" s="2218"/>
      <c r="AB41" s="2218"/>
      <c r="AC41" s="2218"/>
      <c r="AD41" s="2218"/>
      <c r="AE41" s="2218"/>
      <c r="AF41" s="2218"/>
      <c r="AG41" s="2218"/>
      <c r="AH41" s="2218"/>
      <c r="AI41" s="2218"/>
      <c r="AJ41" s="2218"/>
      <c r="AK41" s="2218"/>
      <c r="AL41" s="2202"/>
      <c r="AM41" s="2203"/>
      <c r="AN41" s="2203"/>
      <c r="AO41" s="2204"/>
      <c r="AP41" s="2202"/>
      <c r="AQ41" s="2203"/>
      <c r="AR41" s="2204"/>
      <c r="AS41" s="2205">
        <f t="shared" si="2"/>
        <v>0</v>
      </c>
      <c r="AT41" s="2206"/>
      <c r="AU41" s="2206"/>
      <c r="AV41" s="2206"/>
      <c r="AW41" s="2206"/>
      <c r="AX41" s="2207"/>
      <c r="AY41" s="2208">
        <f t="shared" si="3"/>
        <v>0</v>
      </c>
      <c r="AZ41" s="2209"/>
      <c r="BA41" s="2209"/>
      <c r="BB41" s="2209"/>
      <c r="BC41" s="2209"/>
      <c r="BD41" s="2210"/>
      <c r="BE41" s="1215"/>
    </row>
    <row r="42" spans="1:58" ht="15.75" customHeight="1">
      <c r="A42" s="1208"/>
      <c r="B42" s="2152" t="s">
        <v>2350</v>
      </c>
      <c r="C42" s="2153"/>
      <c r="D42" s="2153"/>
      <c r="E42" s="2153"/>
      <c r="F42" s="2153"/>
      <c r="G42" s="2153"/>
      <c r="H42" s="2153"/>
      <c r="I42" s="2153"/>
      <c r="J42" s="2217"/>
      <c r="K42" s="2217"/>
      <c r="L42" s="2217"/>
      <c r="M42" s="2217"/>
      <c r="N42" s="2217"/>
      <c r="O42" s="2217"/>
      <c r="P42" s="2217"/>
      <c r="Q42" s="2217"/>
      <c r="R42" s="2218"/>
      <c r="S42" s="2218"/>
      <c r="T42" s="2218"/>
      <c r="U42" s="2218"/>
      <c r="V42" s="2218"/>
      <c r="W42" s="2218"/>
      <c r="X42" s="2218"/>
      <c r="Y42" s="2218"/>
      <c r="Z42" s="2218"/>
      <c r="AA42" s="2218"/>
      <c r="AB42" s="2218"/>
      <c r="AC42" s="2218"/>
      <c r="AD42" s="2218"/>
      <c r="AE42" s="2218"/>
      <c r="AF42" s="2218"/>
      <c r="AG42" s="2218"/>
      <c r="AH42" s="2218"/>
      <c r="AI42" s="2218"/>
      <c r="AJ42" s="2218"/>
      <c r="AK42" s="2218"/>
      <c r="AL42" s="2202"/>
      <c r="AM42" s="2203"/>
      <c r="AN42" s="2203"/>
      <c r="AO42" s="2204"/>
      <c r="AP42" s="2202"/>
      <c r="AQ42" s="2203"/>
      <c r="AR42" s="2204"/>
      <c r="AS42" s="2205">
        <f t="shared" si="2"/>
        <v>0</v>
      </c>
      <c r="AT42" s="2206"/>
      <c r="AU42" s="2206"/>
      <c r="AV42" s="2206"/>
      <c r="AW42" s="2206"/>
      <c r="AX42" s="2207"/>
      <c r="AY42" s="2208">
        <f t="shared" si="3"/>
        <v>0</v>
      </c>
      <c r="AZ42" s="2209"/>
      <c r="BA42" s="2209"/>
      <c r="BB42" s="2209"/>
      <c r="BC42" s="2209"/>
      <c r="BD42" s="2210"/>
      <c r="BE42" s="1215"/>
    </row>
    <row r="43" spans="1:58" ht="15.75" customHeight="1">
      <c r="A43" s="1208"/>
      <c r="B43" s="2157" t="s">
        <v>2349</v>
      </c>
      <c r="C43" s="2158"/>
      <c r="D43" s="2158"/>
      <c r="E43" s="2158"/>
      <c r="F43" s="2158"/>
      <c r="G43" s="2158"/>
      <c r="H43" s="2158"/>
      <c r="I43" s="2158"/>
      <c r="J43" s="2217"/>
      <c r="K43" s="2217"/>
      <c r="L43" s="2217"/>
      <c r="M43" s="2217"/>
      <c r="N43" s="2217"/>
      <c r="O43" s="2217"/>
      <c r="P43" s="2217"/>
      <c r="Q43" s="2217"/>
      <c r="R43" s="2218"/>
      <c r="S43" s="2218"/>
      <c r="T43" s="2218"/>
      <c r="U43" s="2218"/>
      <c r="V43" s="2218"/>
      <c r="W43" s="2218"/>
      <c r="X43" s="2218"/>
      <c r="Y43" s="2218"/>
      <c r="Z43" s="2218"/>
      <c r="AA43" s="2218"/>
      <c r="AB43" s="2218"/>
      <c r="AC43" s="2218"/>
      <c r="AD43" s="2218"/>
      <c r="AE43" s="2218"/>
      <c r="AF43" s="2218"/>
      <c r="AG43" s="2218"/>
      <c r="AH43" s="2218"/>
      <c r="AI43" s="2218"/>
      <c r="AJ43" s="2218"/>
      <c r="AK43" s="2218"/>
      <c r="AL43" s="2202"/>
      <c r="AM43" s="2203"/>
      <c r="AN43" s="2203"/>
      <c r="AO43" s="2204"/>
      <c r="AP43" s="2202"/>
      <c r="AQ43" s="2203"/>
      <c r="AR43" s="2204"/>
      <c r="AS43" s="2205">
        <f t="shared" si="2"/>
        <v>0</v>
      </c>
      <c r="AT43" s="2206"/>
      <c r="AU43" s="2206"/>
      <c r="AV43" s="2206"/>
      <c r="AW43" s="2206"/>
      <c r="AX43" s="2207"/>
      <c r="AY43" s="2208">
        <f t="shared" si="3"/>
        <v>0</v>
      </c>
      <c r="AZ43" s="2209"/>
      <c r="BA43" s="2209"/>
      <c r="BB43" s="2209"/>
      <c r="BC43" s="2209"/>
      <c r="BD43" s="2210"/>
      <c r="BE43" s="1215"/>
    </row>
    <row r="44" spans="1:58" ht="15.75" customHeight="1">
      <c r="A44" s="1208"/>
      <c r="B44" s="2157" t="s">
        <v>2348</v>
      </c>
      <c r="C44" s="2158"/>
      <c r="D44" s="2158"/>
      <c r="E44" s="2158"/>
      <c r="F44" s="2158"/>
      <c r="G44" s="2158"/>
      <c r="H44" s="2158"/>
      <c r="I44" s="2158"/>
      <c r="J44" s="2217"/>
      <c r="K44" s="2217"/>
      <c r="L44" s="2217"/>
      <c r="M44" s="2217"/>
      <c r="N44" s="2217"/>
      <c r="O44" s="2217"/>
      <c r="P44" s="2217"/>
      <c r="Q44" s="2217"/>
      <c r="R44" s="2218"/>
      <c r="S44" s="2218"/>
      <c r="T44" s="2218"/>
      <c r="U44" s="2218"/>
      <c r="V44" s="2218"/>
      <c r="W44" s="2218"/>
      <c r="X44" s="2218"/>
      <c r="Y44" s="2218"/>
      <c r="Z44" s="2218"/>
      <c r="AA44" s="2218"/>
      <c r="AB44" s="2218"/>
      <c r="AC44" s="2218"/>
      <c r="AD44" s="2218"/>
      <c r="AE44" s="2218"/>
      <c r="AF44" s="2218"/>
      <c r="AG44" s="2218"/>
      <c r="AH44" s="2218"/>
      <c r="AI44" s="2218"/>
      <c r="AJ44" s="2218"/>
      <c r="AK44" s="2218"/>
      <c r="AL44" s="2202"/>
      <c r="AM44" s="2203"/>
      <c r="AN44" s="2203"/>
      <c r="AO44" s="2204"/>
      <c r="AP44" s="2202"/>
      <c r="AQ44" s="2203"/>
      <c r="AR44" s="2204"/>
      <c r="AS44" s="2205">
        <f t="shared" si="2"/>
        <v>0</v>
      </c>
      <c r="AT44" s="2206"/>
      <c r="AU44" s="2206"/>
      <c r="AV44" s="2206"/>
      <c r="AW44" s="2206"/>
      <c r="AX44" s="2207"/>
      <c r="AY44" s="2208">
        <f t="shared" si="3"/>
        <v>0</v>
      </c>
      <c r="AZ44" s="2209"/>
      <c r="BA44" s="2209"/>
      <c r="BB44" s="2209"/>
      <c r="BC44" s="2209"/>
      <c r="BD44" s="2210"/>
      <c r="BE44" s="1215"/>
    </row>
    <row r="45" spans="1:58" ht="15.75" customHeight="1">
      <c r="A45" s="1208"/>
      <c r="B45" s="2157" t="s">
        <v>2347</v>
      </c>
      <c r="C45" s="2158"/>
      <c r="D45" s="2158"/>
      <c r="E45" s="2158"/>
      <c r="F45" s="2158"/>
      <c r="G45" s="2158"/>
      <c r="H45" s="2158"/>
      <c r="I45" s="2158"/>
      <c r="J45" s="2217"/>
      <c r="K45" s="2217"/>
      <c r="L45" s="2217"/>
      <c r="M45" s="2217"/>
      <c r="N45" s="2217"/>
      <c r="O45" s="2217"/>
      <c r="P45" s="2217"/>
      <c r="Q45" s="2217"/>
      <c r="R45" s="2218"/>
      <c r="S45" s="2218"/>
      <c r="T45" s="2218"/>
      <c r="U45" s="2218"/>
      <c r="V45" s="2218"/>
      <c r="W45" s="2218"/>
      <c r="X45" s="2218"/>
      <c r="Y45" s="2218"/>
      <c r="Z45" s="2218"/>
      <c r="AA45" s="2218"/>
      <c r="AB45" s="2218"/>
      <c r="AC45" s="2218"/>
      <c r="AD45" s="2218"/>
      <c r="AE45" s="2218"/>
      <c r="AF45" s="2218"/>
      <c r="AG45" s="2218"/>
      <c r="AH45" s="2218"/>
      <c r="AI45" s="2218"/>
      <c r="AJ45" s="2218"/>
      <c r="AK45" s="2218"/>
      <c r="AL45" s="2202"/>
      <c r="AM45" s="2203"/>
      <c r="AN45" s="2203"/>
      <c r="AO45" s="2204"/>
      <c r="AP45" s="2202"/>
      <c r="AQ45" s="2203"/>
      <c r="AR45" s="2204"/>
      <c r="AS45" s="2205">
        <f t="shared" si="2"/>
        <v>0</v>
      </c>
      <c r="AT45" s="2206"/>
      <c r="AU45" s="2206"/>
      <c r="AV45" s="2206"/>
      <c r="AW45" s="2206"/>
      <c r="AX45" s="2207"/>
      <c r="AY45" s="2208">
        <f t="shared" si="3"/>
        <v>0</v>
      </c>
      <c r="AZ45" s="2209"/>
      <c r="BA45" s="2209"/>
      <c r="BB45" s="2209"/>
      <c r="BC45" s="2209"/>
      <c r="BD45" s="2210"/>
      <c r="BE45" s="1215"/>
    </row>
    <row r="46" spans="1:58" ht="15.75" customHeight="1">
      <c r="A46" s="1208"/>
      <c r="B46" s="2157" t="s">
        <v>2279</v>
      </c>
      <c r="C46" s="2158"/>
      <c r="D46" s="2158"/>
      <c r="E46" s="2158"/>
      <c r="F46" s="2158"/>
      <c r="G46" s="2158"/>
      <c r="H46" s="2158"/>
      <c r="I46" s="2158"/>
      <c r="J46" s="2217"/>
      <c r="K46" s="2217"/>
      <c r="L46" s="2217"/>
      <c r="M46" s="2217"/>
      <c r="N46" s="2217">
        <v>99</v>
      </c>
      <c r="O46" s="2217"/>
      <c r="P46" s="2217"/>
      <c r="Q46" s="2217"/>
      <c r="R46" s="2218"/>
      <c r="S46" s="2218"/>
      <c r="T46" s="2218"/>
      <c r="U46" s="2218"/>
      <c r="V46" s="2218"/>
      <c r="W46" s="2218"/>
      <c r="X46" s="2218"/>
      <c r="Y46" s="2218"/>
      <c r="Z46" s="2218"/>
      <c r="AA46" s="2218"/>
      <c r="AB46" s="2218"/>
      <c r="AC46" s="2218"/>
      <c r="AD46" s="2218"/>
      <c r="AE46" s="2218"/>
      <c r="AF46" s="2218"/>
      <c r="AG46" s="2218"/>
      <c r="AH46" s="2218"/>
      <c r="AI46" s="2218"/>
      <c r="AJ46" s="2218"/>
      <c r="AK46" s="2218"/>
      <c r="AL46" s="2202"/>
      <c r="AM46" s="2203"/>
      <c r="AN46" s="2203"/>
      <c r="AO46" s="2204"/>
      <c r="AP46" s="2202"/>
      <c r="AQ46" s="2203"/>
      <c r="AR46" s="2204"/>
      <c r="AS46" s="2205">
        <f t="shared" si="2"/>
        <v>0</v>
      </c>
      <c r="AT46" s="2206"/>
      <c r="AU46" s="2206"/>
      <c r="AV46" s="2206"/>
      <c r="AW46" s="2206"/>
      <c r="AX46" s="2207"/>
      <c r="AY46" s="2208">
        <f t="shared" si="3"/>
        <v>0</v>
      </c>
      <c r="AZ46" s="2209"/>
      <c r="BA46" s="2209"/>
      <c r="BB46" s="2209"/>
      <c r="BC46" s="2209"/>
      <c r="BD46" s="2210"/>
      <c r="BE46" s="1215"/>
    </row>
    <row r="47" spans="1:58" ht="15.75" customHeight="1" thickBot="1">
      <c r="A47" s="1208"/>
      <c r="B47" s="2211" t="s">
        <v>300</v>
      </c>
      <c r="C47" s="2212"/>
      <c r="D47" s="2212"/>
      <c r="E47" s="2212"/>
      <c r="F47" s="2212"/>
      <c r="G47" s="2212"/>
      <c r="H47" s="2212"/>
      <c r="I47" s="2212"/>
      <c r="J47" s="2213"/>
      <c r="K47" s="2213"/>
      <c r="L47" s="2213"/>
      <c r="M47" s="2213"/>
      <c r="N47" s="2213"/>
      <c r="O47" s="2213"/>
      <c r="P47" s="2213"/>
      <c r="Q47" s="2213"/>
      <c r="R47" s="2198"/>
      <c r="S47" s="2198"/>
      <c r="T47" s="2198"/>
      <c r="U47" s="2198"/>
      <c r="V47" s="2198"/>
      <c r="W47" s="2198"/>
      <c r="X47" s="2198"/>
      <c r="Y47" s="2198"/>
      <c r="Z47" s="2198"/>
      <c r="AA47" s="2198"/>
      <c r="AB47" s="2198"/>
      <c r="AC47" s="2198"/>
      <c r="AD47" s="2198"/>
      <c r="AE47" s="2198"/>
      <c r="AF47" s="2198"/>
      <c r="AG47" s="2198"/>
      <c r="AH47" s="2198"/>
      <c r="AI47" s="2198"/>
      <c r="AJ47" s="2198"/>
      <c r="AK47" s="2198"/>
      <c r="AL47" s="2199"/>
      <c r="AM47" s="2200"/>
      <c r="AN47" s="2200"/>
      <c r="AO47" s="2201"/>
      <c r="AP47" s="2199"/>
      <c r="AQ47" s="2200"/>
      <c r="AR47" s="2201"/>
      <c r="AS47" s="2205">
        <f t="shared" si="2"/>
        <v>0</v>
      </c>
      <c r="AT47" s="2206"/>
      <c r="AU47" s="2206"/>
      <c r="AV47" s="2206"/>
      <c r="AW47" s="2206"/>
      <c r="AX47" s="2207"/>
      <c r="AY47" s="2214">
        <f t="shared" si="3"/>
        <v>0</v>
      </c>
      <c r="AZ47" s="2215"/>
      <c r="BA47" s="2215"/>
      <c r="BB47" s="2215"/>
      <c r="BC47" s="2215"/>
      <c r="BD47" s="2216"/>
      <c r="BE47" s="1215"/>
    </row>
    <row r="48" spans="1:58" ht="15.75" customHeight="1">
      <c r="A48" s="1208"/>
      <c r="B48" s="1217" t="s">
        <v>2346</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2345</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6" t="s">
        <v>2344</v>
      </c>
      <c r="C50" s="2032"/>
      <c r="D50" s="2032"/>
      <c r="E50" s="2032"/>
      <c r="F50" s="2032"/>
      <c r="G50" s="2032"/>
      <c r="H50" s="2032"/>
      <c r="I50" s="2032"/>
      <c r="J50" s="2032"/>
      <c r="K50" s="2032"/>
      <c r="L50" s="2032"/>
      <c r="M50" s="2032"/>
      <c r="N50" s="2032"/>
      <c r="O50" s="2032"/>
      <c r="P50" s="2032"/>
      <c r="Q50" s="2032"/>
      <c r="R50" s="2032"/>
      <c r="S50" s="2032"/>
      <c r="T50" s="2032"/>
      <c r="U50" s="2032"/>
      <c r="V50" s="2032"/>
      <c r="W50" s="2032"/>
      <c r="X50" s="2032"/>
      <c r="Y50" s="2032"/>
      <c r="Z50" s="2032"/>
      <c r="AA50" s="2032"/>
      <c r="AB50" s="2032"/>
      <c r="AC50" s="2032"/>
      <c r="AD50" s="2032"/>
      <c r="AE50" s="2032"/>
      <c r="AF50" s="2032"/>
      <c r="AG50" s="2032"/>
      <c r="AH50" s="2032"/>
      <c r="AI50" s="2032"/>
      <c r="AJ50" s="2032"/>
      <c r="AK50" s="2032"/>
      <c r="AL50" s="2032"/>
      <c r="AM50" s="2032"/>
      <c r="AN50" s="2032"/>
      <c r="AO50" s="2033"/>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10" t="s">
        <v>2337</v>
      </c>
      <c r="C51" s="2104"/>
      <c r="D51" s="2104"/>
      <c r="E51" s="2104"/>
      <c r="F51" s="2104"/>
      <c r="G51" s="2104"/>
      <c r="H51" s="2104"/>
      <c r="I51" s="2104"/>
      <c r="J51" s="2104" t="s">
        <v>2343</v>
      </c>
      <c r="K51" s="2104"/>
      <c r="L51" s="2104"/>
      <c r="M51" s="2104"/>
      <c r="N51" s="2104"/>
      <c r="O51" s="2104"/>
      <c r="P51" s="2104"/>
      <c r="Q51" s="2104"/>
      <c r="R51" s="2196" t="s">
        <v>2342</v>
      </c>
      <c r="S51" s="2196"/>
      <c r="T51" s="2196"/>
      <c r="U51" s="2196"/>
      <c r="V51" s="2196"/>
      <c r="W51" s="2196"/>
      <c r="X51" s="2196"/>
      <c r="Y51" s="2196"/>
      <c r="Z51" s="2196" t="s">
        <v>2341</v>
      </c>
      <c r="AA51" s="2196"/>
      <c r="AB51" s="2196"/>
      <c r="AC51" s="2196"/>
      <c r="AD51" s="2196"/>
      <c r="AE51" s="2196"/>
      <c r="AF51" s="2196"/>
      <c r="AG51" s="2196"/>
      <c r="AH51" s="2196" t="s">
        <v>2340</v>
      </c>
      <c r="AI51" s="2196"/>
      <c r="AJ51" s="2196"/>
      <c r="AK51" s="2196"/>
      <c r="AL51" s="2196"/>
      <c r="AM51" s="2196"/>
      <c r="AN51" s="2196"/>
      <c r="AO51" s="2197"/>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57" t="s">
        <v>2339</v>
      </c>
      <c r="C52" s="2158"/>
      <c r="D52" s="2158"/>
      <c r="E52" s="2158"/>
      <c r="F52" s="2158"/>
      <c r="G52" s="2158"/>
      <c r="H52" s="2158"/>
      <c r="I52" s="2158"/>
      <c r="J52" s="1993">
        <v>0</v>
      </c>
      <c r="K52" s="1993"/>
      <c r="L52" s="1993"/>
      <c r="M52" s="1993"/>
      <c r="N52" s="1993"/>
      <c r="O52" s="1993"/>
      <c r="P52" s="1993"/>
      <c r="Q52" s="1993"/>
      <c r="R52" s="2188">
        <v>0</v>
      </c>
      <c r="S52" s="2188"/>
      <c r="T52" s="2188"/>
      <c r="U52" s="2188"/>
      <c r="V52" s="2188"/>
      <c r="W52" s="2188"/>
      <c r="X52" s="2188"/>
      <c r="Y52" s="2188"/>
      <c r="Z52" s="2189">
        <v>0</v>
      </c>
      <c r="AA52" s="2189"/>
      <c r="AB52" s="2189"/>
      <c r="AC52" s="2189"/>
      <c r="AD52" s="2189"/>
      <c r="AE52" s="2189"/>
      <c r="AF52" s="2189"/>
      <c r="AG52" s="2189"/>
      <c r="AH52" s="2190"/>
      <c r="AI52" s="2190"/>
      <c r="AJ52" s="2190"/>
      <c r="AK52" s="2190"/>
      <c r="AL52" s="2190"/>
      <c r="AM52" s="2190"/>
      <c r="AN52" s="2190"/>
      <c r="AO52" s="2191"/>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57" t="s">
        <v>2338</v>
      </c>
      <c r="C53" s="2158"/>
      <c r="D53" s="2158"/>
      <c r="E53" s="2158"/>
      <c r="F53" s="2158"/>
      <c r="G53" s="2158"/>
      <c r="H53" s="2158"/>
      <c r="I53" s="2158"/>
      <c r="J53" s="1993">
        <v>0</v>
      </c>
      <c r="K53" s="1993"/>
      <c r="L53" s="1993"/>
      <c r="M53" s="1993"/>
      <c r="N53" s="1993"/>
      <c r="O53" s="1993"/>
      <c r="P53" s="1993"/>
      <c r="Q53" s="1993"/>
      <c r="R53" s="2188">
        <v>0</v>
      </c>
      <c r="S53" s="2188"/>
      <c r="T53" s="2188"/>
      <c r="U53" s="2188"/>
      <c r="V53" s="2188"/>
      <c r="W53" s="2188"/>
      <c r="X53" s="2188"/>
      <c r="Y53" s="2188"/>
      <c r="Z53" s="2189">
        <v>0</v>
      </c>
      <c r="AA53" s="2189"/>
      <c r="AB53" s="2189"/>
      <c r="AC53" s="2189"/>
      <c r="AD53" s="2189"/>
      <c r="AE53" s="2189"/>
      <c r="AF53" s="2189"/>
      <c r="AG53" s="2189"/>
      <c r="AH53" s="2190"/>
      <c r="AI53" s="2190"/>
      <c r="AJ53" s="2190"/>
      <c r="AK53" s="2190"/>
      <c r="AL53" s="2190"/>
      <c r="AM53" s="2190"/>
      <c r="AN53" s="2190"/>
      <c r="AO53" s="2191"/>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57"/>
      <c r="C54" s="2158"/>
      <c r="D54" s="2158"/>
      <c r="E54" s="2158"/>
      <c r="F54" s="2158"/>
      <c r="G54" s="2158"/>
      <c r="H54" s="2158"/>
      <c r="I54" s="2158"/>
      <c r="J54" s="1993"/>
      <c r="K54" s="1993"/>
      <c r="L54" s="1993"/>
      <c r="M54" s="1993"/>
      <c r="N54" s="1993"/>
      <c r="O54" s="1993"/>
      <c r="P54" s="1993"/>
      <c r="Q54" s="1993"/>
      <c r="R54" s="2188"/>
      <c r="S54" s="2188"/>
      <c r="T54" s="2188"/>
      <c r="U54" s="2188"/>
      <c r="V54" s="2188"/>
      <c r="W54" s="2188"/>
      <c r="X54" s="2188"/>
      <c r="Y54" s="2188"/>
      <c r="Z54" s="2189"/>
      <c r="AA54" s="2189"/>
      <c r="AB54" s="2189"/>
      <c r="AC54" s="2189"/>
      <c r="AD54" s="2189"/>
      <c r="AE54" s="2189"/>
      <c r="AF54" s="2189"/>
      <c r="AG54" s="2189"/>
      <c r="AH54" s="2190"/>
      <c r="AI54" s="2190"/>
      <c r="AJ54" s="2190"/>
      <c r="AK54" s="2190"/>
      <c r="AL54" s="2190"/>
      <c r="AM54" s="2190"/>
      <c r="AN54" s="2190"/>
      <c r="AO54" s="2191"/>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57"/>
      <c r="C55" s="2158"/>
      <c r="D55" s="2158"/>
      <c r="E55" s="2158"/>
      <c r="F55" s="2158"/>
      <c r="G55" s="2158"/>
      <c r="H55" s="2158"/>
      <c r="I55" s="2158"/>
      <c r="J55" s="1993"/>
      <c r="K55" s="1993"/>
      <c r="L55" s="1993"/>
      <c r="M55" s="1993"/>
      <c r="N55" s="1993"/>
      <c r="O55" s="1993"/>
      <c r="P55" s="1993"/>
      <c r="Q55" s="1993"/>
      <c r="R55" s="2188"/>
      <c r="S55" s="2188"/>
      <c r="T55" s="2188"/>
      <c r="U55" s="2188"/>
      <c r="V55" s="2188"/>
      <c r="W55" s="2188"/>
      <c r="X55" s="2188"/>
      <c r="Y55" s="2188"/>
      <c r="Z55" s="2189"/>
      <c r="AA55" s="2189"/>
      <c r="AB55" s="2189"/>
      <c r="AC55" s="2189"/>
      <c r="AD55" s="2189"/>
      <c r="AE55" s="2189"/>
      <c r="AF55" s="2189"/>
      <c r="AG55" s="2189"/>
      <c r="AH55" s="2190"/>
      <c r="AI55" s="2190"/>
      <c r="AJ55" s="2190"/>
      <c r="AK55" s="2190"/>
      <c r="AL55" s="2190"/>
      <c r="AM55" s="2190"/>
      <c r="AN55" s="2190"/>
      <c r="AO55" s="2191"/>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157"/>
      <c r="C56" s="2158"/>
      <c r="D56" s="2158"/>
      <c r="E56" s="2158"/>
      <c r="F56" s="2158"/>
      <c r="G56" s="2158"/>
      <c r="H56" s="2158"/>
      <c r="I56" s="2158"/>
      <c r="J56" s="1993"/>
      <c r="K56" s="1993"/>
      <c r="L56" s="1993"/>
      <c r="M56" s="1993"/>
      <c r="N56" s="1993"/>
      <c r="O56" s="1993"/>
      <c r="P56" s="1993"/>
      <c r="Q56" s="1993"/>
      <c r="R56" s="2188"/>
      <c r="S56" s="2188"/>
      <c r="T56" s="2188"/>
      <c r="U56" s="2188"/>
      <c r="V56" s="2188"/>
      <c r="W56" s="2188"/>
      <c r="X56" s="2188"/>
      <c r="Y56" s="2188"/>
      <c r="Z56" s="2189"/>
      <c r="AA56" s="2189"/>
      <c r="AB56" s="2189"/>
      <c r="AC56" s="2189"/>
      <c r="AD56" s="2189"/>
      <c r="AE56" s="2189"/>
      <c r="AF56" s="2189"/>
      <c r="AG56" s="2189"/>
      <c r="AH56" s="2190"/>
      <c r="AI56" s="2190"/>
      <c r="AJ56" s="2190"/>
      <c r="AK56" s="2190"/>
      <c r="AL56" s="2190"/>
      <c r="AM56" s="2190"/>
      <c r="AN56" s="2190"/>
      <c r="AO56" s="2191"/>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38" t="s">
        <v>1575</v>
      </c>
      <c r="C57" s="2139"/>
      <c r="D57" s="2139"/>
      <c r="E57" s="2139"/>
      <c r="F57" s="2139"/>
      <c r="G57" s="2139"/>
      <c r="H57" s="2139"/>
      <c r="I57" s="2139"/>
      <c r="J57" s="2139"/>
      <c r="K57" s="2139"/>
      <c r="L57" s="2139"/>
      <c r="M57" s="2139"/>
      <c r="N57" s="2139"/>
      <c r="O57" s="2139"/>
      <c r="P57" s="2139"/>
      <c r="Q57" s="2139"/>
      <c r="R57" s="2192">
        <f>SUM(R52:Y56)</f>
        <v>0</v>
      </c>
      <c r="S57" s="2192"/>
      <c r="T57" s="2192"/>
      <c r="U57" s="2192"/>
      <c r="V57" s="2192"/>
      <c r="W57" s="2192"/>
      <c r="X57" s="2192"/>
      <c r="Y57" s="2192"/>
      <c r="Z57" s="2193">
        <f>SUM(Z52:AG56)</f>
        <v>0</v>
      </c>
      <c r="AA57" s="2193"/>
      <c r="AB57" s="2193"/>
      <c r="AC57" s="2193"/>
      <c r="AD57" s="2193"/>
      <c r="AE57" s="2193"/>
      <c r="AF57" s="2193"/>
      <c r="AG57" s="2193"/>
      <c r="AH57" s="2194"/>
      <c r="AI57" s="2194"/>
      <c r="AJ57" s="2194"/>
      <c r="AK57" s="2194"/>
      <c r="AL57" s="2194"/>
      <c r="AM57" s="2194"/>
      <c r="AN57" s="2194"/>
      <c r="AO57" s="2195"/>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5" t="s">
        <v>2337</v>
      </c>
      <c r="C59" s="2186"/>
      <c r="D59" s="2186"/>
      <c r="E59" s="2186"/>
      <c r="F59" s="2186"/>
      <c r="G59" s="2186"/>
      <c r="H59" s="2186"/>
      <c r="I59" s="2187"/>
      <c r="J59" s="2108" t="s">
        <v>2336</v>
      </c>
      <c r="K59" s="2108"/>
      <c r="L59" s="2108"/>
      <c r="M59" s="2108"/>
      <c r="N59" s="2108"/>
      <c r="O59" s="2108"/>
      <c r="P59" s="2108"/>
      <c r="Q59" s="2108"/>
      <c r="R59" s="2108"/>
      <c r="S59" s="2108"/>
      <c r="T59" s="2108"/>
      <c r="U59" s="2108"/>
      <c r="V59" s="2108"/>
      <c r="W59" s="2108"/>
      <c r="X59" s="2108"/>
      <c r="Y59" s="2108"/>
      <c r="Z59" s="2108"/>
      <c r="AA59" s="2108"/>
      <c r="AB59" s="2108"/>
      <c r="AC59" s="2108"/>
      <c r="AD59" s="2108"/>
      <c r="AE59" s="2108"/>
      <c r="AF59" s="2108"/>
      <c r="AG59" s="2108"/>
      <c r="AH59" s="2108"/>
      <c r="AI59" s="2108"/>
      <c r="AJ59" s="2108"/>
      <c r="AK59" s="2108"/>
      <c r="AL59" s="2108"/>
      <c r="AM59" s="2108"/>
      <c r="AN59" s="2108"/>
      <c r="AO59" s="2108"/>
      <c r="AP59" s="2108"/>
      <c r="AQ59" s="2108"/>
      <c r="AR59" s="2108"/>
      <c r="AS59" s="2108"/>
      <c r="AT59" s="2108"/>
      <c r="AU59" s="2108"/>
      <c r="AV59" s="2108"/>
      <c r="AW59" s="2109"/>
      <c r="AX59" s="1208"/>
      <c r="AY59" s="1208"/>
      <c r="AZ59" s="1208"/>
      <c r="BA59" s="1208"/>
      <c r="BB59" s="1208"/>
      <c r="BC59" s="1208"/>
      <c r="BD59" s="1208"/>
      <c r="BE59" s="1215"/>
    </row>
    <row r="60" spans="1:77" ht="15.75" customHeight="1">
      <c r="A60" s="1208"/>
      <c r="B60" s="2177" t="str">
        <f>IF(B52="", "", B52)</f>
        <v>Services Company 1</v>
      </c>
      <c r="C60" s="2178"/>
      <c r="D60" s="2178"/>
      <c r="E60" s="2178"/>
      <c r="F60" s="2178"/>
      <c r="G60" s="2178"/>
      <c r="H60" s="2178"/>
      <c r="I60" s="2179"/>
      <c r="J60" s="2180"/>
      <c r="K60" s="1996"/>
      <c r="L60" s="1996"/>
      <c r="M60" s="1996"/>
      <c r="N60" s="1996"/>
      <c r="O60" s="1996"/>
      <c r="P60" s="1996"/>
      <c r="Q60" s="1996"/>
      <c r="R60" s="1996"/>
      <c r="S60" s="1996"/>
      <c r="T60" s="1996"/>
      <c r="U60" s="1996"/>
      <c r="V60" s="1996"/>
      <c r="W60" s="1996"/>
      <c r="X60" s="1996"/>
      <c r="Y60" s="1996"/>
      <c r="Z60" s="1996"/>
      <c r="AA60" s="1996"/>
      <c r="AB60" s="1996"/>
      <c r="AC60" s="1996"/>
      <c r="AD60" s="1996"/>
      <c r="AE60" s="1996"/>
      <c r="AF60" s="1996"/>
      <c r="AG60" s="1996"/>
      <c r="AH60" s="1996"/>
      <c r="AI60" s="1996"/>
      <c r="AJ60" s="1996"/>
      <c r="AK60" s="1996"/>
      <c r="AL60" s="1996"/>
      <c r="AM60" s="1996"/>
      <c r="AN60" s="1996"/>
      <c r="AO60" s="1996"/>
      <c r="AP60" s="1996"/>
      <c r="AQ60" s="1996"/>
      <c r="AR60" s="1996"/>
      <c r="AS60" s="1996"/>
      <c r="AT60" s="1996"/>
      <c r="AU60" s="1996"/>
      <c r="AV60" s="1996"/>
      <c r="AW60" s="1997"/>
      <c r="AX60" s="1208"/>
      <c r="AY60" s="1208"/>
      <c r="AZ60" s="1208"/>
      <c r="BA60" s="1208"/>
      <c r="BB60" s="1208"/>
      <c r="BC60" s="1208"/>
      <c r="BD60" s="1208"/>
      <c r="BE60" s="1215"/>
    </row>
    <row r="61" spans="1:77" ht="15.75" customHeight="1">
      <c r="A61" s="1208"/>
      <c r="B61" s="2177" t="str">
        <f>IF(B53="", "", B53)</f>
        <v>Services Company 2</v>
      </c>
      <c r="C61" s="2178"/>
      <c r="D61" s="2178"/>
      <c r="E61" s="2178"/>
      <c r="F61" s="2178"/>
      <c r="G61" s="2178"/>
      <c r="H61" s="2178"/>
      <c r="I61" s="2179"/>
      <c r="J61" s="2180"/>
      <c r="K61" s="1996"/>
      <c r="L61" s="1996"/>
      <c r="M61" s="1996"/>
      <c r="N61" s="1996"/>
      <c r="O61" s="1996"/>
      <c r="P61" s="1996"/>
      <c r="Q61" s="1996"/>
      <c r="R61" s="1996"/>
      <c r="S61" s="1996"/>
      <c r="T61" s="1996"/>
      <c r="U61" s="1996"/>
      <c r="V61" s="1996"/>
      <c r="W61" s="1996"/>
      <c r="X61" s="1996"/>
      <c r="Y61" s="1996"/>
      <c r="Z61" s="1996"/>
      <c r="AA61" s="1996"/>
      <c r="AB61" s="1996"/>
      <c r="AC61" s="1996"/>
      <c r="AD61" s="1996"/>
      <c r="AE61" s="1996"/>
      <c r="AF61" s="1996"/>
      <c r="AG61" s="1996"/>
      <c r="AH61" s="1996"/>
      <c r="AI61" s="1996"/>
      <c r="AJ61" s="1996"/>
      <c r="AK61" s="1996"/>
      <c r="AL61" s="1996"/>
      <c r="AM61" s="1996"/>
      <c r="AN61" s="1996"/>
      <c r="AO61" s="1996"/>
      <c r="AP61" s="1996"/>
      <c r="AQ61" s="1996"/>
      <c r="AR61" s="1996"/>
      <c r="AS61" s="1996"/>
      <c r="AT61" s="1996"/>
      <c r="AU61" s="1996"/>
      <c r="AV61" s="1996"/>
      <c r="AW61" s="1997"/>
      <c r="AX61" s="1208"/>
      <c r="AY61" s="1208"/>
      <c r="AZ61" s="1208"/>
      <c r="BA61" s="1208"/>
      <c r="BB61" s="1208"/>
      <c r="BC61" s="1208"/>
      <c r="BD61" s="1208"/>
      <c r="BE61" s="1215"/>
    </row>
    <row r="62" spans="1:77" ht="15.75" customHeight="1">
      <c r="A62" s="1208"/>
      <c r="B62" s="2177" t="str">
        <f>IF(B54="", "", B54)</f>
        <v/>
      </c>
      <c r="C62" s="2178"/>
      <c r="D62" s="2178"/>
      <c r="E62" s="2178"/>
      <c r="F62" s="2178"/>
      <c r="G62" s="2178"/>
      <c r="H62" s="2178"/>
      <c r="I62" s="2179"/>
      <c r="J62" s="2180"/>
      <c r="K62" s="1996"/>
      <c r="L62" s="1996"/>
      <c r="M62" s="1996"/>
      <c r="N62" s="1996"/>
      <c r="O62" s="1996"/>
      <c r="P62" s="1996"/>
      <c r="Q62" s="1996"/>
      <c r="R62" s="1996"/>
      <c r="S62" s="1996"/>
      <c r="T62" s="1996"/>
      <c r="U62" s="1996"/>
      <c r="V62" s="1996"/>
      <c r="W62" s="1996"/>
      <c r="X62" s="1996"/>
      <c r="Y62" s="1996"/>
      <c r="Z62" s="1996"/>
      <c r="AA62" s="1996"/>
      <c r="AB62" s="1996"/>
      <c r="AC62" s="1996"/>
      <c r="AD62" s="1996"/>
      <c r="AE62" s="1996"/>
      <c r="AF62" s="1996"/>
      <c r="AG62" s="1996"/>
      <c r="AH62" s="1996"/>
      <c r="AI62" s="1996"/>
      <c r="AJ62" s="1996"/>
      <c r="AK62" s="1996"/>
      <c r="AL62" s="1996"/>
      <c r="AM62" s="1996"/>
      <c r="AN62" s="1996"/>
      <c r="AO62" s="1996"/>
      <c r="AP62" s="1996"/>
      <c r="AQ62" s="1996"/>
      <c r="AR62" s="1996"/>
      <c r="AS62" s="1996"/>
      <c r="AT62" s="1996"/>
      <c r="AU62" s="1996"/>
      <c r="AV62" s="1996"/>
      <c r="AW62" s="1997"/>
      <c r="AX62" s="1208"/>
      <c r="AY62" s="1208"/>
      <c r="AZ62" s="1208"/>
      <c r="BA62" s="1208"/>
      <c r="BB62" s="1208"/>
      <c r="BC62" s="1208"/>
      <c r="BD62" s="1208"/>
      <c r="BE62" s="1215"/>
    </row>
    <row r="63" spans="1:77" ht="15.75" customHeight="1">
      <c r="A63" s="1208"/>
      <c r="B63" s="2177" t="str">
        <f>IF(B55="", "", B55)</f>
        <v/>
      </c>
      <c r="C63" s="2178"/>
      <c r="D63" s="2178"/>
      <c r="E63" s="2178"/>
      <c r="F63" s="2178"/>
      <c r="G63" s="2178"/>
      <c r="H63" s="2178"/>
      <c r="I63" s="2179"/>
      <c r="J63" s="2180"/>
      <c r="K63" s="1996"/>
      <c r="L63" s="1996"/>
      <c r="M63" s="1996"/>
      <c r="N63" s="1996"/>
      <c r="O63" s="1996"/>
      <c r="P63" s="1996"/>
      <c r="Q63" s="1996"/>
      <c r="R63" s="1996"/>
      <c r="S63" s="1996"/>
      <c r="T63" s="1996"/>
      <c r="U63" s="1996"/>
      <c r="V63" s="1996"/>
      <c r="W63" s="1996"/>
      <c r="X63" s="1996"/>
      <c r="Y63" s="1996"/>
      <c r="Z63" s="1996"/>
      <c r="AA63" s="1996"/>
      <c r="AB63" s="1996"/>
      <c r="AC63" s="1996"/>
      <c r="AD63" s="1996"/>
      <c r="AE63" s="1996"/>
      <c r="AF63" s="1996"/>
      <c r="AG63" s="1996"/>
      <c r="AH63" s="1996"/>
      <c r="AI63" s="1996"/>
      <c r="AJ63" s="1996"/>
      <c r="AK63" s="1996"/>
      <c r="AL63" s="1996"/>
      <c r="AM63" s="1996"/>
      <c r="AN63" s="1996"/>
      <c r="AO63" s="1996"/>
      <c r="AP63" s="1996"/>
      <c r="AQ63" s="1996"/>
      <c r="AR63" s="1996"/>
      <c r="AS63" s="1996"/>
      <c r="AT63" s="1996"/>
      <c r="AU63" s="1996"/>
      <c r="AV63" s="1996"/>
      <c r="AW63" s="1997"/>
      <c r="AX63" s="1208"/>
      <c r="AY63" s="1208"/>
      <c r="AZ63" s="1208"/>
      <c r="BA63" s="1208"/>
      <c r="BB63" s="1208"/>
      <c r="BC63" s="1208"/>
      <c r="BD63" s="1208"/>
      <c r="BE63" s="1215"/>
    </row>
    <row r="64" spans="1:77" ht="15.75" customHeight="1" thickBot="1">
      <c r="A64" s="1208"/>
      <c r="B64" s="2181" t="str">
        <f>IF(B56="", "", B56)</f>
        <v/>
      </c>
      <c r="C64" s="2182"/>
      <c r="D64" s="2182"/>
      <c r="E64" s="2182"/>
      <c r="F64" s="2182"/>
      <c r="G64" s="2182"/>
      <c r="H64" s="2182"/>
      <c r="I64" s="2183"/>
      <c r="J64" s="2184"/>
      <c r="K64" s="2167"/>
      <c r="L64" s="2167"/>
      <c r="M64" s="2167"/>
      <c r="N64" s="2167"/>
      <c r="O64" s="2167"/>
      <c r="P64" s="2167"/>
      <c r="Q64" s="2167"/>
      <c r="R64" s="2167"/>
      <c r="S64" s="2167"/>
      <c r="T64" s="2167"/>
      <c r="U64" s="2167"/>
      <c r="V64" s="2167"/>
      <c r="W64" s="2167"/>
      <c r="X64" s="2167"/>
      <c r="Y64" s="2167"/>
      <c r="Z64" s="2167"/>
      <c r="AA64" s="2167"/>
      <c r="AB64" s="2167"/>
      <c r="AC64" s="2167"/>
      <c r="AD64" s="2167"/>
      <c r="AE64" s="2167"/>
      <c r="AF64" s="2167"/>
      <c r="AG64" s="2167"/>
      <c r="AH64" s="2167"/>
      <c r="AI64" s="2167"/>
      <c r="AJ64" s="2167"/>
      <c r="AK64" s="2167"/>
      <c r="AL64" s="2167"/>
      <c r="AM64" s="2167"/>
      <c r="AN64" s="2167"/>
      <c r="AO64" s="2167"/>
      <c r="AP64" s="2167"/>
      <c r="AQ64" s="2167"/>
      <c r="AR64" s="2167"/>
      <c r="AS64" s="2167"/>
      <c r="AT64" s="2167"/>
      <c r="AU64" s="2167"/>
      <c r="AV64" s="2167"/>
      <c r="AW64" s="2168"/>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2335</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07" t="s">
        <v>2334</v>
      </c>
      <c r="C68" s="2108"/>
      <c r="D68" s="2108"/>
      <c r="E68" s="2108"/>
      <c r="F68" s="2108"/>
      <c r="G68" s="2108"/>
      <c r="H68" s="2108"/>
      <c r="I68" s="2108"/>
      <c r="J68" s="2108"/>
      <c r="K68" s="2108"/>
      <c r="L68" s="2108"/>
      <c r="M68" s="2108"/>
      <c r="N68" s="2108"/>
      <c r="O68" s="2108"/>
      <c r="P68" s="2108"/>
      <c r="Q68" s="2108"/>
      <c r="R68" s="2108"/>
      <c r="S68" s="2108"/>
      <c r="T68" s="2108"/>
      <c r="U68" s="2108"/>
      <c r="V68" s="2108"/>
      <c r="W68" s="2108"/>
      <c r="X68" s="2108"/>
      <c r="Y68" s="2108"/>
      <c r="Z68" s="2108"/>
      <c r="AA68" s="2109"/>
      <c r="AB68" s="1208"/>
      <c r="AC68" s="2030" t="s">
        <v>2333</v>
      </c>
      <c r="AD68" s="2031"/>
      <c r="AE68" s="2031"/>
      <c r="AF68" s="2031"/>
      <c r="AG68" s="2031"/>
      <c r="AH68" s="2031"/>
      <c r="AI68" s="2031"/>
      <c r="AJ68" s="2031"/>
      <c r="AK68" s="2031"/>
      <c r="AL68" s="2031"/>
      <c r="AM68" s="2031"/>
      <c r="AN68" s="2031"/>
      <c r="AO68" s="2031"/>
      <c r="AP68" s="2031"/>
      <c r="AQ68" s="2031"/>
      <c r="AR68" s="2031"/>
      <c r="AS68" s="2031"/>
      <c r="AT68" s="2031"/>
      <c r="AU68" s="2031"/>
      <c r="AV68" s="2169" t="s">
        <v>669</v>
      </c>
      <c r="AW68" s="2087"/>
      <c r="AX68" s="2087"/>
      <c r="AY68" s="2087"/>
      <c r="AZ68" s="2087"/>
      <c r="BA68" s="2087"/>
      <c r="BB68" s="2087"/>
      <c r="BC68" s="2088"/>
      <c r="BD68" s="1208"/>
      <c r="BE68" s="1215"/>
      <c r="BM68" s="1221" t="s">
        <v>2332</v>
      </c>
    </row>
    <row r="69" spans="1:94" ht="15.75" customHeight="1" thickTop="1" thickBot="1">
      <c r="A69" s="1208"/>
      <c r="B69" s="2170" t="s">
        <v>2331</v>
      </c>
      <c r="C69" s="2171"/>
      <c r="D69" s="2171"/>
      <c r="E69" s="2171"/>
      <c r="F69" s="2171"/>
      <c r="G69" s="2171"/>
      <c r="H69" s="2171"/>
      <c r="I69" s="2171"/>
      <c r="J69" s="2171"/>
      <c r="K69" s="2171"/>
      <c r="L69" s="2171"/>
      <c r="M69" s="2171"/>
      <c r="N69" s="2171"/>
      <c r="O69" s="2172" t="s">
        <v>2330</v>
      </c>
      <c r="P69" s="2173"/>
      <c r="Q69" s="2173"/>
      <c r="R69" s="2173"/>
      <c r="S69" s="2173"/>
      <c r="T69" s="2173"/>
      <c r="U69" s="2173"/>
      <c r="V69" s="2173"/>
      <c r="W69" s="2173"/>
      <c r="X69" s="2173"/>
      <c r="Y69" s="2173"/>
      <c r="Z69" s="2173"/>
      <c r="AA69" s="2174"/>
      <c r="AB69" s="1208"/>
      <c r="AC69" s="2175" t="s">
        <v>2329</v>
      </c>
      <c r="AD69" s="2176"/>
      <c r="AE69" s="2176"/>
      <c r="AF69" s="2176"/>
      <c r="AG69" s="2176"/>
      <c r="AH69" s="2176"/>
      <c r="AI69" s="2176"/>
      <c r="AJ69" s="2176"/>
      <c r="AK69" s="2176"/>
      <c r="AL69" s="2176"/>
      <c r="AM69" s="2176"/>
      <c r="AN69" s="2176"/>
      <c r="AO69" s="2176"/>
      <c r="AP69" s="2176"/>
      <c r="AQ69" s="2176"/>
      <c r="AR69" s="2176"/>
      <c r="AS69" s="2176"/>
      <c r="AT69" s="2176"/>
      <c r="AU69" s="2176"/>
      <c r="AV69" s="2169" t="s">
        <v>669</v>
      </c>
      <c r="AW69" s="2087"/>
      <c r="AX69" s="2087"/>
      <c r="AY69" s="2087"/>
      <c r="AZ69" s="2087"/>
      <c r="BA69" s="2087"/>
      <c r="BB69" s="2087"/>
      <c r="BC69" s="2088"/>
      <c r="BD69" s="1208"/>
      <c r="BE69" s="1215"/>
      <c r="BM69" s="1222" t="s">
        <v>545</v>
      </c>
    </row>
    <row r="70" spans="1:94" ht="15.75" customHeight="1">
      <c r="A70" s="1208"/>
      <c r="B70" s="2152" t="s">
        <v>2328</v>
      </c>
      <c r="C70" s="2153"/>
      <c r="D70" s="2153"/>
      <c r="E70" s="2153"/>
      <c r="F70" s="2153"/>
      <c r="G70" s="2153"/>
      <c r="H70" s="2153"/>
      <c r="I70" s="2153"/>
      <c r="J70" s="2153"/>
      <c r="K70" s="2153"/>
      <c r="L70" s="2153"/>
      <c r="M70" s="2153"/>
      <c r="N70" s="2153"/>
      <c r="O70" s="2038">
        <v>0</v>
      </c>
      <c r="P70" s="2038"/>
      <c r="Q70" s="2038"/>
      <c r="R70" s="2038"/>
      <c r="S70" s="2038"/>
      <c r="T70" s="2038"/>
      <c r="U70" s="2038"/>
      <c r="V70" s="2038"/>
      <c r="W70" s="2038"/>
      <c r="X70" s="2038"/>
      <c r="Y70" s="2038"/>
      <c r="Z70" s="2038"/>
      <c r="AA70" s="2154"/>
      <c r="AB70" s="1208"/>
      <c r="AC70" s="2076" t="s">
        <v>2327</v>
      </c>
      <c r="AD70" s="2032"/>
      <c r="AE70" s="2032"/>
      <c r="AF70" s="2163"/>
      <c r="AG70" s="2163"/>
      <c r="AH70" s="2163"/>
      <c r="AI70" s="2163"/>
      <c r="AJ70" s="2163"/>
      <c r="AK70" s="2163"/>
      <c r="AL70" s="2163"/>
      <c r="AM70" s="2163"/>
      <c r="AN70" s="2163"/>
      <c r="AO70" s="2163"/>
      <c r="AP70" s="2163"/>
      <c r="AQ70" s="2163"/>
      <c r="AR70" s="2163"/>
      <c r="AS70" s="2163"/>
      <c r="AT70" s="2163"/>
      <c r="AU70" s="2164"/>
      <c r="AV70" s="1208"/>
      <c r="AW70" s="1208"/>
      <c r="AX70" s="1208"/>
      <c r="AY70" s="1208"/>
      <c r="AZ70" s="1208"/>
      <c r="BA70" s="1208"/>
      <c r="BB70" s="1208"/>
      <c r="BC70" s="1208"/>
      <c r="BD70" s="1208"/>
      <c r="BE70" s="1215"/>
      <c r="BM70" s="1223" t="s">
        <v>669</v>
      </c>
    </row>
    <row r="71" spans="1:94" ht="15.75" customHeight="1" thickBot="1">
      <c r="A71" s="1208"/>
      <c r="B71" s="2152" t="s">
        <v>2326</v>
      </c>
      <c r="C71" s="2153"/>
      <c r="D71" s="2153"/>
      <c r="E71" s="2153"/>
      <c r="F71" s="2153"/>
      <c r="G71" s="2153"/>
      <c r="H71" s="2153"/>
      <c r="I71" s="2153"/>
      <c r="J71" s="2153"/>
      <c r="K71" s="2153"/>
      <c r="L71" s="2153"/>
      <c r="M71" s="2153"/>
      <c r="N71" s="2153"/>
      <c r="O71" s="2038">
        <v>0</v>
      </c>
      <c r="P71" s="2038"/>
      <c r="Q71" s="2038"/>
      <c r="R71" s="2038"/>
      <c r="S71" s="2038"/>
      <c r="T71" s="2038"/>
      <c r="U71" s="2038"/>
      <c r="V71" s="2038"/>
      <c r="W71" s="2038"/>
      <c r="X71" s="2038"/>
      <c r="Y71" s="2038"/>
      <c r="Z71" s="2038"/>
      <c r="AA71" s="2154"/>
      <c r="AB71" s="1208"/>
      <c r="AC71" s="2165" t="s">
        <v>2325</v>
      </c>
      <c r="AD71" s="2166"/>
      <c r="AE71" s="2166"/>
      <c r="AF71" s="2167"/>
      <c r="AG71" s="2167"/>
      <c r="AH71" s="2167"/>
      <c r="AI71" s="2167"/>
      <c r="AJ71" s="2167"/>
      <c r="AK71" s="2167"/>
      <c r="AL71" s="2167"/>
      <c r="AM71" s="2167"/>
      <c r="AN71" s="2167"/>
      <c r="AO71" s="2167"/>
      <c r="AP71" s="2167"/>
      <c r="AQ71" s="2167"/>
      <c r="AR71" s="2167"/>
      <c r="AS71" s="2167"/>
      <c r="AT71" s="2167"/>
      <c r="AU71" s="2168"/>
      <c r="AV71" s="1208"/>
      <c r="AW71" s="1208"/>
      <c r="AX71" s="1208"/>
      <c r="AY71" s="1208"/>
      <c r="AZ71" s="1208"/>
      <c r="BA71" s="1208"/>
      <c r="BB71" s="1208"/>
      <c r="BC71" s="1208"/>
      <c r="BD71" s="1208"/>
      <c r="BE71" s="1215"/>
      <c r="BM71" s="1204" t="s">
        <v>2324</v>
      </c>
    </row>
    <row r="72" spans="1:94" ht="15.75" customHeight="1">
      <c r="A72" s="1208"/>
      <c r="B72" s="2152" t="s">
        <v>2323</v>
      </c>
      <c r="C72" s="2153"/>
      <c r="D72" s="2153"/>
      <c r="E72" s="2153"/>
      <c r="F72" s="2153"/>
      <c r="G72" s="2153"/>
      <c r="H72" s="2153"/>
      <c r="I72" s="2153"/>
      <c r="J72" s="2153"/>
      <c r="K72" s="2153"/>
      <c r="L72" s="2153"/>
      <c r="M72" s="2153"/>
      <c r="N72" s="2153"/>
      <c r="O72" s="2038">
        <v>0</v>
      </c>
      <c r="P72" s="2038"/>
      <c r="Q72" s="2038"/>
      <c r="R72" s="2038"/>
      <c r="S72" s="2038"/>
      <c r="T72" s="2038"/>
      <c r="U72" s="2038"/>
      <c r="V72" s="2038"/>
      <c r="W72" s="2038"/>
      <c r="X72" s="2038"/>
      <c r="Y72" s="2038"/>
      <c r="Z72" s="2038"/>
      <c r="AA72" s="2154"/>
      <c r="AB72" s="1208"/>
      <c r="AC72" s="2155" t="s">
        <v>2322</v>
      </c>
      <c r="AD72" s="2156"/>
      <c r="AE72" s="2156"/>
      <c r="AF72" s="2156"/>
      <c r="AG72" s="2156"/>
      <c r="AH72" s="2156"/>
      <c r="AI72" s="2156"/>
      <c r="AJ72" s="2156"/>
      <c r="AK72" s="2156"/>
      <c r="AL72" s="2156"/>
      <c r="AM72" s="2156"/>
      <c r="AN72" s="2156"/>
      <c r="AO72" s="2156"/>
      <c r="AP72" s="2156"/>
      <c r="AQ72" s="2156"/>
      <c r="AR72" s="2156"/>
      <c r="AS72" s="2156"/>
      <c r="AT72" s="2156"/>
      <c r="AU72" s="2156"/>
      <c r="AV72" s="2032"/>
      <c r="AW72" s="2032"/>
      <c r="AX72" s="2032"/>
      <c r="AY72" s="2032"/>
      <c r="AZ72" s="2032"/>
      <c r="BA72" s="2032"/>
      <c r="BB72" s="2032"/>
      <c r="BC72" s="2033"/>
      <c r="BD72" s="1208"/>
      <c r="BE72" s="1215"/>
    </row>
    <row r="73" spans="1:94" ht="15.75" customHeight="1">
      <c r="A73" s="1208"/>
      <c r="B73" s="2157" t="s">
        <v>2321</v>
      </c>
      <c r="C73" s="2158"/>
      <c r="D73" s="2158"/>
      <c r="E73" s="2158"/>
      <c r="F73" s="2158"/>
      <c r="G73" s="2158"/>
      <c r="H73" s="2158"/>
      <c r="I73" s="2158"/>
      <c r="J73" s="2158"/>
      <c r="K73" s="2158"/>
      <c r="L73" s="2158"/>
      <c r="M73" s="2158"/>
      <c r="N73" s="2158"/>
      <c r="O73" s="2038">
        <v>0</v>
      </c>
      <c r="P73" s="2038"/>
      <c r="Q73" s="2038"/>
      <c r="R73" s="2038"/>
      <c r="S73" s="2038"/>
      <c r="T73" s="2038"/>
      <c r="U73" s="2038"/>
      <c r="V73" s="2038"/>
      <c r="W73" s="2038"/>
      <c r="X73" s="2038"/>
      <c r="Y73" s="2038"/>
      <c r="Z73" s="2038"/>
      <c r="AA73" s="2154"/>
      <c r="AB73" s="1208"/>
      <c r="AC73" s="2047" t="s">
        <v>2274</v>
      </c>
      <c r="AD73" s="2048"/>
      <c r="AE73" s="2048"/>
      <c r="AF73" s="2048"/>
      <c r="AG73" s="2048"/>
      <c r="AH73" s="2048"/>
      <c r="AI73" s="2048"/>
      <c r="AJ73" s="2048"/>
      <c r="AK73" s="2048"/>
      <c r="AL73" s="2048"/>
      <c r="AM73" s="2048"/>
      <c r="AN73" s="2048"/>
      <c r="AO73" s="2048"/>
      <c r="AP73" s="2048"/>
      <c r="AQ73" s="2048"/>
      <c r="AR73" s="2048"/>
      <c r="AS73" s="2048"/>
      <c r="AT73" s="2048"/>
      <c r="AU73" s="2048"/>
      <c r="AV73" s="2048"/>
      <c r="AW73" s="2048"/>
      <c r="AX73" s="2048"/>
      <c r="AY73" s="2048"/>
      <c r="AZ73" s="2048"/>
      <c r="BA73" s="2048"/>
      <c r="BB73" s="2048"/>
      <c r="BC73" s="2049"/>
      <c r="BD73" s="1208"/>
      <c r="BE73" s="1215"/>
      <c r="CK73" s="1206"/>
      <c r="CL73" s="1206"/>
      <c r="CM73" s="1206"/>
      <c r="CN73" s="1206"/>
      <c r="CO73" s="1206"/>
      <c r="CP73" s="1206"/>
    </row>
    <row r="74" spans="1:94" ht="15.75" customHeight="1">
      <c r="A74" s="1208"/>
      <c r="B74" s="1992"/>
      <c r="C74" s="1993"/>
      <c r="D74" s="1993"/>
      <c r="E74" s="1993"/>
      <c r="F74" s="1993"/>
      <c r="G74" s="1993"/>
      <c r="H74" s="1993"/>
      <c r="I74" s="1993"/>
      <c r="J74" s="1993"/>
      <c r="K74" s="1993"/>
      <c r="L74" s="1993"/>
      <c r="M74" s="1993"/>
      <c r="N74" s="1993"/>
      <c r="O74" s="2038"/>
      <c r="P74" s="2038"/>
      <c r="Q74" s="2038"/>
      <c r="R74" s="2038"/>
      <c r="S74" s="2038"/>
      <c r="T74" s="2038"/>
      <c r="U74" s="2038"/>
      <c r="V74" s="2038"/>
      <c r="W74" s="2038"/>
      <c r="X74" s="2038"/>
      <c r="Y74" s="2038"/>
      <c r="Z74" s="2038"/>
      <c r="AA74" s="2154"/>
      <c r="AB74" s="1208"/>
      <c r="AC74" s="2047"/>
      <c r="AD74" s="2048"/>
      <c r="AE74" s="2048"/>
      <c r="AF74" s="2048"/>
      <c r="AG74" s="2048"/>
      <c r="AH74" s="2048"/>
      <c r="AI74" s="2048"/>
      <c r="AJ74" s="2048"/>
      <c r="AK74" s="2048"/>
      <c r="AL74" s="2048"/>
      <c r="AM74" s="2048"/>
      <c r="AN74" s="2048"/>
      <c r="AO74" s="2048"/>
      <c r="AP74" s="2048"/>
      <c r="AQ74" s="2048"/>
      <c r="AR74" s="2048"/>
      <c r="AS74" s="2048"/>
      <c r="AT74" s="2048"/>
      <c r="AU74" s="2048"/>
      <c r="AV74" s="2048"/>
      <c r="AW74" s="2048"/>
      <c r="AX74" s="2048"/>
      <c r="AY74" s="2048"/>
      <c r="AZ74" s="2048"/>
      <c r="BA74" s="2048"/>
      <c r="BB74" s="2048"/>
      <c r="BC74" s="2049"/>
      <c r="BD74" s="1208"/>
      <c r="BE74" s="1215"/>
      <c r="CK74" s="1206"/>
      <c r="CL74" s="1206"/>
      <c r="CM74" s="1206"/>
      <c r="CN74" s="1206"/>
      <c r="CO74" s="1206"/>
      <c r="CP74" s="1206"/>
    </row>
    <row r="75" spans="1:94" ht="15.75" customHeight="1" thickBot="1">
      <c r="A75" s="1208"/>
      <c r="B75" s="2159" t="s">
        <v>124</v>
      </c>
      <c r="C75" s="2160"/>
      <c r="D75" s="2160"/>
      <c r="E75" s="2160"/>
      <c r="F75" s="2160"/>
      <c r="G75" s="2160"/>
      <c r="H75" s="2160"/>
      <c r="I75" s="2160"/>
      <c r="J75" s="2160"/>
      <c r="K75" s="2160"/>
      <c r="L75" s="2160"/>
      <c r="M75" s="2160"/>
      <c r="N75" s="2160"/>
      <c r="O75" s="2161">
        <f>SUM(O70:AA74)</f>
        <v>0</v>
      </c>
      <c r="P75" s="2161"/>
      <c r="Q75" s="2161"/>
      <c r="R75" s="2161"/>
      <c r="S75" s="2161"/>
      <c r="T75" s="2161"/>
      <c r="U75" s="2161"/>
      <c r="V75" s="2161"/>
      <c r="W75" s="2161"/>
      <c r="X75" s="2161"/>
      <c r="Y75" s="2161"/>
      <c r="Z75" s="2161"/>
      <c r="AA75" s="2162"/>
      <c r="AB75" s="1208"/>
      <c r="AC75" s="2047"/>
      <c r="AD75" s="2048"/>
      <c r="AE75" s="2048"/>
      <c r="AF75" s="2048"/>
      <c r="AG75" s="2048"/>
      <c r="AH75" s="2048"/>
      <c r="AI75" s="2048"/>
      <c r="AJ75" s="2048"/>
      <c r="AK75" s="2048"/>
      <c r="AL75" s="2048"/>
      <c r="AM75" s="2048"/>
      <c r="AN75" s="2048"/>
      <c r="AO75" s="2048"/>
      <c r="AP75" s="2048"/>
      <c r="AQ75" s="2048"/>
      <c r="AR75" s="2048"/>
      <c r="AS75" s="2048"/>
      <c r="AT75" s="2048"/>
      <c r="AU75" s="2048"/>
      <c r="AV75" s="2048"/>
      <c r="AW75" s="2048"/>
      <c r="AX75" s="2048"/>
      <c r="AY75" s="2048"/>
      <c r="AZ75" s="2048"/>
      <c r="BA75" s="2048"/>
      <c r="BB75" s="2048"/>
      <c r="BC75" s="2049"/>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47"/>
      <c r="AD76" s="2048"/>
      <c r="AE76" s="2048"/>
      <c r="AF76" s="2048"/>
      <c r="AG76" s="2048"/>
      <c r="AH76" s="2048"/>
      <c r="AI76" s="2048"/>
      <c r="AJ76" s="2048"/>
      <c r="AK76" s="2048"/>
      <c r="AL76" s="2048"/>
      <c r="AM76" s="2048"/>
      <c r="AN76" s="2048"/>
      <c r="AO76" s="2048"/>
      <c r="AP76" s="2048"/>
      <c r="AQ76" s="2048"/>
      <c r="AR76" s="2048"/>
      <c r="AS76" s="2048"/>
      <c r="AT76" s="2048"/>
      <c r="AU76" s="2048"/>
      <c r="AV76" s="2048"/>
      <c r="AW76" s="2048"/>
      <c r="AX76" s="2048"/>
      <c r="AY76" s="2048"/>
      <c r="AZ76" s="2048"/>
      <c r="BA76" s="2048"/>
      <c r="BB76" s="2048"/>
      <c r="BC76" s="2049"/>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50"/>
      <c r="AD77" s="2051"/>
      <c r="AE77" s="2051"/>
      <c r="AF77" s="2051"/>
      <c r="AG77" s="2051"/>
      <c r="AH77" s="2051"/>
      <c r="AI77" s="2051"/>
      <c r="AJ77" s="2051"/>
      <c r="AK77" s="2051"/>
      <c r="AL77" s="2051"/>
      <c r="AM77" s="2051"/>
      <c r="AN77" s="2051"/>
      <c r="AO77" s="2051"/>
      <c r="AP77" s="2051"/>
      <c r="AQ77" s="2051"/>
      <c r="AR77" s="2051"/>
      <c r="AS77" s="2051"/>
      <c r="AT77" s="2051"/>
      <c r="AU77" s="2051"/>
      <c r="AV77" s="2051"/>
      <c r="AW77" s="2051"/>
      <c r="AX77" s="2051"/>
      <c r="AY77" s="2051"/>
      <c r="AZ77" s="2051"/>
      <c r="BA77" s="2051"/>
      <c r="BB77" s="2051"/>
      <c r="BC77" s="2052"/>
      <c r="BD77" s="1208"/>
      <c r="BE77" s="1215"/>
      <c r="CK77" s="1206"/>
      <c r="CL77" s="1206"/>
      <c r="CM77" s="1206"/>
      <c r="CN77" s="1206"/>
      <c r="CO77" s="1206"/>
      <c r="CP77" s="1206"/>
    </row>
    <row r="78" spans="1:94" ht="15.75" customHeight="1" thickBot="1">
      <c r="A78" s="1208"/>
      <c r="B78" s="1224" t="s">
        <v>2320</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2227</v>
      </c>
      <c r="C79" s="1228"/>
      <c r="D79" s="1228"/>
      <c r="E79" s="1229"/>
      <c r="F79" s="2142"/>
      <c r="G79" s="2143"/>
      <c r="H79" s="2143"/>
      <c r="I79" s="2143"/>
      <c r="J79" s="2143"/>
      <c r="K79" s="2143"/>
      <c r="L79" s="2143"/>
      <c r="M79" s="2143"/>
      <c r="N79" s="2143"/>
      <c r="O79" s="2143"/>
      <c r="P79" s="2143"/>
      <c r="Q79" s="2143"/>
      <c r="R79" s="2143"/>
      <c r="S79" s="2143"/>
      <c r="T79" s="2144"/>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5" t="s">
        <v>2319</v>
      </c>
      <c r="C81" s="2146"/>
      <c r="D81" s="2146"/>
      <c r="E81" s="2146"/>
      <c r="F81" s="2146"/>
      <c r="G81" s="2146"/>
      <c r="H81" s="2146"/>
      <c r="I81" s="2146"/>
      <c r="J81" s="2146"/>
      <c r="K81" s="2146"/>
      <c r="L81" s="2146"/>
      <c r="M81" s="2146"/>
      <c r="N81" s="2146"/>
      <c r="O81" s="2146"/>
      <c r="P81" s="2146"/>
      <c r="Q81" s="2146"/>
      <c r="R81" s="2146"/>
      <c r="S81" s="2146"/>
      <c r="T81" s="2146"/>
      <c r="U81" s="2146"/>
      <c r="V81" s="2146"/>
      <c r="W81" s="2146"/>
      <c r="X81" s="2146"/>
      <c r="Y81" s="2146"/>
      <c r="Z81" s="2146"/>
      <c r="AA81" s="2146"/>
      <c r="AB81" s="2146"/>
      <c r="AC81" s="2146"/>
      <c r="AD81" s="2146"/>
      <c r="AE81" s="2146"/>
      <c r="AF81" s="2146"/>
      <c r="AG81" s="2146"/>
      <c r="AH81" s="2147"/>
      <c r="AI81" s="1208"/>
      <c r="AJ81" s="2129" t="s">
        <v>2625</v>
      </c>
      <c r="AK81" s="2130"/>
      <c r="AL81" s="2130"/>
      <c r="AM81" s="2130"/>
      <c r="AN81" s="2130"/>
      <c r="AO81" s="2130"/>
      <c r="AP81" s="2130"/>
      <c r="AQ81" s="2130"/>
      <c r="AR81" s="2130"/>
      <c r="AS81" s="2130"/>
      <c r="AT81" s="2130"/>
      <c r="AU81" s="2130"/>
      <c r="AV81" s="2130"/>
      <c r="AW81" s="2130"/>
      <c r="AX81" s="2130"/>
      <c r="AY81" s="2148" t="s">
        <v>545</v>
      </c>
      <c r="AZ81" s="2148"/>
      <c r="BA81" s="2148"/>
      <c r="BB81" s="2149"/>
      <c r="BC81" s="1208"/>
      <c r="BD81" s="1208"/>
      <c r="BE81" s="1215"/>
      <c r="CK81" s="1206"/>
      <c r="CL81" s="1206"/>
      <c r="CM81" s="1206"/>
      <c r="CN81" s="1206"/>
      <c r="CO81" s="1206"/>
      <c r="CP81" s="1206"/>
    </row>
    <row r="82" spans="1:94" ht="15.75" customHeight="1">
      <c r="A82" s="1208"/>
      <c r="B82" s="2110"/>
      <c r="C82" s="2104"/>
      <c r="D82" s="2104"/>
      <c r="E82" s="2104"/>
      <c r="F82" s="2104"/>
      <c r="G82" s="2104"/>
      <c r="H82" s="2104"/>
      <c r="I82" s="2104" t="s">
        <v>2313</v>
      </c>
      <c r="J82" s="2104"/>
      <c r="K82" s="2104"/>
      <c r="L82" s="2104"/>
      <c r="M82" s="2104"/>
      <c r="N82" s="2104"/>
      <c r="O82" s="2104" t="s">
        <v>2290</v>
      </c>
      <c r="P82" s="2104"/>
      <c r="Q82" s="2104"/>
      <c r="R82" s="2104"/>
      <c r="S82" s="2104"/>
      <c r="T82" s="2104"/>
      <c r="U82" s="2104"/>
      <c r="V82" s="2140" t="s">
        <v>2289</v>
      </c>
      <c r="W82" s="2140"/>
      <c r="X82" s="2140"/>
      <c r="Y82" s="2140"/>
      <c r="Z82" s="2140"/>
      <c r="AA82" s="2140"/>
      <c r="AB82" s="2077" t="s">
        <v>2312</v>
      </c>
      <c r="AC82" s="2077"/>
      <c r="AD82" s="2077"/>
      <c r="AE82" s="2077"/>
      <c r="AF82" s="2077"/>
      <c r="AG82" s="2077"/>
      <c r="AH82" s="2141"/>
      <c r="AI82" s="1208"/>
      <c r="AJ82" s="2132"/>
      <c r="AK82" s="2133"/>
      <c r="AL82" s="2133"/>
      <c r="AM82" s="2133"/>
      <c r="AN82" s="2133"/>
      <c r="AO82" s="2133"/>
      <c r="AP82" s="2133"/>
      <c r="AQ82" s="2133"/>
      <c r="AR82" s="2133"/>
      <c r="AS82" s="2133"/>
      <c r="AT82" s="2133"/>
      <c r="AU82" s="2133"/>
      <c r="AV82" s="2133"/>
      <c r="AW82" s="2133"/>
      <c r="AX82" s="2133"/>
      <c r="AY82" s="2150"/>
      <c r="AZ82" s="2150"/>
      <c r="BA82" s="2150"/>
      <c r="BB82" s="2151"/>
      <c r="BC82" s="1208"/>
      <c r="BD82" s="1208"/>
      <c r="BE82" s="1215"/>
      <c r="CK82" s="1206"/>
      <c r="CL82" s="1206"/>
      <c r="CM82" s="1206"/>
      <c r="CN82" s="1206"/>
      <c r="CO82" s="1206"/>
      <c r="CP82" s="1206"/>
    </row>
    <row r="83" spans="1:94" ht="15.75" customHeight="1">
      <c r="A83" s="1208"/>
      <c r="B83" s="2110"/>
      <c r="C83" s="2104"/>
      <c r="D83" s="2104"/>
      <c r="E83" s="2104"/>
      <c r="F83" s="2104"/>
      <c r="G83" s="2104"/>
      <c r="H83" s="2104"/>
      <c r="I83" s="2104"/>
      <c r="J83" s="2104"/>
      <c r="K83" s="2104"/>
      <c r="L83" s="2104"/>
      <c r="M83" s="2104"/>
      <c r="N83" s="2104"/>
      <c r="O83" s="2104"/>
      <c r="P83" s="2104"/>
      <c r="Q83" s="2104"/>
      <c r="R83" s="2104"/>
      <c r="S83" s="2104"/>
      <c r="T83" s="2104"/>
      <c r="U83" s="2104"/>
      <c r="V83" s="2140"/>
      <c r="W83" s="2140"/>
      <c r="X83" s="2140"/>
      <c r="Y83" s="2140"/>
      <c r="Z83" s="2140"/>
      <c r="AA83" s="2140"/>
      <c r="AB83" s="2077"/>
      <c r="AC83" s="2077"/>
      <c r="AD83" s="2077"/>
      <c r="AE83" s="2077"/>
      <c r="AF83" s="2077"/>
      <c r="AG83" s="2077"/>
      <c r="AH83" s="2141"/>
      <c r="AI83" s="1208"/>
      <c r="AJ83" s="2132"/>
      <c r="AK83" s="2133"/>
      <c r="AL83" s="2133"/>
      <c r="AM83" s="2133"/>
      <c r="AN83" s="2133"/>
      <c r="AO83" s="2133"/>
      <c r="AP83" s="2133"/>
      <c r="AQ83" s="2133"/>
      <c r="AR83" s="2133"/>
      <c r="AS83" s="2133"/>
      <c r="AT83" s="2133"/>
      <c r="AU83" s="2133"/>
      <c r="AV83" s="2133"/>
      <c r="AW83" s="2133"/>
      <c r="AX83" s="2133"/>
      <c r="AY83" s="2150"/>
      <c r="AZ83" s="2150"/>
      <c r="BA83" s="2150"/>
      <c r="BB83" s="2151"/>
      <c r="BC83" s="1208"/>
      <c r="BD83" s="1208"/>
      <c r="BE83" s="1215"/>
      <c r="CK83" s="1206"/>
      <c r="CL83" s="1206"/>
      <c r="CM83" s="1206"/>
      <c r="CN83" s="1206"/>
      <c r="CO83" s="1206"/>
      <c r="CP83" s="1206"/>
    </row>
    <row r="84" spans="1:94" ht="15.75" customHeight="1">
      <c r="A84" s="1208"/>
      <c r="B84" s="2110" t="s">
        <v>2311</v>
      </c>
      <c r="C84" s="2104"/>
      <c r="D84" s="2104"/>
      <c r="E84" s="2104"/>
      <c r="F84" s="2104"/>
      <c r="G84" s="2104"/>
      <c r="H84" s="2104"/>
      <c r="I84" s="2080">
        <v>0</v>
      </c>
      <c r="J84" s="2080"/>
      <c r="K84" s="2080"/>
      <c r="L84" s="2080"/>
      <c r="M84" s="2080"/>
      <c r="N84" s="2080"/>
      <c r="O84" s="2080">
        <v>0</v>
      </c>
      <c r="P84" s="2080"/>
      <c r="Q84" s="2080"/>
      <c r="R84" s="2080"/>
      <c r="S84" s="2080"/>
      <c r="T84" s="2080"/>
      <c r="U84" s="2080"/>
      <c r="V84" s="2080">
        <v>0</v>
      </c>
      <c r="W84" s="2080"/>
      <c r="X84" s="2080"/>
      <c r="Y84" s="2080"/>
      <c r="Z84" s="2080"/>
      <c r="AA84" s="2080"/>
      <c r="AB84" s="2080">
        <v>0</v>
      </c>
      <c r="AC84" s="2080"/>
      <c r="AD84" s="2080"/>
      <c r="AE84" s="2080"/>
      <c r="AF84" s="2080"/>
      <c r="AG84" s="2080"/>
      <c r="AH84" s="2081"/>
      <c r="AI84" s="1208"/>
      <c r="AJ84" s="2132"/>
      <c r="AK84" s="2133"/>
      <c r="AL84" s="2133"/>
      <c r="AM84" s="2133"/>
      <c r="AN84" s="2133"/>
      <c r="AO84" s="2133"/>
      <c r="AP84" s="2133"/>
      <c r="AQ84" s="2133"/>
      <c r="AR84" s="2133"/>
      <c r="AS84" s="2133"/>
      <c r="AT84" s="2133"/>
      <c r="AU84" s="2133"/>
      <c r="AV84" s="2133"/>
      <c r="AW84" s="2133"/>
      <c r="AX84" s="2133"/>
      <c r="AY84" s="2150"/>
      <c r="AZ84" s="2150"/>
      <c r="BA84" s="2150"/>
      <c r="BB84" s="2151"/>
      <c r="BC84" s="1208"/>
      <c r="BD84" s="1208"/>
      <c r="BE84" s="1215"/>
      <c r="CK84" s="1206"/>
      <c r="CL84" s="1206"/>
      <c r="CM84" s="1206"/>
      <c r="CN84" s="1206"/>
      <c r="CO84" s="1206"/>
      <c r="CP84" s="1206"/>
    </row>
    <row r="85" spans="1:94" ht="15.75" customHeight="1">
      <c r="A85" s="1208"/>
      <c r="B85" s="2110" t="s">
        <v>2310</v>
      </c>
      <c r="C85" s="2104"/>
      <c r="D85" s="2104"/>
      <c r="E85" s="2104"/>
      <c r="F85" s="2104"/>
      <c r="G85" s="2104"/>
      <c r="H85" s="2104"/>
      <c r="I85" s="2080">
        <v>0</v>
      </c>
      <c r="J85" s="2080"/>
      <c r="K85" s="2080"/>
      <c r="L85" s="2080"/>
      <c r="M85" s="2080"/>
      <c r="N85" s="2080"/>
      <c r="O85" s="2080">
        <v>0</v>
      </c>
      <c r="P85" s="2080"/>
      <c r="Q85" s="2080"/>
      <c r="R85" s="2080"/>
      <c r="S85" s="2080"/>
      <c r="T85" s="2080"/>
      <c r="U85" s="2080"/>
      <c r="V85" s="2080">
        <v>0</v>
      </c>
      <c r="W85" s="2080"/>
      <c r="X85" s="2080"/>
      <c r="Y85" s="2080"/>
      <c r="Z85" s="2080"/>
      <c r="AA85" s="2080"/>
      <c r="AB85" s="2080">
        <v>0</v>
      </c>
      <c r="AC85" s="2080"/>
      <c r="AD85" s="2080"/>
      <c r="AE85" s="2080"/>
      <c r="AF85" s="2080"/>
      <c r="AG85" s="2080"/>
      <c r="AH85" s="2081"/>
      <c r="AI85" s="1208"/>
      <c r="AJ85" s="2047" t="s">
        <v>2316</v>
      </c>
      <c r="AK85" s="2048"/>
      <c r="AL85" s="2048"/>
      <c r="AM85" s="2048"/>
      <c r="AN85" s="2048"/>
      <c r="AO85" s="2048"/>
      <c r="AP85" s="2048"/>
      <c r="AQ85" s="2048"/>
      <c r="AR85" s="2048"/>
      <c r="AS85" s="2048"/>
      <c r="AT85" s="2048"/>
      <c r="AU85" s="2048"/>
      <c r="AV85" s="2048"/>
      <c r="AW85" s="2048"/>
      <c r="AX85" s="2048"/>
      <c r="AY85" s="2048"/>
      <c r="AZ85" s="2048"/>
      <c r="BA85" s="2048"/>
      <c r="BB85" s="2049"/>
      <c r="BC85" s="1208"/>
      <c r="BD85" s="1208"/>
      <c r="BE85" s="1215"/>
      <c r="CK85" s="1206"/>
      <c r="CL85" s="1206"/>
      <c r="CM85" s="1206"/>
      <c r="CN85" s="1206"/>
      <c r="CO85" s="1206"/>
      <c r="CP85" s="1206"/>
    </row>
    <row r="86" spans="1:94" ht="15.75" customHeight="1" thickBot="1">
      <c r="A86" s="1208"/>
      <c r="B86" s="2138" t="s">
        <v>2309</v>
      </c>
      <c r="C86" s="2139"/>
      <c r="D86" s="2139"/>
      <c r="E86" s="2139"/>
      <c r="F86" s="2139"/>
      <c r="G86" s="2139"/>
      <c r="H86" s="2139"/>
      <c r="I86" s="2074">
        <v>0</v>
      </c>
      <c r="J86" s="2074"/>
      <c r="K86" s="2074"/>
      <c r="L86" s="2074"/>
      <c r="M86" s="2074"/>
      <c r="N86" s="2074"/>
      <c r="O86" s="2074">
        <v>0</v>
      </c>
      <c r="P86" s="2074"/>
      <c r="Q86" s="2074"/>
      <c r="R86" s="2074"/>
      <c r="S86" s="2074"/>
      <c r="T86" s="2074"/>
      <c r="U86" s="2074"/>
      <c r="V86" s="2074">
        <v>0</v>
      </c>
      <c r="W86" s="2074"/>
      <c r="X86" s="2074"/>
      <c r="Y86" s="2074"/>
      <c r="Z86" s="2074"/>
      <c r="AA86" s="2074"/>
      <c r="AB86" s="2074">
        <v>0</v>
      </c>
      <c r="AC86" s="2074"/>
      <c r="AD86" s="2074"/>
      <c r="AE86" s="2074"/>
      <c r="AF86" s="2074"/>
      <c r="AG86" s="2074"/>
      <c r="AH86" s="2075"/>
      <c r="AI86" s="1208"/>
      <c r="AJ86" s="2050"/>
      <c r="AK86" s="2051"/>
      <c r="AL86" s="2051"/>
      <c r="AM86" s="2051"/>
      <c r="AN86" s="2051"/>
      <c r="AO86" s="2051"/>
      <c r="AP86" s="2051"/>
      <c r="AQ86" s="2051"/>
      <c r="AR86" s="2051"/>
      <c r="AS86" s="2051"/>
      <c r="AT86" s="2051"/>
      <c r="AU86" s="2051"/>
      <c r="AV86" s="2051"/>
      <c r="AW86" s="2051"/>
      <c r="AX86" s="2051"/>
      <c r="AY86" s="2051"/>
      <c r="AZ86" s="2051"/>
      <c r="BA86" s="2051"/>
      <c r="BB86" s="2052"/>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2318</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2227</v>
      </c>
      <c r="C90" s="1234"/>
      <c r="D90" s="1235"/>
      <c r="E90" s="1236"/>
      <c r="F90" s="2142"/>
      <c r="G90" s="2143"/>
      <c r="H90" s="2143"/>
      <c r="I90" s="2143"/>
      <c r="J90" s="2143"/>
      <c r="K90" s="2143"/>
      <c r="L90" s="2143"/>
      <c r="M90" s="2143"/>
      <c r="N90" s="2143"/>
      <c r="O90" s="2143"/>
      <c r="P90" s="2143"/>
      <c r="Q90" s="2143"/>
      <c r="R90" s="2143"/>
      <c r="S90" s="2143"/>
      <c r="T90" s="2144"/>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5" t="s">
        <v>2317</v>
      </c>
      <c r="C92" s="2146"/>
      <c r="D92" s="2146"/>
      <c r="E92" s="2146"/>
      <c r="F92" s="2146"/>
      <c r="G92" s="2146"/>
      <c r="H92" s="2146"/>
      <c r="I92" s="2146"/>
      <c r="J92" s="2146"/>
      <c r="K92" s="2146"/>
      <c r="L92" s="2146"/>
      <c r="M92" s="2146"/>
      <c r="N92" s="2146"/>
      <c r="O92" s="2146"/>
      <c r="P92" s="2146"/>
      <c r="Q92" s="2146"/>
      <c r="R92" s="2146"/>
      <c r="S92" s="2146"/>
      <c r="T92" s="2146"/>
      <c r="U92" s="2146"/>
      <c r="V92" s="2146"/>
      <c r="W92" s="2146"/>
      <c r="X92" s="2146"/>
      <c r="Y92" s="2146"/>
      <c r="Z92" s="2146"/>
      <c r="AA92" s="2146"/>
      <c r="AB92" s="2146"/>
      <c r="AC92" s="2146"/>
      <c r="AD92" s="2146"/>
      <c r="AE92" s="2146"/>
      <c r="AF92" s="2146"/>
      <c r="AG92" s="2146"/>
      <c r="AH92" s="2147"/>
      <c r="AI92" s="1208"/>
      <c r="AJ92" s="2129" t="s">
        <v>2626</v>
      </c>
      <c r="AK92" s="2130"/>
      <c r="AL92" s="2130"/>
      <c r="AM92" s="2130"/>
      <c r="AN92" s="2130"/>
      <c r="AO92" s="2130"/>
      <c r="AP92" s="2130"/>
      <c r="AQ92" s="2130"/>
      <c r="AR92" s="2130"/>
      <c r="AS92" s="2130"/>
      <c r="AT92" s="2130"/>
      <c r="AU92" s="2130"/>
      <c r="AV92" s="2130"/>
      <c r="AW92" s="2130"/>
      <c r="AX92" s="2130"/>
      <c r="AY92" s="2148" t="s">
        <v>545</v>
      </c>
      <c r="AZ92" s="2148"/>
      <c r="BA92" s="2148"/>
      <c r="BB92" s="2149"/>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10"/>
      <c r="C93" s="2104"/>
      <c r="D93" s="2104"/>
      <c r="E93" s="2104"/>
      <c r="F93" s="2104"/>
      <c r="G93" s="2104"/>
      <c r="H93" s="2104"/>
      <c r="I93" s="2104" t="s">
        <v>2313</v>
      </c>
      <c r="J93" s="2104"/>
      <c r="K93" s="2104"/>
      <c r="L93" s="2104"/>
      <c r="M93" s="2104"/>
      <c r="N93" s="2104"/>
      <c r="O93" s="2104" t="s">
        <v>2290</v>
      </c>
      <c r="P93" s="2104"/>
      <c r="Q93" s="2104"/>
      <c r="R93" s="2104"/>
      <c r="S93" s="2104"/>
      <c r="T93" s="2104"/>
      <c r="U93" s="2104"/>
      <c r="V93" s="2140" t="s">
        <v>2289</v>
      </c>
      <c r="W93" s="2140"/>
      <c r="X93" s="2140"/>
      <c r="Y93" s="2140"/>
      <c r="Z93" s="2140"/>
      <c r="AA93" s="2140"/>
      <c r="AB93" s="2077" t="s">
        <v>2312</v>
      </c>
      <c r="AC93" s="2077"/>
      <c r="AD93" s="2077"/>
      <c r="AE93" s="2077"/>
      <c r="AF93" s="2077"/>
      <c r="AG93" s="2077"/>
      <c r="AH93" s="2141"/>
      <c r="AI93" s="1208"/>
      <c r="AJ93" s="2132"/>
      <c r="AK93" s="2133"/>
      <c r="AL93" s="2133"/>
      <c r="AM93" s="2133"/>
      <c r="AN93" s="2133"/>
      <c r="AO93" s="2133"/>
      <c r="AP93" s="2133"/>
      <c r="AQ93" s="2133"/>
      <c r="AR93" s="2133"/>
      <c r="AS93" s="2133"/>
      <c r="AT93" s="2133"/>
      <c r="AU93" s="2133"/>
      <c r="AV93" s="2133"/>
      <c r="AW93" s="2133"/>
      <c r="AX93" s="2133"/>
      <c r="AY93" s="2150"/>
      <c r="AZ93" s="2150"/>
      <c r="BA93" s="2150"/>
      <c r="BB93" s="2151"/>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10"/>
      <c r="C94" s="2104"/>
      <c r="D94" s="2104"/>
      <c r="E94" s="2104"/>
      <c r="F94" s="2104"/>
      <c r="G94" s="2104"/>
      <c r="H94" s="2104"/>
      <c r="I94" s="2104"/>
      <c r="J94" s="2104"/>
      <c r="K94" s="2104"/>
      <c r="L94" s="2104"/>
      <c r="M94" s="2104"/>
      <c r="N94" s="2104"/>
      <c r="O94" s="2104"/>
      <c r="P94" s="2104"/>
      <c r="Q94" s="2104"/>
      <c r="R94" s="2104"/>
      <c r="S94" s="2104"/>
      <c r="T94" s="2104"/>
      <c r="U94" s="2104"/>
      <c r="V94" s="2140"/>
      <c r="W94" s="2140"/>
      <c r="X94" s="2140"/>
      <c r="Y94" s="2140"/>
      <c r="Z94" s="2140"/>
      <c r="AA94" s="2140"/>
      <c r="AB94" s="2077"/>
      <c r="AC94" s="2077"/>
      <c r="AD94" s="2077"/>
      <c r="AE94" s="2077"/>
      <c r="AF94" s="2077"/>
      <c r="AG94" s="2077"/>
      <c r="AH94" s="2141"/>
      <c r="AI94" s="1208"/>
      <c r="AJ94" s="2132"/>
      <c r="AK94" s="2133"/>
      <c r="AL94" s="2133"/>
      <c r="AM94" s="2133"/>
      <c r="AN94" s="2133"/>
      <c r="AO94" s="2133"/>
      <c r="AP94" s="2133"/>
      <c r="AQ94" s="2133"/>
      <c r="AR94" s="2133"/>
      <c r="AS94" s="2133"/>
      <c r="AT94" s="2133"/>
      <c r="AU94" s="2133"/>
      <c r="AV94" s="2133"/>
      <c r="AW94" s="2133"/>
      <c r="AX94" s="2133"/>
      <c r="AY94" s="2150"/>
      <c r="AZ94" s="2150"/>
      <c r="BA94" s="2150"/>
      <c r="BB94" s="2151"/>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10" t="s">
        <v>2311</v>
      </c>
      <c r="C95" s="2104"/>
      <c r="D95" s="2104"/>
      <c r="E95" s="2104"/>
      <c r="F95" s="2104"/>
      <c r="G95" s="2104"/>
      <c r="H95" s="2104"/>
      <c r="I95" s="2080">
        <v>0</v>
      </c>
      <c r="J95" s="2080"/>
      <c r="K95" s="2080"/>
      <c r="L95" s="2080"/>
      <c r="M95" s="2080"/>
      <c r="N95" s="2080"/>
      <c r="O95" s="2080">
        <v>0</v>
      </c>
      <c r="P95" s="2080"/>
      <c r="Q95" s="2080"/>
      <c r="R95" s="2080"/>
      <c r="S95" s="2080"/>
      <c r="T95" s="2080"/>
      <c r="U95" s="2080"/>
      <c r="V95" s="2080">
        <v>0</v>
      </c>
      <c r="W95" s="2080"/>
      <c r="X95" s="2080"/>
      <c r="Y95" s="2080"/>
      <c r="Z95" s="2080"/>
      <c r="AA95" s="2080"/>
      <c r="AB95" s="2080">
        <v>0</v>
      </c>
      <c r="AC95" s="2080"/>
      <c r="AD95" s="2080"/>
      <c r="AE95" s="2080"/>
      <c r="AF95" s="2080"/>
      <c r="AG95" s="2080"/>
      <c r="AH95" s="2081"/>
      <c r="AI95" s="1208"/>
      <c r="AJ95" s="2132"/>
      <c r="AK95" s="2133"/>
      <c r="AL95" s="2133"/>
      <c r="AM95" s="2133"/>
      <c r="AN95" s="2133"/>
      <c r="AO95" s="2133"/>
      <c r="AP95" s="2133"/>
      <c r="AQ95" s="2133"/>
      <c r="AR95" s="2133"/>
      <c r="AS95" s="2133"/>
      <c r="AT95" s="2133"/>
      <c r="AU95" s="2133"/>
      <c r="AV95" s="2133"/>
      <c r="AW95" s="2133"/>
      <c r="AX95" s="2133"/>
      <c r="AY95" s="2150"/>
      <c r="AZ95" s="2150"/>
      <c r="BA95" s="2150"/>
      <c r="BB95" s="2151"/>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10" t="s">
        <v>2310</v>
      </c>
      <c r="C96" s="2104"/>
      <c r="D96" s="2104"/>
      <c r="E96" s="2104"/>
      <c r="F96" s="2104"/>
      <c r="G96" s="2104"/>
      <c r="H96" s="2104"/>
      <c r="I96" s="2080">
        <v>0</v>
      </c>
      <c r="J96" s="2080"/>
      <c r="K96" s="2080"/>
      <c r="L96" s="2080"/>
      <c r="M96" s="2080"/>
      <c r="N96" s="2080"/>
      <c r="O96" s="2080">
        <v>0</v>
      </c>
      <c r="P96" s="2080"/>
      <c r="Q96" s="2080"/>
      <c r="R96" s="2080"/>
      <c r="S96" s="2080"/>
      <c r="T96" s="2080"/>
      <c r="U96" s="2080"/>
      <c r="V96" s="2080">
        <v>0</v>
      </c>
      <c r="W96" s="2080"/>
      <c r="X96" s="2080"/>
      <c r="Y96" s="2080"/>
      <c r="Z96" s="2080"/>
      <c r="AA96" s="2080"/>
      <c r="AB96" s="2080">
        <v>0</v>
      </c>
      <c r="AC96" s="2080"/>
      <c r="AD96" s="2080"/>
      <c r="AE96" s="2080"/>
      <c r="AF96" s="2080"/>
      <c r="AG96" s="2080"/>
      <c r="AH96" s="2081"/>
      <c r="AI96" s="1208"/>
      <c r="AJ96" s="2047" t="s">
        <v>2316</v>
      </c>
      <c r="AK96" s="2048"/>
      <c r="AL96" s="2048"/>
      <c r="AM96" s="2048"/>
      <c r="AN96" s="2048"/>
      <c r="AO96" s="2048"/>
      <c r="AP96" s="2048"/>
      <c r="AQ96" s="2048"/>
      <c r="AR96" s="2048"/>
      <c r="AS96" s="2048"/>
      <c r="AT96" s="2048"/>
      <c r="AU96" s="2048"/>
      <c r="AV96" s="2048"/>
      <c r="AW96" s="2048"/>
      <c r="AX96" s="2048"/>
      <c r="AY96" s="2048"/>
      <c r="AZ96" s="2048"/>
      <c r="BA96" s="2048"/>
      <c r="BB96" s="2049"/>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38" t="s">
        <v>2309</v>
      </c>
      <c r="C97" s="2139"/>
      <c r="D97" s="2139"/>
      <c r="E97" s="2139"/>
      <c r="F97" s="2139"/>
      <c r="G97" s="2139"/>
      <c r="H97" s="2139"/>
      <c r="I97" s="2074">
        <v>0</v>
      </c>
      <c r="J97" s="2074"/>
      <c r="K97" s="2074"/>
      <c r="L97" s="2074"/>
      <c r="M97" s="2074"/>
      <c r="N97" s="2074"/>
      <c r="O97" s="2074">
        <v>0</v>
      </c>
      <c r="P97" s="2074"/>
      <c r="Q97" s="2074"/>
      <c r="R97" s="2074"/>
      <c r="S97" s="2074"/>
      <c r="T97" s="2074"/>
      <c r="U97" s="2074"/>
      <c r="V97" s="2074">
        <v>0</v>
      </c>
      <c r="W97" s="2074"/>
      <c r="X97" s="2074"/>
      <c r="Y97" s="2074"/>
      <c r="Z97" s="2074"/>
      <c r="AA97" s="2074"/>
      <c r="AB97" s="2074">
        <v>0</v>
      </c>
      <c r="AC97" s="2074"/>
      <c r="AD97" s="2074"/>
      <c r="AE97" s="2074"/>
      <c r="AF97" s="2074"/>
      <c r="AG97" s="2074"/>
      <c r="AH97" s="2075"/>
      <c r="AI97" s="1208"/>
      <c r="AJ97" s="2050"/>
      <c r="AK97" s="2051"/>
      <c r="AL97" s="2051"/>
      <c r="AM97" s="2051"/>
      <c r="AN97" s="2051"/>
      <c r="AO97" s="2051"/>
      <c r="AP97" s="2051"/>
      <c r="AQ97" s="2051"/>
      <c r="AR97" s="2051"/>
      <c r="AS97" s="2051"/>
      <c r="AT97" s="2051"/>
      <c r="AU97" s="2051"/>
      <c r="AV97" s="2051"/>
      <c r="AW97" s="2051"/>
      <c r="AX97" s="2051"/>
      <c r="AY97" s="2051"/>
      <c r="AZ97" s="2051"/>
      <c r="BA97" s="2051"/>
      <c r="BB97" s="2052"/>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2315</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2227</v>
      </c>
      <c r="C100" s="1234"/>
      <c r="D100" s="1241"/>
      <c r="E100" s="1242"/>
      <c r="F100" s="2101"/>
      <c r="G100" s="2102"/>
      <c r="H100" s="2102"/>
      <c r="I100" s="2102"/>
      <c r="J100" s="2102"/>
      <c r="K100" s="2102"/>
      <c r="L100" s="2102"/>
      <c r="M100" s="2102"/>
      <c r="N100" s="2102"/>
      <c r="O100" s="2102"/>
      <c r="P100" s="2102"/>
      <c r="Q100" s="2102"/>
      <c r="R100" s="2103"/>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30" t="s">
        <v>2314</v>
      </c>
      <c r="C102" s="2031"/>
      <c r="D102" s="2031"/>
      <c r="E102" s="2031"/>
      <c r="F102" s="2031"/>
      <c r="G102" s="2031"/>
      <c r="H102" s="2031"/>
      <c r="I102" s="2031"/>
      <c r="J102" s="2031"/>
      <c r="K102" s="2031"/>
      <c r="L102" s="2031"/>
      <c r="M102" s="2031"/>
      <c r="N102" s="2031"/>
      <c r="O102" s="2031"/>
      <c r="P102" s="2031"/>
      <c r="Q102" s="2031"/>
      <c r="R102" s="2031"/>
      <c r="S102" s="2031"/>
      <c r="T102" s="2031"/>
      <c r="U102" s="2031"/>
      <c r="V102" s="2031"/>
      <c r="W102" s="2031"/>
      <c r="X102" s="2031"/>
      <c r="Y102" s="2031"/>
      <c r="Z102" s="2031"/>
      <c r="AA102" s="2031"/>
      <c r="AB102" s="2031"/>
      <c r="AC102" s="2031"/>
      <c r="AD102" s="2031"/>
      <c r="AE102" s="2031"/>
      <c r="AF102" s="2031"/>
      <c r="AG102" s="2031"/>
      <c r="AH102" s="2040"/>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10"/>
      <c r="C103" s="2104"/>
      <c r="D103" s="2104"/>
      <c r="E103" s="2104"/>
      <c r="F103" s="2104"/>
      <c r="G103" s="2104"/>
      <c r="H103" s="2104"/>
      <c r="I103" s="2104" t="s">
        <v>2313</v>
      </c>
      <c r="J103" s="2104"/>
      <c r="K103" s="2104"/>
      <c r="L103" s="2104"/>
      <c r="M103" s="2104"/>
      <c r="N103" s="2104"/>
      <c r="O103" s="2104" t="s">
        <v>2290</v>
      </c>
      <c r="P103" s="2104"/>
      <c r="Q103" s="2104"/>
      <c r="R103" s="2104"/>
      <c r="S103" s="2104"/>
      <c r="T103" s="2104"/>
      <c r="U103" s="2104"/>
      <c r="V103" s="2140" t="s">
        <v>2289</v>
      </c>
      <c r="W103" s="2140"/>
      <c r="X103" s="2140"/>
      <c r="Y103" s="2140"/>
      <c r="Z103" s="2140"/>
      <c r="AA103" s="2140"/>
      <c r="AB103" s="2077" t="s">
        <v>2312</v>
      </c>
      <c r="AC103" s="2077"/>
      <c r="AD103" s="2077"/>
      <c r="AE103" s="2077"/>
      <c r="AF103" s="2077"/>
      <c r="AG103" s="2077"/>
      <c r="AH103" s="2141"/>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10"/>
      <c r="C104" s="2104"/>
      <c r="D104" s="2104"/>
      <c r="E104" s="2104"/>
      <c r="F104" s="2104"/>
      <c r="G104" s="2104"/>
      <c r="H104" s="2104"/>
      <c r="I104" s="2104"/>
      <c r="J104" s="2104"/>
      <c r="K104" s="2104"/>
      <c r="L104" s="2104"/>
      <c r="M104" s="2104"/>
      <c r="N104" s="2104"/>
      <c r="O104" s="2104"/>
      <c r="P104" s="2104"/>
      <c r="Q104" s="2104"/>
      <c r="R104" s="2104"/>
      <c r="S104" s="2104"/>
      <c r="T104" s="2104"/>
      <c r="U104" s="2104"/>
      <c r="V104" s="2140"/>
      <c r="W104" s="2140"/>
      <c r="X104" s="2140"/>
      <c r="Y104" s="2140"/>
      <c r="Z104" s="2140"/>
      <c r="AA104" s="2140"/>
      <c r="AB104" s="2077"/>
      <c r="AC104" s="2077"/>
      <c r="AD104" s="2077"/>
      <c r="AE104" s="2077"/>
      <c r="AF104" s="2077"/>
      <c r="AG104" s="2077"/>
      <c r="AH104" s="2141"/>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10" t="s">
        <v>2311</v>
      </c>
      <c r="C105" s="2104"/>
      <c r="D105" s="2104"/>
      <c r="E105" s="2104"/>
      <c r="F105" s="2104"/>
      <c r="G105" s="2104"/>
      <c r="H105" s="2104"/>
      <c r="I105" s="2080">
        <v>0</v>
      </c>
      <c r="J105" s="2080"/>
      <c r="K105" s="2080"/>
      <c r="L105" s="2080"/>
      <c r="M105" s="2080"/>
      <c r="N105" s="2080"/>
      <c r="O105" s="2080">
        <v>0</v>
      </c>
      <c r="P105" s="2080"/>
      <c r="Q105" s="2080"/>
      <c r="R105" s="2080"/>
      <c r="S105" s="2080"/>
      <c r="T105" s="2080"/>
      <c r="U105" s="2080"/>
      <c r="V105" s="2080">
        <v>0</v>
      </c>
      <c r="W105" s="2080"/>
      <c r="X105" s="2080"/>
      <c r="Y105" s="2080"/>
      <c r="Z105" s="2080"/>
      <c r="AA105" s="2080"/>
      <c r="AB105" s="2080">
        <v>0</v>
      </c>
      <c r="AC105" s="2080"/>
      <c r="AD105" s="2080"/>
      <c r="AE105" s="2080"/>
      <c r="AF105" s="2080"/>
      <c r="AG105" s="2080"/>
      <c r="AH105" s="2081"/>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10" t="s">
        <v>2310</v>
      </c>
      <c r="C106" s="2104"/>
      <c r="D106" s="2104"/>
      <c r="E106" s="2104"/>
      <c r="F106" s="2104"/>
      <c r="G106" s="2104"/>
      <c r="H106" s="2104"/>
      <c r="I106" s="2080">
        <v>0</v>
      </c>
      <c r="J106" s="2080"/>
      <c r="K106" s="2080"/>
      <c r="L106" s="2080"/>
      <c r="M106" s="2080"/>
      <c r="N106" s="2080"/>
      <c r="O106" s="2080">
        <v>0</v>
      </c>
      <c r="P106" s="2080"/>
      <c r="Q106" s="2080"/>
      <c r="R106" s="2080"/>
      <c r="S106" s="2080"/>
      <c r="T106" s="2080"/>
      <c r="U106" s="2080"/>
      <c r="V106" s="2080">
        <v>0</v>
      </c>
      <c r="W106" s="2080"/>
      <c r="X106" s="2080"/>
      <c r="Y106" s="2080"/>
      <c r="Z106" s="2080"/>
      <c r="AA106" s="2080"/>
      <c r="AB106" s="2080">
        <v>0</v>
      </c>
      <c r="AC106" s="2080"/>
      <c r="AD106" s="2080"/>
      <c r="AE106" s="2080"/>
      <c r="AF106" s="2080"/>
      <c r="AG106" s="2080"/>
      <c r="AH106" s="2081"/>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38" t="s">
        <v>2309</v>
      </c>
      <c r="C107" s="2139"/>
      <c r="D107" s="2139"/>
      <c r="E107" s="2139"/>
      <c r="F107" s="2139"/>
      <c r="G107" s="2139"/>
      <c r="H107" s="2139"/>
      <c r="I107" s="2074">
        <v>0</v>
      </c>
      <c r="J107" s="2074"/>
      <c r="K107" s="2074"/>
      <c r="L107" s="2074"/>
      <c r="M107" s="2074"/>
      <c r="N107" s="2074"/>
      <c r="O107" s="2074">
        <v>0</v>
      </c>
      <c r="P107" s="2074"/>
      <c r="Q107" s="2074"/>
      <c r="R107" s="2074"/>
      <c r="S107" s="2074"/>
      <c r="T107" s="2074"/>
      <c r="U107" s="2074"/>
      <c r="V107" s="2074">
        <v>0</v>
      </c>
      <c r="W107" s="2074"/>
      <c r="X107" s="2074"/>
      <c r="Y107" s="2074"/>
      <c r="Z107" s="2074"/>
      <c r="AA107" s="2074"/>
      <c r="AB107" s="2074">
        <v>0</v>
      </c>
      <c r="AC107" s="2074"/>
      <c r="AD107" s="2074"/>
      <c r="AE107" s="2074"/>
      <c r="AF107" s="2074"/>
      <c r="AG107" s="2074"/>
      <c r="AH107" s="2075"/>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2308</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2227</v>
      </c>
      <c r="C110" s="1234"/>
      <c r="D110" s="1241"/>
      <c r="E110" s="1242"/>
      <c r="F110" s="2101"/>
      <c r="G110" s="2102"/>
      <c r="H110" s="2102"/>
      <c r="I110" s="2102"/>
      <c r="J110" s="2102"/>
      <c r="K110" s="2102"/>
      <c r="L110" s="2102"/>
      <c r="M110" s="2102"/>
      <c r="N110" s="2102"/>
      <c r="O110" s="2102"/>
      <c r="P110" s="2102"/>
      <c r="Q110" s="2102"/>
      <c r="R110" s="2103"/>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1" t="s">
        <v>2627</v>
      </c>
      <c r="C112" s="2112"/>
      <c r="D112" s="2112"/>
      <c r="E112" s="2112"/>
      <c r="F112" s="2112"/>
      <c r="G112" s="2112"/>
      <c r="H112" s="2112"/>
      <c r="I112" s="2112"/>
      <c r="J112" s="2112"/>
      <c r="K112" s="2112"/>
      <c r="L112" s="2112"/>
      <c r="M112" s="2112"/>
      <c r="N112" s="2112"/>
      <c r="O112" s="2112"/>
      <c r="P112" s="2112"/>
      <c r="Q112" s="2112"/>
      <c r="R112" s="2112"/>
      <c r="S112" s="2112"/>
      <c r="T112" s="2112"/>
      <c r="U112" s="2115" t="s">
        <v>545</v>
      </c>
      <c r="V112" s="2115"/>
      <c r="W112" s="2115"/>
      <c r="X112" s="2116"/>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3"/>
      <c r="C113" s="2114"/>
      <c r="D113" s="2114"/>
      <c r="E113" s="2114"/>
      <c r="F113" s="2114"/>
      <c r="G113" s="2114"/>
      <c r="H113" s="2114"/>
      <c r="I113" s="2114"/>
      <c r="J113" s="2114"/>
      <c r="K113" s="2114"/>
      <c r="L113" s="2114"/>
      <c r="M113" s="2114"/>
      <c r="N113" s="2114"/>
      <c r="O113" s="2114"/>
      <c r="P113" s="2114"/>
      <c r="Q113" s="2114"/>
      <c r="R113" s="2114"/>
      <c r="S113" s="2114"/>
      <c r="T113" s="2114"/>
      <c r="U113" s="2117"/>
      <c r="V113" s="2117"/>
      <c r="W113" s="2117"/>
      <c r="X113" s="2118"/>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3"/>
      <c r="C114" s="2114"/>
      <c r="D114" s="2114"/>
      <c r="E114" s="2114"/>
      <c r="F114" s="2114"/>
      <c r="G114" s="2114"/>
      <c r="H114" s="2114"/>
      <c r="I114" s="2114"/>
      <c r="J114" s="2114"/>
      <c r="K114" s="2114"/>
      <c r="L114" s="2114"/>
      <c r="M114" s="2114"/>
      <c r="N114" s="2114"/>
      <c r="O114" s="2114"/>
      <c r="P114" s="2114"/>
      <c r="Q114" s="2114"/>
      <c r="R114" s="2114"/>
      <c r="S114" s="2114"/>
      <c r="T114" s="2114"/>
      <c r="U114" s="2117"/>
      <c r="V114" s="2117"/>
      <c r="W114" s="2117"/>
      <c r="X114" s="2118"/>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3"/>
      <c r="C115" s="2114"/>
      <c r="D115" s="2114"/>
      <c r="E115" s="2114"/>
      <c r="F115" s="2114"/>
      <c r="G115" s="2114"/>
      <c r="H115" s="2114"/>
      <c r="I115" s="2114"/>
      <c r="J115" s="2114"/>
      <c r="K115" s="2114"/>
      <c r="L115" s="2114"/>
      <c r="M115" s="2114"/>
      <c r="N115" s="2114"/>
      <c r="O115" s="2114"/>
      <c r="P115" s="2114"/>
      <c r="Q115" s="2114"/>
      <c r="R115" s="2114"/>
      <c r="S115" s="2114"/>
      <c r="T115" s="2114"/>
      <c r="U115" s="2117"/>
      <c r="V115" s="2117"/>
      <c r="W115" s="2117"/>
      <c r="X115" s="2118"/>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9" t="s">
        <v>2627</v>
      </c>
      <c r="C116" s="2120"/>
      <c r="D116" s="2120"/>
      <c r="E116" s="2120"/>
      <c r="F116" s="2120"/>
      <c r="G116" s="2120"/>
      <c r="H116" s="2120"/>
      <c r="I116" s="2120"/>
      <c r="J116" s="2120"/>
      <c r="K116" s="2120"/>
      <c r="L116" s="2120"/>
      <c r="M116" s="2120"/>
      <c r="N116" s="2120"/>
      <c r="O116" s="2120"/>
      <c r="P116" s="2120"/>
      <c r="Q116" s="2120"/>
      <c r="R116" s="2120"/>
      <c r="S116" s="2120"/>
      <c r="T116" s="2120"/>
      <c r="U116" s="2123" t="s">
        <v>545</v>
      </c>
      <c r="V116" s="2123"/>
      <c r="W116" s="2123"/>
      <c r="X116" s="2124"/>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1"/>
      <c r="C117" s="2122"/>
      <c r="D117" s="2122"/>
      <c r="E117" s="2122"/>
      <c r="F117" s="2122"/>
      <c r="G117" s="2122"/>
      <c r="H117" s="2122"/>
      <c r="I117" s="2122"/>
      <c r="J117" s="2122"/>
      <c r="K117" s="2122"/>
      <c r="L117" s="2122"/>
      <c r="M117" s="2122"/>
      <c r="N117" s="2122"/>
      <c r="O117" s="2122"/>
      <c r="P117" s="2122"/>
      <c r="Q117" s="2122"/>
      <c r="R117" s="2122"/>
      <c r="S117" s="2122"/>
      <c r="T117" s="2122"/>
      <c r="U117" s="2125"/>
      <c r="V117" s="2125"/>
      <c r="W117" s="2125"/>
      <c r="X117" s="2126"/>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2307</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29" t="s">
        <v>2306</v>
      </c>
      <c r="Y120" s="2130"/>
      <c r="Z120" s="2130"/>
      <c r="AA120" s="2130"/>
      <c r="AB120" s="2130"/>
      <c r="AC120" s="2130"/>
      <c r="AD120" s="2130"/>
      <c r="AE120" s="2130"/>
      <c r="AF120" s="2130"/>
      <c r="AG120" s="2130"/>
      <c r="AH120" s="2130"/>
      <c r="AI120" s="2130"/>
      <c r="AJ120" s="2130"/>
      <c r="AK120" s="2130"/>
      <c r="AL120" s="2130"/>
      <c r="AM120" s="2130"/>
      <c r="AN120" s="2130"/>
      <c r="AO120" s="2130"/>
      <c r="AP120" s="2130"/>
      <c r="AQ120" s="2130"/>
      <c r="AR120" s="2130"/>
      <c r="AS120" s="2130"/>
      <c r="AT120" s="2130"/>
      <c r="AU120" s="2130"/>
      <c r="AV120" s="2130"/>
      <c r="AW120" s="2130"/>
      <c r="AX120" s="2130"/>
      <c r="AY120" s="2130"/>
      <c r="AZ120" s="2130"/>
      <c r="BA120" s="2130"/>
      <c r="BB120" s="2130"/>
      <c r="BC120" s="2130"/>
      <c r="BD120" s="2131"/>
      <c r="BE120" s="1215"/>
    </row>
    <row r="121" spans="1:57" ht="15.75" customHeight="1">
      <c r="A121" s="1208"/>
      <c r="B121" s="2135" t="s">
        <v>1566</v>
      </c>
      <c r="C121" s="2136"/>
      <c r="D121" s="2136"/>
      <c r="E121" s="2136"/>
      <c r="F121" s="2136"/>
      <c r="G121" s="2136"/>
      <c r="H121" s="2136"/>
      <c r="I121" s="2136"/>
      <c r="J121" s="2136"/>
      <c r="K121" s="2136"/>
      <c r="L121" s="2136"/>
      <c r="M121" s="2136"/>
      <c r="N121" s="2136"/>
      <c r="O121" s="2136"/>
      <c r="P121" s="2136"/>
      <c r="Q121" s="2136"/>
      <c r="R121" s="2136"/>
      <c r="S121" s="2136"/>
      <c r="T121" s="2136"/>
      <c r="U121" s="2137"/>
      <c r="V121" s="1208"/>
      <c r="W121" s="1208"/>
      <c r="X121" s="2132"/>
      <c r="Y121" s="2133"/>
      <c r="Z121" s="2133"/>
      <c r="AA121" s="2133"/>
      <c r="AB121" s="2133"/>
      <c r="AC121" s="2133"/>
      <c r="AD121" s="2133"/>
      <c r="AE121" s="2133"/>
      <c r="AF121" s="2133"/>
      <c r="AG121" s="2133"/>
      <c r="AH121" s="2133"/>
      <c r="AI121" s="2133"/>
      <c r="AJ121" s="2133"/>
      <c r="AK121" s="2133"/>
      <c r="AL121" s="2133"/>
      <c r="AM121" s="2133"/>
      <c r="AN121" s="2133"/>
      <c r="AO121" s="2133"/>
      <c r="AP121" s="2133"/>
      <c r="AQ121" s="2133"/>
      <c r="AR121" s="2133"/>
      <c r="AS121" s="2133"/>
      <c r="AT121" s="2133"/>
      <c r="AU121" s="2133"/>
      <c r="AV121" s="2133"/>
      <c r="AW121" s="2133"/>
      <c r="AX121" s="2133"/>
      <c r="AY121" s="2133"/>
      <c r="AZ121" s="2133"/>
      <c r="BA121" s="2133"/>
      <c r="BB121" s="2133"/>
      <c r="BC121" s="2133"/>
      <c r="BD121" s="2134"/>
      <c r="BE121" s="1215"/>
    </row>
    <row r="122" spans="1:57" ht="15.75" customHeight="1">
      <c r="A122" s="1208"/>
      <c r="B122" s="2044"/>
      <c r="C122" s="2045"/>
      <c r="D122" s="2045"/>
      <c r="E122" s="2045"/>
      <c r="F122" s="2045"/>
      <c r="G122" s="2045"/>
      <c r="H122" s="2045"/>
      <c r="I122" s="2104" t="s">
        <v>2305</v>
      </c>
      <c r="J122" s="2104"/>
      <c r="K122" s="2104"/>
      <c r="L122" s="2104"/>
      <c r="M122" s="2104"/>
      <c r="N122" s="2104"/>
      <c r="O122" s="2105" t="s">
        <v>2304</v>
      </c>
      <c r="P122" s="2105"/>
      <c r="Q122" s="2105"/>
      <c r="R122" s="2105"/>
      <c r="S122" s="2105"/>
      <c r="T122" s="2105"/>
      <c r="U122" s="2106"/>
      <c r="V122" s="1208"/>
      <c r="W122" s="1208"/>
      <c r="X122" s="2047" t="s">
        <v>2274</v>
      </c>
      <c r="Y122" s="2048"/>
      <c r="Z122" s="2048"/>
      <c r="AA122" s="2048"/>
      <c r="AB122" s="2048"/>
      <c r="AC122" s="2048"/>
      <c r="AD122" s="2048"/>
      <c r="AE122" s="2048"/>
      <c r="AF122" s="2048"/>
      <c r="AG122" s="2048"/>
      <c r="AH122" s="2048"/>
      <c r="AI122" s="2048"/>
      <c r="AJ122" s="2048"/>
      <c r="AK122" s="2048"/>
      <c r="AL122" s="2048"/>
      <c r="AM122" s="2048"/>
      <c r="AN122" s="2048"/>
      <c r="AO122" s="2048"/>
      <c r="AP122" s="2048"/>
      <c r="AQ122" s="2048"/>
      <c r="AR122" s="2048"/>
      <c r="AS122" s="2048"/>
      <c r="AT122" s="2048"/>
      <c r="AU122" s="2048"/>
      <c r="AV122" s="2048"/>
      <c r="AW122" s="2048"/>
      <c r="AX122" s="2048"/>
      <c r="AY122" s="2048"/>
      <c r="AZ122" s="2048"/>
      <c r="BA122" s="2048"/>
      <c r="BB122" s="2048"/>
      <c r="BC122" s="2048"/>
      <c r="BD122" s="2049"/>
      <c r="BE122" s="1215"/>
    </row>
    <row r="123" spans="1:57" ht="15.75" customHeight="1">
      <c r="A123" s="1208"/>
      <c r="B123" s="2078" t="s">
        <v>2288</v>
      </c>
      <c r="C123" s="2079"/>
      <c r="D123" s="2079"/>
      <c r="E123" s="2079"/>
      <c r="F123" s="2079"/>
      <c r="G123" s="2079"/>
      <c r="H123" s="2079"/>
      <c r="I123" s="2080">
        <v>0</v>
      </c>
      <c r="J123" s="2080"/>
      <c r="K123" s="2080"/>
      <c r="L123" s="2080"/>
      <c r="M123" s="2080"/>
      <c r="N123" s="2080"/>
      <c r="O123" s="2080">
        <v>0</v>
      </c>
      <c r="P123" s="2080"/>
      <c r="Q123" s="2080"/>
      <c r="R123" s="2080"/>
      <c r="S123" s="2080"/>
      <c r="T123" s="2080"/>
      <c r="U123" s="2081"/>
      <c r="V123" s="1208"/>
      <c r="W123" s="1208"/>
      <c r="X123" s="2047"/>
      <c r="Y123" s="2048"/>
      <c r="Z123" s="2048"/>
      <c r="AA123" s="2048"/>
      <c r="AB123" s="2048"/>
      <c r="AC123" s="2048"/>
      <c r="AD123" s="2048"/>
      <c r="AE123" s="2048"/>
      <c r="AF123" s="2048"/>
      <c r="AG123" s="2048"/>
      <c r="AH123" s="2048"/>
      <c r="AI123" s="2048"/>
      <c r="AJ123" s="2048"/>
      <c r="AK123" s="2048"/>
      <c r="AL123" s="2048"/>
      <c r="AM123" s="2048"/>
      <c r="AN123" s="2048"/>
      <c r="AO123" s="2048"/>
      <c r="AP123" s="2048"/>
      <c r="AQ123" s="2048"/>
      <c r="AR123" s="2048"/>
      <c r="AS123" s="2048"/>
      <c r="AT123" s="2048"/>
      <c r="AU123" s="2048"/>
      <c r="AV123" s="2048"/>
      <c r="AW123" s="2048"/>
      <c r="AX123" s="2048"/>
      <c r="AY123" s="2048"/>
      <c r="AZ123" s="2048"/>
      <c r="BA123" s="2048"/>
      <c r="BB123" s="2048"/>
      <c r="BC123" s="2048"/>
      <c r="BD123" s="2049"/>
      <c r="BE123" s="1215"/>
    </row>
    <row r="124" spans="1:57" ht="15.75" customHeight="1" thickBot="1">
      <c r="A124" s="1208"/>
      <c r="B124" s="2072" t="s">
        <v>2287</v>
      </c>
      <c r="C124" s="2073"/>
      <c r="D124" s="2073"/>
      <c r="E124" s="2073"/>
      <c r="F124" s="2073"/>
      <c r="G124" s="2073"/>
      <c r="H124" s="2073"/>
      <c r="I124" s="2074">
        <v>0</v>
      </c>
      <c r="J124" s="2074"/>
      <c r="K124" s="2074"/>
      <c r="L124" s="2074"/>
      <c r="M124" s="2074"/>
      <c r="N124" s="2074"/>
      <c r="O124" s="2127"/>
      <c r="P124" s="2127"/>
      <c r="Q124" s="2127"/>
      <c r="R124" s="2127"/>
      <c r="S124" s="2127"/>
      <c r="T124" s="2127"/>
      <c r="U124" s="2128"/>
      <c r="V124" s="1208"/>
      <c r="W124" s="1208"/>
      <c r="X124" s="2047"/>
      <c r="Y124" s="2048"/>
      <c r="Z124" s="2048"/>
      <c r="AA124" s="2048"/>
      <c r="AB124" s="2048"/>
      <c r="AC124" s="2048"/>
      <c r="AD124" s="2048"/>
      <c r="AE124" s="2048"/>
      <c r="AF124" s="2048"/>
      <c r="AG124" s="2048"/>
      <c r="AH124" s="2048"/>
      <c r="AI124" s="2048"/>
      <c r="AJ124" s="2048"/>
      <c r="AK124" s="2048"/>
      <c r="AL124" s="2048"/>
      <c r="AM124" s="2048"/>
      <c r="AN124" s="2048"/>
      <c r="AO124" s="2048"/>
      <c r="AP124" s="2048"/>
      <c r="AQ124" s="2048"/>
      <c r="AR124" s="2048"/>
      <c r="AS124" s="2048"/>
      <c r="AT124" s="2048"/>
      <c r="AU124" s="2048"/>
      <c r="AV124" s="2048"/>
      <c r="AW124" s="2048"/>
      <c r="AX124" s="2048"/>
      <c r="AY124" s="2048"/>
      <c r="AZ124" s="2048"/>
      <c r="BA124" s="2048"/>
      <c r="BB124" s="2048"/>
      <c r="BC124" s="2048"/>
      <c r="BD124" s="2049"/>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47"/>
      <c r="Y125" s="2048"/>
      <c r="Z125" s="2048"/>
      <c r="AA125" s="2048"/>
      <c r="AB125" s="2048"/>
      <c r="AC125" s="2048"/>
      <c r="AD125" s="2048"/>
      <c r="AE125" s="2048"/>
      <c r="AF125" s="2048"/>
      <c r="AG125" s="2048"/>
      <c r="AH125" s="2048"/>
      <c r="AI125" s="2048"/>
      <c r="AJ125" s="2048"/>
      <c r="AK125" s="2048"/>
      <c r="AL125" s="2048"/>
      <c r="AM125" s="2048"/>
      <c r="AN125" s="2048"/>
      <c r="AO125" s="2048"/>
      <c r="AP125" s="2048"/>
      <c r="AQ125" s="2048"/>
      <c r="AR125" s="2048"/>
      <c r="AS125" s="2048"/>
      <c r="AT125" s="2048"/>
      <c r="AU125" s="2048"/>
      <c r="AV125" s="2048"/>
      <c r="AW125" s="2048"/>
      <c r="AX125" s="2048"/>
      <c r="AY125" s="2048"/>
      <c r="AZ125" s="2048"/>
      <c r="BA125" s="2048"/>
      <c r="BB125" s="2048"/>
      <c r="BC125" s="2048"/>
      <c r="BD125" s="2049"/>
      <c r="BE125" s="1215"/>
    </row>
    <row r="126" spans="1:57" ht="15.75" customHeight="1" thickBot="1">
      <c r="A126" s="1208"/>
      <c r="B126" s="1231" t="s">
        <v>2303</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47"/>
      <c r="Y126" s="2048"/>
      <c r="Z126" s="2048"/>
      <c r="AA126" s="2048"/>
      <c r="AB126" s="2048"/>
      <c r="AC126" s="2048"/>
      <c r="AD126" s="2048"/>
      <c r="AE126" s="2048"/>
      <c r="AF126" s="2048"/>
      <c r="AG126" s="2048"/>
      <c r="AH126" s="2048"/>
      <c r="AI126" s="2048"/>
      <c r="AJ126" s="2048"/>
      <c r="AK126" s="2048"/>
      <c r="AL126" s="2048"/>
      <c r="AM126" s="2048"/>
      <c r="AN126" s="2048"/>
      <c r="AO126" s="2048"/>
      <c r="AP126" s="2048"/>
      <c r="AQ126" s="2048"/>
      <c r="AR126" s="2048"/>
      <c r="AS126" s="2048"/>
      <c r="AT126" s="2048"/>
      <c r="AU126" s="2048"/>
      <c r="AV126" s="2048"/>
      <c r="AW126" s="2048"/>
      <c r="AX126" s="2048"/>
      <c r="AY126" s="2048"/>
      <c r="AZ126" s="2048"/>
      <c r="BA126" s="2048"/>
      <c r="BB126" s="2048"/>
      <c r="BC126" s="2048"/>
      <c r="BD126" s="2049"/>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47"/>
      <c r="Y127" s="2048"/>
      <c r="Z127" s="2048"/>
      <c r="AA127" s="2048"/>
      <c r="AB127" s="2048"/>
      <c r="AC127" s="2048"/>
      <c r="AD127" s="2048"/>
      <c r="AE127" s="2048"/>
      <c r="AF127" s="2048"/>
      <c r="AG127" s="2048"/>
      <c r="AH127" s="2048"/>
      <c r="AI127" s="2048"/>
      <c r="AJ127" s="2048"/>
      <c r="AK127" s="2048"/>
      <c r="AL127" s="2048"/>
      <c r="AM127" s="2048"/>
      <c r="AN127" s="2048"/>
      <c r="AO127" s="2048"/>
      <c r="AP127" s="2048"/>
      <c r="AQ127" s="2048"/>
      <c r="AR127" s="2048"/>
      <c r="AS127" s="2048"/>
      <c r="AT127" s="2048"/>
      <c r="AU127" s="2048"/>
      <c r="AV127" s="2048"/>
      <c r="AW127" s="2048"/>
      <c r="AX127" s="2048"/>
      <c r="AY127" s="2048"/>
      <c r="AZ127" s="2048"/>
      <c r="BA127" s="2048"/>
      <c r="BB127" s="2048"/>
      <c r="BC127" s="2048"/>
      <c r="BD127" s="2049"/>
      <c r="BE127" s="1215"/>
    </row>
    <row r="128" spans="1:57" ht="15.75" customHeight="1">
      <c r="A128" s="1208"/>
      <c r="B128" s="2107" t="s">
        <v>2302</v>
      </c>
      <c r="C128" s="2108"/>
      <c r="D128" s="2108"/>
      <c r="E128" s="2108"/>
      <c r="F128" s="2108"/>
      <c r="G128" s="2108"/>
      <c r="H128" s="2108"/>
      <c r="I128" s="2108"/>
      <c r="J128" s="2108"/>
      <c r="K128" s="2108"/>
      <c r="L128" s="2108"/>
      <c r="M128" s="2108"/>
      <c r="N128" s="2108"/>
      <c r="O128" s="2108"/>
      <c r="P128" s="2108"/>
      <c r="Q128" s="2108"/>
      <c r="R128" s="2108"/>
      <c r="S128" s="2108"/>
      <c r="T128" s="2108"/>
      <c r="U128" s="2109"/>
      <c r="V128" s="1208"/>
      <c r="W128" s="1208"/>
      <c r="X128" s="2047"/>
      <c r="Y128" s="2048"/>
      <c r="Z128" s="2048"/>
      <c r="AA128" s="2048"/>
      <c r="AB128" s="2048"/>
      <c r="AC128" s="2048"/>
      <c r="AD128" s="2048"/>
      <c r="AE128" s="2048"/>
      <c r="AF128" s="2048"/>
      <c r="AG128" s="2048"/>
      <c r="AH128" s="2048"/>
      <c r="AI128" s="2048"/>
      <c r="AJ128" s="2048"/>
      <c r="AK128" s="2048"/>
      <c r="AL128" s="2048"/>
      <c r="AM128" s="2048"/>
      <c r="AN128" s="2048"/>
      <c r="AO128" s="2048"/>
      <c r="AP128" s="2048"/>
      <c r="AQ128" s="2048"/>
      <c r="AR128" s="2048"/>
      <c r="AS128" s="2048"/>
      <c r="AT128" s="2048"/>
      <c r="AU128" s="2048"/>
      <c r="AV128" s="2048"/>
      <c r="AW128" s="2048"/>
      <c r="AX128" s="2048"/>
      <c r="AY128" s="2048"/>
      <c r="AZ128" s="2048"/>
      <c r="BA128" s="2048"/>
      <c r="BB128" s="2048"/>
      <c r="BC128" s="2048"/>
      <c r="BD128" s="2049"/>
      <c r="BE128" s="1215"/>
    </row>
    <row r="129" spans="1:57" ht="15.75" customHeight="1">
      <c r="A129" s="1208"/>
      <c r="B129" s="2044"/>
      <c r="C129" s="2045"/>
      <c r="D129" s="2045"/>
      <c r="E129" s="2045"/>
      <c r="F129" s="2045"/>
      <c r="G129" s="2045"/>
      <c r="H129" s="2045"/>
      <c r="I129" s="2082" t="s">
        <v>2290</v>
      </c>
      <c r="J129" s="2082"/>
      <c r="K129" s="2082"/>
      <c r="L129" s="2082"/>
      <c r="M129" s="2082"/>
      <c r="N129" s="2082"/>
      <c r="O129" s="2082"/>
      <c r="P129" s="2082" t="s">
        <v>2289</v>
      </c>
      <c r="Q129" s="2082"/>
      <c r="R129" s="2082"/>
      <c r="S129" s="2082"/>
      <c r="T129" s="2082"/>
      <c r="U129" s="2083"/>
      <c r="V129" s="1208"/>
      <c r="W129" s="1208"/>
      <c r="X129" s="2047"/>
      <c r="Y129" s="2048"/>
      <c r="Z129" s="2048"/>
      <c r="AA129" s="2048"/>
      <c r="AB129" s="2048"/>
      <c r="AC129" s="2048"/>
      <c r="AD129" s="2048"/>
      <c r="AE129" s="2048"/>
      <c r="AF129" s="2048"/>
      <c r="AG129" s="2048"/>
      <c r="AH129" s="2048"/>
      <c r="AI129" s="2048"/>
      <c r="AJ129" s="2048"/>
      <c r="AK129" s="2048"/>
      <c r="AL129" s="2048"/>
      <c r="AM129" s="2048"/>
      <c r="AN129" s="2048"/>
      <c r="AO129" s="2048"/>
      <c r="AP129" s="2048"/>
      <c r="AQ129" s="2048"/>
      <c r="AR129" s="2048"/>
      <c r="AS129" s="2048"/>
      <c r="AT129" s="2048"/>
      <c r="AU129" s="2048"/>
      <c r="AV129" s="2048"/>
      <c r="AW129" s="2048"/>
      <c r="AX129" s="2048"/>
      <c r="AY129" s="2048"/>
      <c r="AZ129" s="2048"/>
      <c r="BA129" s="2048"/>
      <c r="BB129" s="2048"/>
      <c r="BC129" s="2048"/>
      <c r="BD129" s="2049"/>
      <c r="BE129" s="1215"/>
    </row>
    <row r="130" spans="1:57" ht="15.75" customHeight="1">
      <c r="A130" s="1208"/>
      <c r="B130" s="2044"/>
      <c r="C130" s="2045"/>
      <c r="D130" s="2045"/>
      <c r="E130" s="2045"/>
      <c r="F130" s="2045"/>
      <c r="G130" s="2045"/>
      <c r="H130" s="2045"/>
      <c r="I130" s="2082"/>
      <c r="J130" s="2082"/>
      <c r="K130" s="2082"/>
      <c r="L130" s="2082"/>
      <c r="M130" s="2082"/>
      <c r="N130" s="2082"/>
      <c r="O130" s="2082"/>
      <c r="P130" s="2082"/>
      <c r="Q130" s="2082"/>
      <c r="R130" s="2082"/>
      <c r="S130" s="2082"/>
      <c r="T130" s="2082"/>
      <c r="U130" s="2083"/>
      <c r="V130" s="1208"/>
      <c r="W130" s="1208"/>
      <c r="X130" s="2047"/>
      <c r="Y130" s="2048"/>
      <c r="Z130" s="2048"/>
      <c r="AA130" s="2048"/>
      <c r="AB130" s="2048"/>
      <c r="AC130" s="2048"/>
      <c r="AD130" s="2048"/>
      <c r="AE130" s="2048"/>
      <c r="AF130" s="2048"/>
      <c r="AG130" s="2048"/>
      <c r="AH130" s="2048"/>
      <c r="AI130" s="2048"/>
      <c r="AJ130" s="2048"/>
      <c r="AK130" s="2048"/>
      <c r="AL130" s="2048"/>
      <c r="AM130" s="2048"/>
      <c r="AN130" s="2048"/>
      <c r="AO130" s="2048"/>
      <c r="AP130" s="2048"/>
      <c r="AQ130" s="2048"/>
      <c r="AR130" s="2048"/>
      <c r="AS130" s="2048"/>
      <c r="AT130" s="2048"/>
      <c r="AU130" s="2048"/>
      <c r="AV130" s="2048"/>
      <c r="AW130" s="2048"/>
      <c r="AX130" s="2048"/>
      <c r="AY130" s="2048"/>
      <c r="AZ130" s="2048"/>
      <c r="BA130" s="2048"/>
      <c r="BB130" s="2048"/>
      <c r="BC130" s="2048"/>
      <c r="BD130" s="2049"/>
      <c r="BE130" s="1215"/>
    </row>
    <row r="131" spans="1:57" ht="15.75" customHeight="1">
      <c r="A131" s="1208"/>
      <c r="B131" s="2078" t="s">
        <v>2288</v>
      </c>
      <c r="C131" s="2079"/>
      <c r="D131" s="2079"/>
      <c r="E131" s="2079"/>
      <c r="F131" s="2079"/>
      <c r="G131" s="2079"/>
      <c r="H131" s="2079"/>
      <c r="I131" s="2080">
        <v>0</v>
      </c>
      <c r="J131" s="2080"/>
      <c r="K131" s="2080"/>
      <c r="L131" s="2080"/>
      <c r="M131" s="2080"/>
      <c r="N131" s="2080"/>
      <c r="O131" s="2080"/>
      <c r="P131" s="2080">
        <v>0</v>
      </c>
      <c r="Q131" s="2080"/>
      <c r="R131" s="2080"/>
      <c r="S131" s="2080"/>
      <c r="T131" s="2080"/>
      <c r="U131" s="2081"/>
      <c r="V131" s="1208"/>
      <c r="W131" s="1208"/>
      <c r="X131" s="2047"/>
      <c r="Y131" s="2048"/>
      <c r="Z131" s="2048"/>
      <c r="AA131" s="2048"/>
      <c r="AB131" s="2048"/>
      <c r="AC131" s="2048"/>
      <c r="AD131" s="2048"/>
      <c r="AE131" s="2048"/>
      <c r="AF131" s="2048"/>
      <c r="AG131" s="2048"/>
      <c r="AH131" s="2048"/>
      <c r="AI131" s="2048"/>
      <c r="AJ131" s="2048"/>
      <c r="AK131" s="2048"/>
      <c r="AL131" s="2048"/>
      <c r="AM131" s="2048"/>
      <c r="AN131" s="2048"/>
      <c r="AO131" s="2048"/>
      <c r="AP131" s="2048"/>
      <c r="AQ131" s="2048"/>
      <c r="AR131" s="2048"/>
      <c r="AS131" s="2048"/>
      <c r="AT131" s="2048"/>
      <c r="AU131" s="2048"/>
      <c r="AV131" s="2048"/>
      <c r="AW131" s="2048"/>
      <c r="AX131" s="2048"/>
      <c r="AY131" s="2048"/>
      <c r="AZ131" s="2048"/>
      <c r="BA131" s="2048"/>
      <c r="BB131" s="2048"/>
      <c r="BC131" s="2048"/>
      <c r="BD131" s="2049"/>
      <c r="BE131" s="1215"/>
    </row>
    <row r="132" spans="1:57" ht="15.75" customHeight="1" thickBot="1">
      <c r="A132" s="1208"/>
      <c r="B132" s="2072" t="s">
        <v>2287</v>
      </c>
      <c r="C132" s="2073"/>
      <c r="D132" s="2073"/>
      <c r="E132" s="2073"/>
      <c r="F132" s="2073"/>
      <c r="G132" s="2073"/>
      <c r="H132" s="2073"/>
      <c r="I132" s="2074">
        <v>0</v>
      </c>
      <c r="J132" s="2074"/>
      <c r="K132" s="2074"/>
      <c r="L132" s="2074"/>
      <c r="M132" s="2074"/>
      <c r="N132" s="2074"/>
      <c r="O132" s="2074"/>
      <c r="P132" s="2074">
        <v>0</v>
      </c>
      <c r="Q132" s="2074"/>
      <c r="R132" s="2074"/>
      <c r="S132" s="2074"/>
      <c r="T132" s="2074"/>
      <c r="U132" s="2075"/>
      <c r="V132" s="1208"/>
      <c r="W132" s="1208"/>
      <c r="X132" s="2050"/>
      <c r="Y132" s="2051"/>
      <c r="Z132" s="2051"/>
      <c r="AA132" s="2051"/>
      <c r="AB132" s="2051"/>
      <c r="AC132" s="2051"/>
      <c r="AD132" s="2051"/>
      <c r="AE132" s="2051"/>
      <c r="AF132" s="2051"/>
      <c r="AG132" s="2051"/>
      <c r="AH132" s="2051"/>
      <c r="AI132" s="2051"/>
      <c r="AJ132" s="2051"/>
      <c r="AK132" s="2051"/>
      <c r="AL132" s="2051"/>
      <c r="AM132" s="2051"/>
      <c r="AN132" s="2051"/>
      <c r="AO132" s="2051"/>
      <c r="AP132" s="2051"/>
      <c r="AQ132" s="2051"/>
      <c r="AR132" s="2051"/>
      <c r="AS132" s="2051"/>
      <c r="AT132" s="2051"/>
      <c r="AU132" s="2051"/>
      <c r="AV132" s="2051"/>
      <c r="AW132" s="2051"/>
      <c r="AX132" s="2051"/>
      <c r="AY132" s="2051"/>
      <c r="AZ132" s="2051"/>
      <c r="BA132" s="2051"/>
      <c r="BB132" s="2051"/>
      <c r="BC132" s="2051"/>
      <c r="BD132" s="2052"/>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099" t="s">
        <v>2301</v>
      </c>
      <c r="C134" s="2100"/>
      <c r="D134" s="2100"/>
      <c r="E134" s="2100"/>
      <c r="F134" s="2100"/>
      <c r="G134" s="2100"/>
      <c r="H134" s="2100"/>
      <c r="I134" s="2100"/>
      <c r="J134" s="2100"/>
      <c r="K134" s="2100"/>
      <c r="L134" s="2100"/>
      <c r="M134" s="2100"/>
      <c r="N134" s="2100"/>
      <c r="O134" s="2100"/>
      <c r="P134" s="2100"/>
      <c r="Q134" s="2100"/>
      <c r="R134" s="2100"/>
      <c r="S134" s="2100"/>
      <c r="T134" s="2100"/>
      <c r="U134" s="2100"/>
      <c r="V134" s="2100"/>
      <c r="W134" s="2100"/>
      <c r="X134" s="2100"/>
      <c r="Y134" s="2100"/>
      <c r="Z134" s="2100"/>
      <c r="AA134" s="2100"/>
      <c r="AB134" s="2100"/>
      <c r="AC134" s="2100"/>
      <c r="AD134" s="2100"/>
      <c r="AE134" s="2100"/>
      <c r="AF134" s="2100"/>
      <c r="AG134" s="2100"/>
      <c r="AH134" s="2087" t="s">
        <v>545</v>
      </c>
      <c r="AI134" s="2087"/>
      <c r="AJ134" s="2087"/>
      <c r="AK134" s="2087"/>
      <c r="AL134" s="2087"/>
      <c r="AM134" s="2087"/>
      <c r="AN134" s="2087"/>
      <c r="AO134" s="2087"/>
      <c r="AP134" s="2087"/>
      <c r="AQ134" s="2087"/>
      <c r="AR134" s="2087"/>
      <c r="AS134" s="2087"/>
      <c r="AT134" s="2087"/>
      <c r="AU134" s="2087"/>
      <c r="AV134" s="2087"/>
      <c r="AW134" s="2087"/>
      <c r="AX134" s="2088"/>
      <c r="AY134" s="1208"/>
      <c r="AZ134" s="1208"/>
      <c r="BA134" s="1208"/>
      <c r="BB134" s="1208"/>
      <c r="BC134" s="1208"/>
      <c r="BD134" s="1208"/>
      <c r="BE134" s="1215"/>
    </row>
    <row r="135" spans="1:57" ht="15.75" customHeight="1" thickBot="1">
      <c r="A135" s="1208"/>
      <c r="B135" s="2084" t="s">
        <v>2300</v>
      </c>
      <c r="C135" s="2085"/>
      <c r="D135" s="2085"/>
      <c r="E135" s="2085"/>
      <c r="F135" s="2085"/>
      <c r="G135" s="2085"/>
      <c r="H135" s="2085"/>
      <c r="I135" s="2085"/>
      <c r="J135" s="2085"/>
      <c r="K135" s="2085"/>
      <c r="L135" s="2085"/>
      <c r="M135" s="2085"/>
      <c r="N135" s="2085"/>
      <c r="O135" s="2085"/>
      <c r="P135" s="2085"/>
      <c r="Q135" s="2085"/>
      <c r="R135" s="2085"/>
      <c r="S135" s="2085"/>
      <c r="T135" s="2085"/>
      <c r="U135" s="2085"/>
      <c r="V135" s="2085"/>
      <c r="W135" s="2085"/>
      <c r="X135" s="2085"/>
      <c r="Y135" s="2085"/>
      <c r="Z135" s="2085"/>
      <c r="AA135" s="2085"/>
      <c r="AB135" s="2085"/>
      <c r="AC135" s="2085"/>
      <c r="AD135" s="2085"/>
      <c r="AE135" s="2085"/>
      <c r="AF135" s="2085"/>
      <c r="AG135" s="2086"/>
      <c r="AH135" s="2101"/>
      <c r="AI135" s="2102"/>
      <c r="AJ135" s="2102"/>
      <c r="AK135" s="2102"/>
      <c r="AL135" s="2102"/>
      <c r="AM135" s="2102"/>
      <c r="AN135" s="2102"/>
      <c r="AO135" s="2102"/>
      <c r="AP135" s="2102"/>
      <c r="AQ135" s="2102"/>
      <c r="AR135" s="2102"/>
      <c r="AS135" s="2102"/>
      <c r="AT135" s="2102"/>
      <c r="AU135" s="2102"/>
      <c r="AV135" s="2102"/>
      <c r="AW135" s="2102"/>
      <c r="AX135" s="2103"/>
      <c r="AY135" s="1208"/>
      <c r="AZ135" s="1208"/>
      <c r="BA135" s="1208"/>
      <c r="BB135" s="1208"/>
      <c r="BC135" s="1208"/>
      <c r="BD135" s="1208"/>
      <c r="BE135" s="1215"/>
    </row>
    <row r="136" spans="1:57" ht="15.75" customHeight="1">
      <c r="A136" s="1208"/>
      <c r="B136" s="2084" t="s">
        <v>2299</v>
      </c>
      <c r="C136" s="2085"/>
      <c r="D136" s="2085"/>
      <c r="E136" s="2085"/>
      <c r="F136" s="2085"/>
      <c r="G136" s="2085"/>
      <c r="H136" s="2085"/>
      <c r="I136" s="2085"/>
      <c r="J136" s="2085"/>
      <c r="K136" s="2085"/>
      <c r="L136" s="2085"/>
      <c r="M136" s="2085"/>
      <c r="N136" s="2085"/>
      <c r="O136" s="2085"/>
      <c r="P136" s="2085"/>
      <c r="Q136" s="2085"/>
      <c r="R136" s="2085"/>
      <c r="S136" s="2085"/>
      <c r="T136" s="2085"/>
      <c r="U136" s="2085"/>
      <c r="V136" s="2085"/>
      <c r="W136" s="2085"/>
      <c r="X136" s="2085"/>
      <c r="Y136" s="2085"/>
      <c r="Z136" s="2085"/>
      <c r="AA136" s="2085"/>
      <c r="AB136" s="2085"/>
      <c r="AC136" s="2085"/>
      <c r="AD136" s="2085"/>
      <c r="AE136" s="2085"/>
      <c r="AF136" s="2085"/>
      <c r="AG136" s="2086"/>
      <c r="AH136" s="2087" t="s">
        <v>545</v>
      </c>
      <c r="AI136" s="2087"/>
      <c r="AJ136" s="2087"/>
      <c r="AK136" s="2087"/>
      <c r="AL136" s="2087"/>
      <c r="AM136" s="2087"/>
      <c r="AN136" s="2087"/>
      <c r="AO136" s="2087"/>
      <c r="AP136" s="2087"/>
      <c r="AQ136" s="2087"/>
      <c r="AR136" s="2087"/>
      <c r="AS136" s="2087"/>
      <c r="AT136" s="2087"/>
      <c r="AU136" s="2087"/>
      <c r="AV136" s="2087"/>
      <c r="AW136" s="2087"/>
      <c r="AX136" s="2088"/>
      <c r="AY136" s="1208"/>
      <c r="AZ136" s="1208"/>
      <c r="BA136" s="1208"/>
      <c r="BB136" s="1208"/>
      <c r="BC136" s="1208"/>
      <c r="BD136" s="1208"/>
      <c r="BE136" s="1215"/>
    </row>
    <row r="137" spans="1:57" ht="15.75" customHeight="1">
      <c r="A137" s="1208"/>
      <c r="B137" s="2089" t="s">
        <v>2298</v>
      </c>
      <c r="C137" s="2090"/>
      <c r="D137" s="2090"/>
      <c r="E137" s="2090"/>
      <c r="F137" s="2090"/>
      <c r="G137" s="2090"/>
      <c r="H137" s="2090"/>
      <c r="I137" s="2090"/>
      <c r="J137" s="2090"/>
      <c r="K137" s="2090"/>
      <c r="L137" s="2090"/>
      <c r="M137" s="2090"/>
      <c r="N137" s="2090"/>
      <c r="O137" s="2090"/>
      <c r="P137" s="2090"/>
      <c r="Q137" s="2090"/>
      <c r="R137" s="2091" t="s">
        <v>2297</v>
      </c>
      <c r="S137" s="2091"/>
      <c r="T137" s="2091"/>
      <c r="U137" s="2091"/>
      <c r="V137" s="2091"/>
      <c r="W137" s="2091"/>
      <c r="X137" s="2091"/>
      <c r="Y137" s="2091"/>
      <c r="Z137" s="2091"/>
      <c r="AA137" s="2091"/>
      <c r="AB137" s="2091"/>
      <c r="AC137" s="2091"/>
      <c r="AD137" s="2091"/>
      <c r="AE137" s="2091"/>
      <c r="AF137" s="2091"/>
      <c r="AG137" s="2091"/>
      <c r="AH137" s="2091"/>
      <c r="AI137" s="2091"/>
      <c r="AJ137" s="2091"/>
      <c r="AK137" s="2091"/>
      <c r="AL137" s="2091"/>
      <c r="AM137" s="2091"/>
      <c r="AN137" s="2091"/>
      <c r="AO137" s="2091"/>
      <c r="AP137" s="2091"/>
      <c r="AQ137" s="2091"/>
      <c r="AR137" s="2091"/>
      <c r="AS137" s="2091"/>
      <c r="AT137" s="2091"/>
      <c r="AU137" s="2091"/>
      <c r="AV137" s="2091"/>
      <c r="AW137" s="2091"/>
      <c r="AX137" s="2092"/>
      <c r="AY137" s="1208"/>
      <c r="AZ137" s="1208"/>
      <c r="BA137" s="1208"/>
      <c r="BB137" s="1208"/>
      <c r="BC137" s="1208" t="s">
        <v>250</v>
      </c>
      <c r="BD137" s="1208"/>
      <c r="BE137" s="1215"/>
    </row>
    <row r="138" spans="1:57" ht="15.75" customHeight="1">
      <c r="A138" s="1208"/>
      <c r="B138" s="2093" t="s">
        <v>2296</v>
      </c>
      <c r="C138" s="2094"/>
      <c r="D138" s="2094"/>
      <c r="E138" s="2094"/>
      <c r="F138" s="2094"/>
      <c r="G138" s="2094"/>
      <c r="H138" s="2094"/>
      <c r="I138" s="2094"/>
      <c r="J138" s="2094"/>
      <c r="K138" s="2094"/>
      <c r="L138" s="2094"/>
      <c r="M138" s="2094"/>
      <c r="N138" s="2094"/>
      <c r="O138" s="2094"/>
      <c r="P138" s="2094"/>
      <c r="Q138" s="2094"/>
      <c r="R138" s="2094"/>
      <c r="S138" s="2094"/>
      <c r="T138" s="2094"/>
      <c r="U138" s="2094"/>
      <c r="V138" s="2094"/>
      <c r="W138" s="2094"/>
      <c r="X138" s="2094"/>
      <c r="Y138" s="2094"/>
      <c r="Z138" s="2094"/>
      <c r="AA138" s="2094"/>
      <c r="AB138" s="2094"/>
      <c r="AC138" s="2094"/>
      <c r="AD138" s="2094"/>
      <c r="AE138" s="2094"/>
      <c r="AF138" s="2094"/>
      <c r="AG138" s="2094"/>
      <c r="AH138" s="2094"/>
      <c r="AI138" s="2094"/>
      <c r="AJ138" s="2094"/>
      <c r="AK138" s="2094"/>
      <c r="AL138" s="2094"/>
      <c r="AM138" s="2094"/>
      <c r="AN138" s="2094"/>
      <c r="AO138" s="2094"/>
      <c r="AP138" s="2094"/>
      <c r="AQ138" s="2094"/>
      <c r="AR138" s="2094"/>
      <c r="AS138" s="2094"/>
      <c r="AT138" s="2094"/>
      <c r="AU138" s="2094"/>
      <c r="AV138" s="2094"/>
      <c r="AW138" s="2094"/>
      <c r="AX138" s="2095"/>
      <c r="AY138" s="1208"/>
      <c r="AZ138" s="1208"/>
      <c r="BA138" s="1208"/>
      <c r="BB138" s="1208"/>
      <c r="BC138" s="1208"/>
      <c r="BD138" s="1208"/>
      <c r="BE138" s="1215"/>
    </row>
    <row r="139" spans="1:57" ht="15.75" customHeight="1">
      <c r="A139" s="1208"/>
      <c r="B139" s="2093"/>
      <c r="C139" s="2094"/>
      <c r="D139" s="2094"/>
      <c r="E139" s="2094"/>
      <c r="F139" s="2094"/>
      <c r="G139" s="2094"/>
      <c r="H139" s="2094"/>
      <c r="I139" s="2094"/>
      <c r="J139" s="2094"/>
      <c r="K139" s="2094"/>
      <c r="L139" s="2094"/>
      <c r="M139" s="2094"/>
      <c r="N139" s="2094"/>
      <c r="O139" s="2094"/>
      <c r="P139" s="2094"/>
      <c r="Q139" s="2094"/>
      <c r="R139" s="2094"/>
      <c r="S139" s="2094"/>
      <c r="T139" s="2094"/>
      <c r="U139" s="2094"/>
      <c r="V139" s="2094"/>
      <c r="W139" s="2094"/>
      <c r="X139" s="2094"/>
      <c r="Y139" s="2094"/>
      <c r="Z139" s="2094"/>
      <c r="AA139" s="2094"/>
      <c r="AB139" s="2094"/>
      <c r="AC139" s="2094"/>
      <c r="AD139" s="2094"/>
      <c r="AE139" s="2094"/>
      <c r="AF139" s="2094"/>
      <c r="AG139" s="2094"/>
      <c r="AH139" s="2094"/>
      <c r="AI139" s="2094"/>
      <c r="AJ139" s="2094"/>
      <c r="AK139" s="2094"/>
      <c r="AL139" s="2094"/>
      <c r="AM139" s="2094"/>
      <c r="AN139" s="2094"/>
      <c r="AO139" s="2094"/>
      <c r="AP139" s="2094"/>
      <c r="AQ139" s="2094"/>
      <c r="AR139" s="2094"/>
      <c r="AS139" s="2094"/>
      <c r="AT139" s="2094"/>
      <c r="AU139" s="2094"/>
      <c r="AV139" s="2094"/>
      <c r="AW139" s="2094"/>
      <c r="AX139" s="2095"/>
      <c r="AY139" s="1208"/>
      <c r="AZ139" s="1208"/>
      <c r="BA139" s="1208"/>
      <c r="BB139" s="1208"/>
      <c r="BC139" s="1208"/>
      <c r="BD139" s="1208"/>
      <c r="BE139" s="1215"/>
    </row>
    <row r="140" spans="1:57" ht="15.75" customHeight="1">
      <c r="A140" s="1208"/>
      <c r="B140" s="2093"/>
      <c r="C140" s="2094"/>
      <c r="D140" s="2094"/>
      <c r="E140" s="2094"/>
      <c r="F140" s="2094"/>
      <c r="G140" s="2094"/>
      <c r="H140" s="2094"/>
      <c r="I140" s="2094"/>
      <c r="J140" s="2094"/>
      <c r="K140" s="2094"/>
      <c r="L140" s="2094"/>
      <c r="M140" s="2094"/>
      <c r="N140" s="2094"/>
      <c r="O140" s="2094"/>
      <c r="P140" s="2094"/>
      <c r="Q140" s="2094"/>
      <c r="R140" s="2094"/>
      <c r="S140" s="2094"/>
      <c r="T140" s="2094"/>
      <c r="U140" s="2094"/>
      <c r="V140" s="2094"/>
      <c r="W140" s="2094"/>
      <c r="X140" s="2094"/>
      <c r="Y140" s="2094"/>
      <c r="Z140" s="2094"/>
      <c r="AA140" s="2094"/>
      <c r="AB140" s="2094"/>
      <c r="AC140" s="2094"/>
      <c r="AD140" s="2094"/>
      <c r="AE140" s="2094"/>
      <c r="AF140" s="2094"/>
      <c r="AG140" s="2094"/>
      <c r="AH140" s="2094"/>
      <c r="AI140" s="2094"/>
      <c r="AJ140" s="2094"/>
      <c r="AK140" s="2094"/>
      <c r="AL140" s="2094"/>
      <c r="AM140" s="2094"/>
      <c r="AN140" s="2094"/>
      <c r="AO140" s="2094"/>
      <c r="AP140" s="2094"/>
      <c r="AQ140" s="2094"/>
      <c r="AR140" s="2094"/>
      <c r="AS140" s="2094"/>
      <c r="AT140" s="2094"/>
      <c r="AU140" s="2094"/>
      <c r="AV140" s="2094"/>
      <c r="AW140" s="2094"/>
      <c r="AX140" s="2095"/>
      <c r="AY140" s="1208"/>
      <c r="AZ140" s="1208"/>
      <c r="BA140" s="1208"/>
      <c r="BB140" s="1208"/>
      <c r="BC140" s="1208"/>
      <c r="BD140" s="1208"/>
      <c r="BE140" s="1215"/>
    </row>
    <row r="141" spans="1:57" ht="15.75" customHeight="1">
      <c r="A141" s="1208"/>
      <c r="B141" s="2093"/>
      <c r="C141" s="2094"/>
      <c r="D141" s="2094"/>
      <c r="E141" s="2094"/>
      <c r="F141" s="2094"/>
      <c r="G141" s="2094"/>
      <c r="H141" s="2094"/>
      <c r="I141" s="2094"/>
      <c r="J141" s="2094"/>
      <c r="K141" s="2094"/>
      <c r="L141" s="2094"/>
      <c r="M141" s="2094"/>
      <c r="N141" s="2094"/>
      <c r="O141" s="2094"/>
      <c r="P141" s="2094"/>
      <c r="Q141" s="2094"/>
      <c r="R141" s="2094"/>
      <c r="S141" s="2094"/>
      <c r="T141" s="2094"/>
      <c r="U141" s="2094"/>
      <c r="V141" s="2094"/>
      <c r="W141" s="2094"/>
      <c r="X141" s="2094"/>
      <c r="Y141" s="2094"/>
      <c r="Z141" s="2094"/>
      <c r="AA141" s="2094"/>
      <c r="AB141" s="2094"/>
      <c r="AC141" s="2094"/>
      <c r="AD141" s="2094"/>
      <c r="AE141" s="2094"/>
      <c r="AF141" s="2094"/>
      <c r="AG141" s="2094"/>
      <c r="AH141" s="2094"/>
      <c r="AI141" s="2094"/>
      <c r="AJ141" s="2094"/>
      <c r="AK141" s="2094"/>
      <c r="AL141" s="2094"/>
      <c r="AM141" s="2094"/>
      <c r="AN141" s="2094"/>
      <c r="AO141" s="2094"/>
      <c r="AP141" s="2094"/>
      <c r="AQ141" s="2094"/>
      <c r="AR141" s="2094"/>
      <c r="AS141" s="2094"/>
      <c r="AT141" s="2094"/>
      <c r="AU141" s="2094"/>
      <c r="AV141" s="2094"/>
      <c r="AW141" s="2094"/>
      <c r="AX141" s="2095"/>
      <c r="AY141" s="1208"/>
      <c r="AZ141" s="1208"/>
      <c r="BA141" s="1208"/>
      <c r="BB141" s="1208"/>
      <c r="BC141" s="1208"/>
      <c r="BD141" s="1208"/>
      <c r="BE141" s="1215"/>
    </row>
    <row r="142" spans="1:57" ht="15.75" customHeight="1">
      <c r="A142" s="1208"/>
      <c r="B142" s="2093"/>
      <c r="C142" s="2094"/>
      <c r="D142" s="2094"/>
      <c r="E142" s="2094"/>
      <c r="F142" s="2094"/>
      <c r="G142" s="2094"/>
      <c r="H142" s="2094"/>
      <c r="I142" s="2094"/>
      <c r="J142" s="2094"/>
      <c r="K142" s="2094"/>
      <c r="L142" s="2094"/>
      <c r="M142" s="2094"/>
      <c r="N142" s="2094"/>
      <c r="O142" s="2094"/>
      <c r="P142" s="2094"/>
      <c r="Q142" s="2094"/>
      <c r="R142" s="2094"/>
      <c r="S142" s="2094"/>
      <c r="T142" s="2094"/>
      <c r="U142" s="2094"/>
      <c r="V142" s="2094"/>
      <c r="W142" s="2094"/>
      <c r="X142" s="2094"/>
      <c r="Y142" s="2094"/>
      <c r="Z142" s="2094"/>
      <c r="AA142" s="2094"/>
      <c r="AB142" s="2094"/>
      <c r="AC142" s="2094"/>
      <c r="AD142" s="2094"/>
      <c r="AE142" s="2094"/>
      <c r="AF142" s="2094"/>
      <c r="AG142" s="2094"/>
      <c r="AH142" s="2094"/>
      <c r="AI142" s="2094"/>
      <c r="AJ142" s="2094"/>
      <c r="AK142" s="2094"/>
      <c r="AL142" s="2094"/>
      <c r="AM142" s="2094"/>
      <c r="AN142" s="2094"/>
      <c r="AO142" s="2094"/>
      <c r="AP142" s="2094"/>
      <c r="AQ142" s="2094"/>
      <c r="AR142" s="2094"/>
      <c r="AS142" s="2094"/>
      <c r="AT142" s="2094"/>
      <c r="AU142" s="2094"/>
      <c r="AV142" s="2094"/>
      <c r="AW142" s="2094"/>
      <c r="AX142" s="2095"/>
      <c r="AY142" s="1208"/>
      <c r="AZ142" s="1208"/>
      <c r="BA142" s="1208"/>
      <c r="BB142" s="1208"/>
      <c r="BC142" s="1208"/>
      <c r="BD142" s="1208"/>
      <c r="BE142" s="1215"/>
    </row>
    <row r="143" spans="1:57" ht="15.75" customHeight="1">
      <c r="A143" s="1208"/>
      <c r="B143" s="2093"/>
      <c r="C143" s="2094"/>
      <c r="D143" s="2094"/>
      <c r="E143" s="2094"/>
      <c r="F143" s="2094"/>
      <c r="G143" s="2094"/>
      <c r="H143" s="2094"/>
      <c r="I143" s="2094"/>
      <c r="J143" s="2094"/>
      <c r="K143" s="2094"/>
      <c r="L143" s="2094"/>
      <c r="M143" s="2094"/>
      <c r="N143" s="2094"/>
      <c r="O143" s="2094"/>
      <c r="P143" s="2094"/>
      <c r="Q143" s="2094"/>
      <c r="R143" s="2094"/>
      <c r="S143" s="2094"/>
      <c r="T143" s="2094"/>
      <c r="U143" s="2094"/>
      <c r="V143" s="2094"/>
      <c r="W143" s="2094"/>
      <c r="X143" s="2094"/>
      <c r="Y143" s="2094"/>
      <c r="Z143" s="2094"/>
      <c r="AA143" s="2094"/>
      <c r="AB143" s="2094"/>
      <c r="AC143" s="2094"/>
      <c r="AD143" s="2094"/>
      <c r="AE143" s="2094"/>
      <c r="AF143" s="2094"/>
      <c r="AG143" s="2094"/>
      <c r="AH143" s="2094"/>
      <c r="AI143" s="2094"/>
      <c r="AJ143" s="2094"/>
      <c r="AK143" s="2094"/>
      <c r="AL143" s="2094"/>
      <c r="AM143" s="2094"/>
      <c r="AN143" s="2094"/>
      <c r="AO143" s="2094"/>
      <c r="AP143" s="2094"/>
      <c r="AQ143" s="2094"/>
      <c r="AR143" s="2094"/>
      <c r="AS143" s="2094"/>
      <c r="AT143" s="2094"/>
      <c r="AU143" s="2094"/>
      <c r="AV143" s="2094"/>
      <c r="AW143" s="2094"/>
      <c r="AX143" s="2095"/>
      <c r="AY143" s="1208"/>
      <c r="AZ143" s="1208"/>
      <c r="BA143" s="1208"/>
      <c r="BB143" s="1208"/>
      <c r="BC143" s="1208"/>
      <c r="BD143" s="1208"/>
      <c r="BE143" s="1215"/>
    </row>
    <row r="144" spans="1:57" ht="15.75" customHeight="1">
      <c r="A144" s="1208"/>
      <c r="B144" s="2093"/>
      <c r="C144" s="2094"/>
      <c r="D144" s="2094"/>
      <c r="E144" s="2094"/>
      <c r="F144" s="2094"/>
      <c r="G144" s="2094"/>
      <c r="H144" s="2094"/>
      <c r="I144" s="2094"/>
      <c r="J144" s="2094"/>
      <c r="K144" s="2094"/>
      <c r="L144" s="2094"/>
      <c r="M144" s="2094"/>
      <c r="N144" s="2094"/>
      <c r="O144" s="2094"/>
      <c r="P144" s="2094"/>
      <c r="Q144" s="2094"/>
      <c r="R144" s="2094"/>
      <c r="S144" s="2094"/>
      <c r="T144" s="2094"/>
      <c r="U144" s="2094"/>
      <c r="V144" s="2094"/>
      <c r="W144" s="2094"/>
      <c r="X144" s="2094"/>
      <c r="Y144" s="2094"/>
      <c r="Z144" s="2094"/>
      <c r="AA144" s="2094"/>
      <c r="AB144" s="2094"/>
      <c r="AC144" s="2094"/>
      <c r="AD144" s="2094"/>
      <c r="AE144" s="2094"/>
      <c r="AF144" s="2094"/>
      <c r="AG144" s="2094"/>
      <c r="AH144" s="2094"/>
      <c r="AI144" s="2094"/>
      <c r="AJ144" s="2094"/>
      <c r="AK144" s="2094"/>
      <c r="AL144" s="2094"/>
      <c r="AM144" s="2094"/>
      <c r="AN144" s="2094"/>
      <c r="AO144" s="2094"/>
      <c r="AP144" s="2094"/>
      <c r="AQ144" s="2094"/>
      <c r="AR144" s="2094"/>
      <c r="AS144" s="2094"/>
      <c r="AT144" s="2094"/>
      <c r="AU144" s="2094"/>
      <c r="AV144" s="2094"/>
      <c r="AW144" s="2094"/>
      <c r="AX144" s="2095"/>
      <c r="AY144" s="1208"/>
      <c r="AZ144" s="1208"/>
      <c r="BA144" s="1208"/>
      <c r="BB144" s="1208"/>
      <c r="BC144" s="1208"/>
      <c r="BD144" s="1208"/>
      <c r="BE144" s="1215"/>
    </row>
    <row r="145" spans="1:57" ht="15.75" customHeight="1">
      <c r="A145" s="1208"/>
      <c r="B145" s="2093"/>
      <c r="C145" s="2094"/>
      <c r="D145" s="2094"/>
      <c r="E145" s="2094"/>
      <c r="F145" s="2094"/>
      <c r="G145" s="2094"/>
      <c r="H145" s="2094"/>
      <c r="I145" s="2094"/>
      <c r="J145" s="2094"/>
      <c r="K145" s="2094"/>
      <c r="L145" s="2094"/>
      <c r="M145" s="2094"/>
      <c r="N145" s="2094"/>
      <c r="O145" s="2094"/>
      <c r="P145" s="2094"/>
      <c r="Q145" s="2094"/>
      <c r="R145" s="2094"/>
      <c r="S145" s="2094"/>
      <c r="T145" s="2094"/>
      <c r="U145" s="2094"/>
      <c r="V145" s="2094"/>
      <c r="W145" s="2094"/>
      <c r="X145" s="2094"/>
      <c r="Y145" s="2094"/>
      <c r="Z145" s="2094"/>
      <c r="AA145" s="2094"/>
      <c r="AB145" s="2094"/>
      <c r="AC145" s="2094"/>
      <c r="AD145" s="2094"/>
      <c r="AE145" s="2094"/>
      <c r="AF145" s="2094"/>
      <c r="AG145" s="2094"/>
      <c r="AH145" s="2094"/>
      <c r="AI145" s="2094"/>
      <c r="AJ145" s="2094"/>
      <c r="AK145" s="2094"/>
      <c r="AL145" s="2094"/>
      <c r="AM145" s="2094"/>
      <c r="AN145" s="2094"/>
      <c r="AO145" s="2094"/>
      <c r="AP145" s="2094"/>
      <c r="AQ145" s="2094"/>
      <c r="AR145" s="2094"/>
      <c r="AS145" s="2094"/>
      <c r="AT145" s="2094"/>
      <c r="AU145" s="2094"/>
      <c r="AV145" s="2094"/>
      <c r="AW145" s="2094"/>
      <c r="AX145" s="2095"/>
      <c r="AY145" s="1208"/>
      <c r="AZ145" s="1208"/>
      <c r="BA145" s="1208"/>
      <c r="BB145" s="1208"/>
      <c r="BC145" s="1208"/>
      <c r="BD145" s="1208"/>
      <c r="BE145" s="1215"/>
    </row>
    <row r="146" spans="1:57" ht="15.75" customHeight="1">
      <c r="A146" s="1208"/>
      <c r="B146" s="2093"/>
      <c r="C146" s="2094"/>
      <c r="D146" s="2094"/>
      <c r="E146" s="2094"/>
      <c r="F146" s="2094"/>
      <c r="G146" s="2094"/>
      <c r="H146" s="2094"/>
      <c r="I146" s="2094"/>
      <c r="J146" s="2094"/>
      <c r="K146" s="2094"/>
      <c r="L146" s="2094"/>
      <c r="M146" s="2094"/>
      <c r="N146" s="2094"/>
      <c r="O146" s="2094"/>
      <c r="P146" s="2094"/>
      <c r="Q146" s="2094"/>
      <c r="R146" s="2094"/>
      <c r="S146" s="2094"/>
      <c r="T146" s="2094"/>
      <c r="U146" s="2094"/>
      <c r="V146" s="2094"/>
      <c r="W146" s="2094"/>
      <c r="X146" s="2094"/>
      <c r="Y146" s="2094"/>
      <c r="Z146" s="2094"/>
      <c r="AA146" s="2094"/>
      <c r="AB146" s="2094"/>
      <c r="AC146" s="2094"/>
      <c r="AD146" s="2094"/>
      <c r="AE146" s="2094"/>
      <c r="AF146" s="2094"/>
      <c r="AG146" s="2094"/>
      <c r="AH146" s="2094"/>
      <c r="AI146" s="2094"/>
      <c r="AJ146" s="2094"/>
      <c r="AK146" s="2094"/>
      <c r="AL146" s="2094"/>
      <c r="AM146" s="2094"/>
      <c r="AN146" s="2094"/>
      <c r="AO146" s="2094"/>
      <c r="AP146" s="2094"/>
      <c r="AQ146" s="2094"/>
      <c r="AR146" s="2094"/>
      <c r="AS146" s="2094"/>
      <c r="AT146" s="2094"/>
      <c r="AU146" s="2094"/>
      <c r="AV146" s="2094"/>
      <c r="AW146" s="2094"/>
      <c r="AX146" s="2095"/>
      <c r="AY146" s="1208"/>
      <c r="AZ146" s="1208"/>
      <c r="BA146" s="1208"/>
      <c r="BB146" s="1208"/>
      <c r="BC146" s="1208"/>
      <c r="BD146" s="1208"/>
      <c r="BE146" s="1215"/>
    </row>
    <row r="147" spans="1:57" ht="15.75" customHeight="1" thickBot="1">
      <c r="A147" s="1208"/>
      <c r="B147" s="2096"/>
      <c r="C147" s="2097"/>
      <c r="D147" s="2097"/>
      <c r="E147" s="2097"/>
      <c r="F147" s="2097"/>
      <c r="G147" s="2097"/>
      <c r="H147" s="2097"/>
      <c r="I147" s="2097"/>
      <c r="J147" s="2097"/>
      <c r="K147" s="2097"/>
      <c r="L147" s="2097"/>
      <c r="M147" s="2097"/>
      <c r="N147" s="2097"/>
      <c r="O147" s="2097"/>
      <c r="P147" s="2097"/>
      <c r="Q147" s="2097"/>
      <c r="R147" s="2097"/>
      <c r="S147" s="2097"/>
      <c r="T147" s="2097"/>
      <c r="U147" s="2097"/>
      <c r="V147" s="2097"/>
      <c r="W147" s="2097"/>
      <c r="X147" s="2097"/>
      <c r="Y147" s="2097"/>
      <c r="Z147" s="2097"/>
      <c r="AA147" s="2097"/>
      <c r="AB147" s="2097"/>
      <c r="AC147" s="2097"/>
      <c r="AD147" s="2097"/>
      <c r="AE147" s="2097"/>
      <c r="AF147" s="2097"/>
      <c r="AG147" s="2097"/>
      <c r="AH147" s="2097"/>
      <c r="AI147" s="2097"/>
      <c r="AJ147" s="2097"/>
      <c r="AK147" s="2097"/>
      <c r="AL147" s="2097"/>
      <c r="AM147" s="2097"/>
      <c r="AN147" s="2097"/>
      <c r="AO147" s="2097"/>
      <c r="AP147" s="2097"/>
      <c r="AQ147" s="2097"/>
      <c r="AR147" s="2097"/>
      <c r="AS147" s="2097"/>
      <c r="AT147" s="2097"/>
      <c r="AU147" s="2097"/>
      <c r="AV147" s="2097"/>
      <c r="AW147" s="2097"/>
      <c r="AX147" s="2098"/>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2295</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2294</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6" t="s">
        <v>2293</v>
      </c>
      <c r="C151" s="2032"/>
      <c r="D151" s="2032"/>
      <c r="E151" s="2032"/>
      <c r="F151" s="2032"/>
      <c r="G151" s="2032"/>
      <c r="H151" s="2032"/>
      <c r="I151" s="2032"/>
      <c r="J151" s="2032"/>
      <c r="K151" s="2032"/>
      <c r="L151" s="2032"/>
      <c r="M151" s="2032"/>
      <c r="N151" s="2032"/>
      <c r="O151" s="2032"/>
      <c r="P151" s="2032"/>
      <c r="Q151" s="2032"/>
      <c r="R151" s="2032"/>
      <c r="S151" s="2032"/>
      <c r="T151" s="2032"/>
      <c r="U151" s="2033"/>
      <c r="V151" s="1208"/>
      <c r="W151" s="1209"/>
      <c r="X151" s="2076" t="s">
        <v>2292</v>
      </c>
      <c r="Y151" s="2032"/>
      <c r="Z151" s="2032"/>
      <c r="AA151" s="2032"/>
      <c r="AB151" s="2032"/>
      <c r="AC151" s="2032"/>
      <c r="AD151" s="2032"/>
      <c r="AE151" s="2032"/>
      <c r="AF151" s="2032"/>
      <c r="AG151" s="2032"/>
      <c r="AH151" s="2032"/>
      <c r="AI151" s="2032"/>
      <c r="AJ151" s="2032"/>
      <c r="AK151" s="2032"/>
      <c r="AL151" s="2032"/>
      <c r="AM151" s="2032"/>
      <c r="AN151" s="2032"/>
      <c r="AO151" s="2032"/>
      <c r="AP151" s="2032"/>
      <c r="AQ151" s="2033"/>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4"/>
      <c r="C152" s="2045"/>
      <c r="D152" s="2045"/>
      <c r="E152" s="2045"/>
      <c r="F152" s="2045"/>
      <c r="G152" s="2045"/>
      <c r="H152" s="2045"/>
      <c r="I152" s="2082" t="s">
        <v>2290</v>
      </c>
      <c r="J152" s="2082"/>
      <c r="K152" s="2082"/>
      <c r="L152" s="2082"/>
      <c r="M152" s="2082"/>
      <c r="N152" s="2082"/>
      <c r="O152" s="2082"/>
      <c r="P152" s="2082" t="s">
        <v>2291</v>
      </c>
      <c r="Q152" s="2082"/>
      <c r="R152" s="2082"/>
      <c r="S152" s="2082"/>
      <c r="T152" s="2082"/>
      <c r="U152" s="2083"/>
      <c r="V152" s="1208"/>
      <c r="W152" s="1208"/>
      <c r="X152" s="2044"/>
      <c r="Y152" s="2045"/>
      <c r="Z152" s="2045"/>
      <c r="AA152" s="2045"/>
      <c r="AB152" s="2045"/>
      <c r="AC152" s="2045"/>
      <c r="AD152" s="2045"/>
      <c r="AE152" s="2082" t="s">
        <v>2290</v>
      </c>
      <c r="AF152" s="2082"/>
      <c r="AG152" s="2082"/>
      <c r="AH152" s="2082"/>
      <c r="AI152" s="2082"/>
      <c r="AJ152" s="2082"/>
      <c r="AK152" s="2082"/>
      <c r="AL152" s="2082" t="s">
        <v>2289</v>
      </c>
      <c r="AM152" s="2082"/>
      <c r="AN152" s="2082"/>
      <c r="AO152" s="2082"/>
      <c r="AP152" s="2082"/>
      <c r="AQ152" s="2083"/>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4"/>
      <c r="C153" s="2045"/>
      <c r="D153" s="2045"/>
      <c r="E153" s="2045"/>
      <c r="F153" s="2045"/>
      <c r="G153" s="2045"/>
      <c r="H153" s="2045"/>
      <c r="I153" s="2082"/>
      <c r="J153" s="2082"/>
      <c r="K153" s="2082"/>
      <c r="L153" s="2082"/>
      <c r="M153" s="2082"/>
      <c r="N153" s="2082"/>
      <c r="O153" s="2082"/>
      <c r="P153" s="2082"/>
      <c r="Q153" s="2082"/>
      <c r="R153" s="2082"/>
      <c r="S153" s="2082"/>
      <c r="T153" s="2082"/>
      <c r="U153" s="2083"/>
      <c r="V153" s="1208"/>
      <c r="W153" s="1208"/>
      <c r="X153" s="2044"/>
      <c r="Y153" s="2045"/>
      <c r="Z153" s="2045"/>
      <c r="AA153" s="2045"/>
      <c r="AB153" s="2045"/>
      <c r="AC153" s="2045"/>
      <c r="AD153" s="2045"/>
      <c r="AE153" s="2082"/>
      <c r="AF153" s="2082"/>
      <c r="AG153" s="2082"/>
      <c r="AH153" s="2082"/>
      <c r="AI153" s="2082"/>
      <c r="AJ153" s="2082"/>
      <c r="AK153" s="2082"/>
      <c r="AL153" s="2082"/>
      <c r="AM153" s="2082"/>
      <c r="AN153" s="2082"/>
      <c r="AO153" s="2082"/>
      <c r="AP153" s="2082"/>
      <c r="AQ153" s="2083"/>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78" t="s">
        <v>2288</v>
      </c>
      <c r="C154" s="2079"/>
      <c r="D154" s="2079"/>
      <c r="E154" s="2079"/>
      <c r="F154" s="2079"/>
      <c r="G154" s="2079"/>
      <c r="H154" s="2079"/>
      <c r="I154" s="2080">
        <v>0</v>
      </c>
      <c r="J154" s="2080"/>
      <c r="K154" s="2080"/>
      <c r="L154" s="2080"/>
      <c r="M154" s="2080"/>
      <c r="N154" s="2080"/>
      <c r="O154" s="2080"/>
      <c r="P154" s="2080">
        <v>0</v>
      </c>
      <c r="Q154" s="2080"/>
      <c r="R154" s="2080"/>
      <c r="S154" s="2080"/>
      <c r="T154" s="2080"/>
      <c r="U154" s="2081"/>
      <c r="V154" s="1208"/>
      <c r="W154" s="1208"/>
      <c r="X154" s="2072" t="s">
        <v>2288</v>
      </c>
      <c r="Y154" s="2073"/>
      <c r="Z154" s="2073"/>
      <c r="AA154" s="2073"/>
      <c r="AB154" s="2073"/>
      <c r="AC154" s="2073"/>
      <c r="AD154" s="2073"/>
      <c r="AE154" s="2074">
        <v>0</v>
      </c>
      <c r="AF154" s="2074"/>
      <c r="AG154" s="2074"/>
      <c r="AH154" s="2074"/>
      <c r="AI154" s="2074"/>
      <c r="AJ154" s="2074"/>
      <c r="AK154" s="2074"/>
      <c r="AL154" s="2074">
        <v>0</v>
      </c>
      <c r="AM154" s="2074"/>
      <c r="AN154" s="2074"/>
      <c r="AO154" s="2074"/>
      <c r="AP154" s="2074"/>
      <c r="AQ154" s="2075"/>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2" t="s">
        <v>2287</v>
      </c>
      <c r="C155" s="2073"/>
      <c r="D155" s="2073"/>
      <c r="E155" s="2073"/>
      <c r="F155" s="2073"/>
      <c r="G155" s="2073"/>
      <c r="H155" s="2073"/>
      <c r="I155" s="2074">
        <v>0</v>
      </c>
      <c r="J155" s="2074"/>
      <c r="K155" s="2074"/>
      <c r="L155" s="2074"/>
      <c r="M155" s="2074"/>
      <c r="N155" s="2074"/>
      <c r="O155" s="2074"/>
      <c r="P155" s="2074">
        <v>0</v>
      </c>
      <c r="Q155" s="2074"/>
      <c r="R155" s="2074"/>
      <c r="S155" s="2074"/>
      <c r="T155" s="2074"/>
      <c r="U155" s="2075"/>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6" t="s">
        <v>2286</v>
      </c>
      <c r="D157" s="2032"/>
      <c r="E157" s="2032"/>
      <c r="F157" s="2032"/>
      <c r="G157" s="2032"/>
      <c r="H157" s="2032"/>
      <c r="I157" s="2032"/>
      <c r="J157" s="2032"/>
      <c r="K157" s="2032"/>
      <c r="L157" s="2032"/>
      <c r="M157" s="2032"/>
      <c r="N157" s="2032"/>
      <c r="O157" s="2032"/>
      <c r="P157" s="2032"/>
      <c r="Q157" s="2032"/>
      <c r="R157" s="2032"/>
      <c r="S157" s="2032"/>
      <c r="T157" s="2032"/>
      <c r="U157" s="2032"/>
      <c r="V157" s="2032"/>
      <c r="W157" s="2032"/>
      <c r="X157" s="2032"/>
      <c r="Y157" s="2032"/>
      <c r="Z157" s="2032"/>
      <c r="AA157" s="2032"/>
      <c r="AB157" s="2032"/>
      <c r="AC157" s="2032"/>
      <c r="AD157" s="2032"/>
      <c r="AE157" s="2032"/>
      <c r="AF157" s="2032"/>
      <c r="AG157" s="2033"/>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4" t="s">
        <v>2271</v>
      </c>
      <c r="D158" s="2045"/>
      <c r="E158" s="2045"/>
      <c r="F158" s="2045"/>
      <c r="G158" s="2045"/>
      <c r="H158" s="2045"/>
      <c r="I158" s="2045"/>
      <c r="J158" s="2045"/>
      <c r="K158" s="2045"/>
      <c r="L158" s="2045"/>
      <c r="M158" s="2045"/>
      <c r="N158" s="2045"/>
      <c r="O158" s="2045"/>
      <c r="P158" s="2045"/>
      <c r="Q158" s="2045" t="s">
        <v>2285</v>
      </c>
      <c r="R158" s="2045"/>
      <c r="S158" s="2045"/>
      <c r="T158" s="2077" t="s">
        <v>2284</v>
      </c>
      <c r="U158" s="2077"/>
      <c r="V158" s="2077"/>
      <c r="W158" s="2077"/>
      <c r="X158" s="2077"/>
      <c r="Y158" s="2077"/>
      <c r="Z158" s="2077"/>
      <c r="AA158" s="2077"/>
      <c r="AB158" s="2045" t="s">
        <v>2283</v>
      </c>
      <c r="AC158" s="2045"/>
      <c r="AD158" s="2045"/>
      <c r="AE158" s="2045"/>
      <c r="AF158" s="2045"/>
      <c r="AG158" s="2046"/>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59" t="s">
        <v>2282</v>
      </c>
      <c r="D159" s="2060"/>
      <c r="E159" s="2060"/>
      <c r="F159" s="2060"/>
      <c r="G159" s="2060"/>
      <c r="H159" s="2060"/>
      <c r="I159" s="2060"/>
      <c r="J159" s="2060"/>
      <c r="K159" s="2060"/>
      <c r="L159" s="2060"/>
      <c r="M159" s="2060"/>
      <c r="N159" s="2060"/>
      <c r="O159" s="2060"/>
      <c r="P159" s="2060"/>
      <c r="Q159" s="2002">
        <v>55</v>
      </c>
      <c r="R159" s="2002"/>
      <c r="S159" s="2002"/>
      <c r="T159" s="2053"/>
      <c r="U159" s="2053"/>
      <c r="V159" s="2053"/>
      <c r="W159" s="2053"/>
      <c r="X159" s="2053"/>
      <c r="Y159" s="2053"/>
      <c r="Z159" s="2053"/>
      <c r="AA159" s="2053"/>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59" t="s">
        <v>2281</v>
      </c>
      <c r="D160" s="2060"/>
      <c r="E160" s="2060"/>
      <c r="F160" s="2060"/>
      <c r="G160" s="2060"/>
      <c r="H160" s="2060"/>
      <c r="I160" s="2060"/>
      <c r="J160" s="2060"/>
      <c r="K160" s="2060"/>
      <c r="L160" s="2060"/>
      <c r="M160" s="2060"/>
      <c r="N160" s="2060"/>
      <c r="O160" s="2060"/>
      <c r="P160" s="2060"/>
      <c r="Q160" s="2002">
        <v>55</v>
      </c>
      <c r="R160" s="2002"/>
      <c r="S160" s="2002"/>
      <c r="T160" s="2062"/>
      <c r="U160" s="2062"/>
      <c r="V160" s="2062"/>
      <c r="W160" s="2062"/>
      <c r="X160" s="2062"/>
      <c r="Y160" s="2062"/>
      <c r="Z160" s="2062"/>
      <c r="AA160" s="2062"/>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59" t="s">
        <v>2280</v>
      </c>
      <c r="D161" s="2060"/>
      <c r="E161" s="2060"/>
      <c r="F161" s="2060"/>
      <c r="G161" s="2060"/>
      <c r="H161" s="2060"/>
      <c r="I161" s="2060"/>
      <c r="J161" s="2060"/>
      <c r="K161" s="2060"/>
      <c r="L161" s="2060"/>
      <c r="M161" s="2060"/>
      <c r="N161" s="2060"/>
      <c r="O161" s="2060"/>
      <c r="P161" s="2060"/>
      <c r="Q161" s="2002">
        <v>55</v>
      </c>
      <c r="R161" s="2002"/>
      <c r="S161" s="2002"/>
      <c r="T161" s="2053"/>
      <c r="U161" s="2053"/>
      <c r="V161" s="2053"/>
      <c r="W161" s="2053"/>
      <c r="X161" s="2053"/>
      <c r="Y161" s="2053"/>
      <c r="Z161" s="2053"/>
      <c r="AA161" s="2053"/>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59" t="s">
        <v>2279</v>
      </c>
      <c r="D162" s="2060"/>
      <c r="E162" s="2060"/>
      <c r="F162" s="2060"/>
      <c r="G162" s="2060"/>
      <c r="H162" s="2060"/>
      <c r="I162" s="2060"/>
      <c r="J162" s="2060"/>
      <c r="K162" s="2060"/>
      <c r="L162" s="2060"/>
      <c r="M162" s="2060"/>
      <c r="N162" s="2060"/>
      <c r="O162" s="2060"/>
      <c r="P162" s="2060"/>
      <c r="Q162" s="2002">
        <v>55</v>
      </c>
      <c r="R162" s="2002"/>
      <c r="S162" s="2002"/>
      <c r="T162" s="2053"/>
      <c r="U162" s="2053"/>
      <c r="V162" s="2053"/>
      <c r="W162" s="2053"/>
      <c r="X162" s="2053"/>
      <c r="Y162" s="2053"/>
      <c r="Z162" s="2053"/>
      <c r="AA162" s="2053"/>
      <c r="AB162" s="2063">
        <v>0</v>
      </c>
      <c r="AC162" s="2063"/>
      <c r="AD162" s="2063"/>
      <c r="AE162" s="2063"/>
      <c r="AF162" s="2063"/>
      <c r="AG162" s="2064"/>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59" t="s">
        <v>170</v>
      </c>
      <c r="D163" s="2060"/>
      <c r="E163" s="2060"/>
      <c r="F163" s="2061" t="s">
        <v>2260</v>
      </c>
      <c r="G163" s="2061"/>
      <c r="H163" s="2061"/>
      <c r="I163" s="2061"/>
      <c r="J163" s="2061"/>
      <c r="K163" s="2061"/>
      <c r="L163" s="2061"/>
      <c r="M163" s="2061"/>
      <c r="N163" s="2061"/>
      <c r="O163" s="2061"/>
      <c r="P163" s="2061"/>
      <c r="Q163" s="2002">
        <v>55</v>
      </c>
      <c r="R163" s="2002"/>
      <c r="S163" s="2002"/>
      <c r="T163" s="2062"/>
      <c r="U163" s="2062"/>
      <c r="V163" s="2062"/>
      <c r="W163" s="2062"/>
      <c r="X163" s="2062"/>
      <c r="Y163" s="2062"/>
      <c r="Z163" s="2062"/>
      <c r="AA163" s="2062"/>
      <c r="AB163" s="2063">
        <v>0</v>
      </c>
      <c r="AC163" s="2063"/>
      <c r="AD163" s="2063"/>
      <c r="AE163" s="2063"/>
      <c r="AF163" s="2063"/>
      <c r="AG163" s="2064"/>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59" t="s">
        <v>170</v>
      </c>
      <c r="D164" s="2060"/>
      <c r="E164" s="2060"/>
      <c r="F164" s="2061" t="s">
        <v>2260</v>
      </c>
      <c r="G164" s="2061"/>
      <c r="H164" s="2061"/>
      <c r="I164" s="2061"/>
      <c r="J164" s="2061"/>
      <c r="K164" s="2061"/>
      <c r="L164" s="2061"/>
      <c r="M164" s="2061"/>
      <c r="N164" s="2061"/>
      <c r="O164" s="2061"/>
      <c r="P164" s="2061"/>
      <c r="Q164" s="2002">
        <v>55</v>
      </c>
      <c r="R164" s="2002"/>
      <c r="S164" s="2002"/>
      <c r="T164" s="2062"/>
      <c r="U164" s="2062"/>
      <c r="V164" s="2062"/>
      <c r="W164" s="2062"/>
      <c r="X164" s="2062"/>
      <c r="Y164" s="2062"/>
      <c r="Z164" s="2062"/>
      <c r="AA164" s="2062"/>
      <c r="AB164" s="2063">
        <v>0</v>
      </c>
      <c r="AC164" s="2063"/>
      <c r="AD164" s="2063"/>
      <c r="AE164" s="2063"/>
      <c r="AF164" s="2063"/>
      <c r="AG164" s="2064"/>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5" t="s">
        <v>170</v>
      </c>
      <c r="D165" s="2066"/>
      <c r="E165" s="2066"/>
      <c r="F165" s="2067" t="s">
        <v>2260</v>
      </c>
      <c r="G165" s="2067"/>
      <c r="H165" s="2067"/>
      <c r="I165" s="2067"/>
      <c r="J165" s="2067"/>
      <c r="K165" s="2067"/>
      <c r="L165" s="2067"/>
      <c r="M165" s="2067"/>
      <c r="N165" s="2067"/>
      <c r="O165" s="2067"/>
      <c r="P165" s="2067"/>
      <c r="Q165" s="2068">
        <v>55</v>
      </c>
      <c r="R165" s="2068"/>
      <c r="S165" s="2068"/>
      <c r="T165" s="2069"/>
      <c r="U165" s="2069"/>
      <c r="V165" s="2069"/>
      <c r="W165" s="2069"/>
      <c r="X165" s="2069"/>
      <c r="Y165" s="2069"/>
      <c r="Z165" s="2069"/>
      <c r="AA165" s="2069"/>
      <c r="AB165" s="2070">
        <v>0</v>
      </c>
      <c r="AC165" s="2070"/>
      <c r="AD165" s="2070"/>
      <c r="AE165" s="2070"/>
      <c r="AF165" s="2070"/>
      <c r="AG165" s="2071"/>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30" t="s">
        <v>2278</v>
      </c>
      <c r="D167" s="2031"/>
      <c r="E167" s="2031"/>
      <c r="F167" s="2031"/>
      <c r="G167" s="2031"/>
      <c r="H167" s="2031"/>
      <c r="I167" s="2031"/>
      <c r="J167" s="2031"/>
      <c r="K167" s="2031"/>
      <c r="L167" s="2031"/>
      <c r="M167" s="2031"/>
      <c r="N167" s="2040"/>
      <c r="O167" s="1208"/>
      <c r="P167" s="2041" t="s">
        <v>2277</v>
      </c>
      <c r="Q167" s="2042"/>
      <c r="R167" s="2042"/>
      <c r="S167" s="2042"/>
      <c r="T167" s="2042"/>
      <c r="U167" s="2042"/>
      <c r="V167" s="2042"/>
      <c r="W167" s="2042"/>
      <c r="X167" s="2042"/>
      <c r="Y167" s="2042"/>
      <c r="Z167" s="2042"/>
      <c r="AA167" s="2042"/>
      <c r="AB167" s="2042"/>
      <c r="AC167" s="2042"/>
      <c r="AD167" s="2042"/>
      <c r="AE167" s="2042"/>
      <c r="AF167" s="2042"/>
      <c r="AG167" s="2042"/>
      <c r="AH167" s="2042"/>
      <c r="AI167" s="2042"/>
      <c r="AJ167" s="2042"/>
      <c r="AK167" s="2042"/>
      <c r="AL167" s="2042"/>
      <c r="AM167" s="2042"/>
      <c r="AN167" s="2042"/>
      <c r="AO167" s="2043"/>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4" t="s">
        <v>2276</v>
      </c>
      <c r="D168" s="2045"/>
      <c r="E168" s="2045"/>
      <c r="F168" s="2045"/>
      <c r="G168" s="2045"/>
      <c r="H168" s="2045"/>
      <c r="I168" s="2045" t="s">
        <v>2275</v>
      </c>
      <c r="J168" s="2045"/>
      <c r="K168" s="2045"/>
      <c r="L168" s="2045"/>
      <c r="M168" s="2045"/>
      <c r="N168" s="2046"/>
      <c r="O168" s="1208"/>
      <c r="P168" s="2047" t="s">
        <v>2274</v>
      </c>
      <c r="Q168" s="2048"/>
      <c r="R168" s="2048"/>
      <c r="S168" s="2048"/>
      <c r="T168" s="2048"/>
      <c r="U168" s="2048"/>
      <c r="V168" s="2048"/>
      <c r="W168" s="2048"/>
      <c r="X168" s="2048"/>
      <c r="Y168" s="2048"/>
      <c r="Z168" s="2048"/>
      <c r="AA168" s="2048"/>
      <c r="AB168" s="2048"/>
      <c r="AC168" s="2048"/>
      <c r="AD168" s="2048"/>
      <c r="AE168" s="2048"/>
      <c r="AF168" s="2048"/>
      <c r="AG168" s="2048"/>
      <c r="AH168" s="2048"/>
      <c r="AI168" s="2048"/>
      <c r="AJ168" s="2048"/>
      <c r="AK168" s="2048"/>
      <c r="AL168" s="2048"/>
      <c r="AM168" s="2048"/>
      <c r="AN168" s="2048"/>
      <c r="AO168" s="2049"/>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2"/>
      <c r="D169" s="1993"/>
      <c r="E169" s="1993"/>
      <c r="F169" s="1993"/>
      <c r="G169" s="1993"/>
      <c r="H169" s="1993"/>
      <c r="I169" s="2053"/>
      <c r="J169" s="2053"/>
      <c r="K169" s="2053"/>
      <c r="L169" s="2053"/>
      <c r="M169" s="2053"/>
      <c r="N169" s="2054"/>
      <c r="O169" s="1208"/>
      <c r="P169" s="2047"/>
      <c r="Q169" s="2048"/>
      <c r="R169" s="2048"/>
      <c r="S169" s="2048"/>
      <c r="T169" s="2048"/>
      <c r="U169" s="2048"/>
      <c r="V169" s="2048"/>
      <c r="W169" s="2048"/>
      <c r="X169" s="2048"/>
      <c r="Y169" s="2048"/>
      <c r="Z169" s="2048"/>
      <c r="AA169" s="2048"/>
      <c r="AB169" s="2048"/>
      <c r="AC169" s="2048"/>
      <c r="AD169" s="2048"/>
      <c r="AE169" s="2048"/>
      <c r="AF169" s="2048"/>
      <c r="AG169" s="2048"/>
      <c r="AH169" s="2048"/>
      <c r="AI169" s="2048"/>
      <c r="AJ169" s="2048"/>
      <c r="AK169" s="2048"/>
      <c r="AL169" s="2048"/>
      <c r="AM169" s="2048"/>
      <c r="AN169" s="2048"/>
      <c r="AO169" s="2049"/>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2"/>
      <c r="D170" s="1993"/>
      <c r="E170" s="1993"/>
      <c r="F170" s="1993"/>
      <c r="G170" s="1993"/>
      <c r="H170" s="1993"/>
      <c r="I170" s="2053"/>
      <c r="J170" s="2053"/>
      <c r="K170" s="2053"/>
      <c r="L170" s="2053"/>
      <c r="M170" s="2053"/>
      <c r="N170" s="2054"/>
      <c r="O170" s="1208"/>
      <c r="P170" s="2047"/>
      <c r="Q170" s="2048"/>
      <c r="R170" s="2048"/>
      <c r="S170" s="2048"/>
      <c r="T170" s="2048"/>
      <c r="U170" s="2048"/>
      <c r="V170" s="2048"/>
      <c r="W170" s="2048"/>
      <c r="X170" s="2048"/>
      <c r="Y170" s="2048"/>
      <c r="Z170" s="2048"/>
      <c r="AA170" s="2048"/>
      <c r="AB170" s="2048"/>
      <c r="AC170" s="2048"/>
      <c r="AD170" s="2048"/>
      <c r="AE170" s="2048"/>
      <c r="AF170" s="2048"/>
      <c r="AG170" s="2048"/>
      <c r="AH170" s="2048"/>
      <c r="AI170" s="2048"/>
      <c r="AJ170" s="2048"/>
      <c r="AK170" s="2048"/>
      <c r="AL170" s="2048"/>
      <c r="AM170" s="2048"/>
      <c r="AN170" s="2048"/>
      <c r="AO170" s="2049"/>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2"/>
      <c r="D171" s="1993"/>
      <c r="E171" s="1993"/>
      <c r="F171" s="1993"/>
      <c r="G171" s="1993"/>
      <c r="H171" s="1993"/>
      <c r="I171" s="2053"/>
      <c r="J171" s="2053"/>
      <c r="K171" s="2053"/>
      <c r="L171" s="2053"/>
      <c r="M171" s="2053"/>
      <c r="N171" s="2054"/>
      <c r="O171" s="1208"/>
      <c r="P171" s="2047"/>
      <c r="Q171" s="2048"/>
      <c r="R171" s="2048"/>
      <c r="S171" s="2048"/>
      <c r="T171" s="2048"/>
      <c r="U171" s="2048"/>
      <c r="V171" s="2048"/>
      <c r="W171" s="2048"/>
      <c r="X171" s="2048"/>
      <c r="Y171" s="2048"/>
      <c r="Z171" s="2048"/>
      <c r="AA171" s="2048"/>
      <c r="AB171" s="2048"/>
      <c r="AC171" s="2048"/>
      <c r="AD171" s="2048"/>
      <c r="AE171" s="2048"/>
      <c r="AF171" s="2048"/>
      <c r="AG171" s="2048"/>
      <c r="AH171" s="2048"/>
      <c r="AI171" s="2048"/>
      <c r="AJ171" s="2048"/>
      <c r="AK171" s="2048"/>
      <c r="AL171" s="2048"/>
      <c r="AM171" s="2048"/>
      <c r="AN171" s="2048"/>
      <c r="AO171" s="2049"/>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2"/>
      <c r="D172" s="1993"/>
      <c r="E172" s="1993"/>
      <c r="F172" s="1993"/>
      <c r="G172" s="1993"/>
      <c r="H172" s="1993"/>
      <c r="I172" s="2053"/>
      <c r="J172" s="2053"/>
      <c r="K172" s="2053"/>
      <c r="L172" s="2053"/>
      <c r="M172" s="2053"/>
      <c r="N172" s="2054"/>
      <c r="O172" s="1208"/>
      <c r="P172" s="2047"/>
      <c r="Q172" s="2048"/>
      <c r="R172" s="2048"/>
      <c r="S172" s="2048"/>
      <c r="T172" s="2048"/>
      <c r="U172" s="2048"/>
      <c r="V172" s="2048"/>
      <c r="W172" s="2048"/>
      <c r="X172" s="2048"/>
      <c r="Y172" s="2048"/>
      <c r="Z172" s="2048"/>
      <c r="AA172" s="2048"/>
      <c r="AB172" s="2048"/>
      <c r="AC172" s="2048"/>
      <c r="AD172" s="2048"/>
      <c r="AE172" s="2048"/>
      <c r="AF172" s="2048"/>
      <c r="AG172" s="2048"/>
      <c r="AH172" s="2048"/>
      <c r="AI172" s="2048"/>
      <c r="AJ172" s="2048"/>
      <c r="AK172" s="2048"/>
      <c r="AL172" s="2048"/>
      <c r="AM172" s="2048"/>
      <c r="AN172" s="2048"/>
      <c r="AO172" s="2049"/>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2"/>
      <c r="D173" s="1993"/>
      <c r="E173" s="1993"/>
      <c r="F173" s="1993"/>
      <c r="G173" s="1993"/>
      <c r="H173" s="1993"/>
      <c r="I173" s="2053"/>
      <c r="J173" s="2053"/>
      <c r="K173" s="2053"/>
      <c r="L173" s="2053"/>
      <c r="M173" s="2053"/>
      <c r="N173" s="2054"/>
      <c r="O173" s="1208"/>
      <c r="P173" s="2047"/>
      <c r="Q173" s="2048"/>
      <c r="R173" s="2048"/>
      <c r="S173" s="2048"/>
      <c r="T173" s="2048"/>
      <c r="U173" s="2048"/>
      <c r="V173" s="2048"/>
      <c r="W173" s="2048"/>
      <c r="X173" s="2048"/>
      <c r="Y173" s="2048"/>
      <c r="Z173" s="2048"/>
      <c r="AA173" s="2048"/>
      <c r="AB173" s="2048"/>
      <c r="AC173" s="2048"/>
      <c r="AD173" s="2048"/>
      <c r="AE173" s="2048"/>
      <c r="AF173" s="2048"/>
      <c r="AG173" s="2048"/>
      <c r="AH173" s="2048"/>
      <c r="AI173" s="2048"/>
      <c r="AJ173" s="2048"/>
      <c r="AK173" s="2048"/>
      <c r="AL173" s="2048"/>
      <c r="AM173" s="2048"/>
      <c r="AN173" s="2048"/>
      <c r="AO173" s="2049"/>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2"/>
      <c r="D174" s="1993"/>
      <c r="E174" s="1993"/>
      <c r="F174" s="1993"/>
      <c r="G174" s="1993"/>
      <c r="H174" s="1993"/>
      <c r="I174" s="2053"/>
      <c r="J174" s="2053"/>
      <c r="K174" s="2053"/>
      <c r="L174" s="2053"/>
      <c r="M174" s="2053"/>
      <c r="N174" s="2054"/>
      <c r="O174" s="1208"/>
      <c r="P174" s="2047"/>
      <c r="Q174" s="2048"/>
      <c r="R174" s="2048"/>
      <c r="S174" s="2048"/>
      <c r="T174" s="2048"/>
      <c r="U174" s="2048"/>
      <c r="V174" s="2048"/>
      <c r="W174" s="2048"/>
      <c r="X174" s="2048"/>
      <c r="Y174" s="2048"/>
      <c r="Z174" s="2048"/>
      <c r="AA174" s="2048"/>
      <c r="AB174" s="2048"/>
      <c r="AC174" s="2048"/>
      <c r="AD174" s="2048"/>
      <c r="AE174" s="2048"/>
      <c r="AF174" s="2048"/>
      <c r="AG174" s="2048"/>
      <c r="AH174" s="2048"/>
      <c r="AI174" s="2048"/>
      <c r="AJ174" s="2048"/>
      <c r="AK174" s="2048"/>
      <c r="AL174" s="2048"/>
      <c r="AM174" s="2048"/>
      <c r="AN174" s="2048"/>
      <c r="AO174" s="2049"/>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5"/>
      <c r="D175" s="2056"/>
      <c r="E175" s="2056"/>
      <c r="F175" s="2056"/>
      <c r="G175" s="2056"/>
      <c r="H175" s="2056"/>
      <c r="I175" s="2057"/>
      <c r="J175" s="2057"/>
      <c r="K175" s="2057"/>
      <c r="L175" s="2057"/>
      <c r="M175" s="2057"/>
      <c r="N175" s="2058"/>
      <c r="O175" s="1208"/>
      <c r="P175" s="2050"/>
      <c r="Q175" s="2051"/>
      <c r="R175" s="2051"/>
      <c r="S175" s="2051"/>
      <c r="T175" s="2051"/>
      <c r="U175" s="2051"/>
      <c r="V175" s="2051"/>
      <c r="W175" s="2051"/>
      <c r="X175" s="2051"/>
      <c r="Y175" s="2051"/>
      <c r="Z175" s="2051"/>
      <c r="AA175" s="2051"/>
      <c r="AB175" s="2051"/>
      <c r="AC175" s="2051"/>
      <c r="AD175" s="2051"/>
      <c r="AE175" s="2051"/>
      <c r="AF175" s="2051"/>
      <c r="AG175" s="2051"/>
      <c r="AH175" s="2051"/>
      <c r="AI175" s="2051"/>
      <c r="AJ175" s="2051"/>
      <c r="AK175" s="2051"/>
      <c r="AL175" s="2051"/>
      <c r="AM175" s="2051"/>
      <c r="AN175" s="2051"/>
      <c r="AO175" s="2052"/>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21" t="s">
        <v>2273</v>
      </c>
      <c r="D177" s="2022"/>
      <c r="E177" s="2022"/>
      <c r="F177" s="2022"/>
      <c r="G177" s="2022"/>
      <c r="H177" s="2022"/>
      <c r="I177" s="2022"/>
      <c r="J177" s="2022"/>
      <c r="K177" s="2022"/>
      <c r="L177" s="2022"/>
      <c r="M177" s="2022"/>
      <c r="N177" s="2022"/>
      <c r="O177" s="2022"/>
      <c r="P177" s="2022"/>
      <c r="Q177" s="2022"/>
      <c r="R177" s="2022"/>
      <c r="S177" s="2022"/>
      <c r="T177" s="2022"/>
      <c r="U177" s="2022"/>
      <c r="V177" s="2022"/>
      <c r="W177" s="2022"/>
      <c r="X177" s="2022"/>
      <c r="Y177" s="2022"/>
      <c r="Z177" s="2022"/>
      <c r="AA177" s="2022"/>
      <c r="AB177" s="2022"/>
      <c r="AC177" s="2022"/>
      <c r="AD177" s="2022"/>
      <c r="AE177" s="2023"/>
      <c r="AF177" s="1208"/>
      <c r="AG177" s="1208"/>
      <c r="AH177" s="1906"/>
      <c r="AI177" s="1906"/>
      <c r="AJ177" s="1906"/>
      <c r="AK177" s="1906"/>
      <c r="AL177" s="1906"/>
      <c r="AM177" s="1906"/>
      <c r="AN177" s="1906"/>
      <c r="AO177" s="1906"/>
      <c r="AP177" s="1906"/>
      <c r="AQ177" s="1906"/>
      <c r="AR177" s="1906"/>
      <c r="AS177" s="1906"/>
      <c r="AT177" s="1906"/>
      <c r="AU177" s="1906"/>
      <c r="AV177" s="1906"/>
      <c r="AW177" s="1906"/>
      <c r="AX177" s="1906"/>
      <c r="AY177" s="1906"/>
      <c r="AZ177" s="1906"/>
      <c r="BA177" s="1906"/>
      <c r="BB177" s="1906"/>
      <c r="BC177" s="1906"/>
      <c r="BD177" s="1906"/>
      <c r="BE177" s="1906"/>
    </row>
    <row r="178" spans="1:57" ht="15.75" customHeight="1" thickBot="1">
      <c r="A178" s="1208"/>
      <c r="B178" s="1208"/>
      <c r="C178" s="2024"/>
      <c r="D178" s="2025"/>
      <c r="E178" s="2025"/>
      <c r="F178" s="2025"/>
      <c r="G178" s="2025"/>
      <c r="H178" s="2025"/>
      <c r="I178" s="2025"/>
      <c r="J178" s="2025"/>
      <c r="K178" s="2025"/>
      <c r="L178" s="2025"/>
      <c r="M178" s="2025"/>
      <c r="N178" s="2025"/>
      <c r="O178" s="2025"/>
      <c r="P178" s="2025"/>
      <c r="Q178" s="2025"/>
      <c r="R178" s="2025"/>
      <c r="S178" s="2025"/>
      <c r="T178" s="2025"/>
      <c r="U178" s="2025"/>
      <c r="V178" s="2025"/>
      <c r="W178" s="2025"/>
      <c r="X178" s="2025"/>
      <c r="Y178" s="2025"/>
      <c r="Z178" s="2025"/>
      <c r="AA178" s="2025"/>
      <c r="AB178" s="2025"/>
      <c r="AC178" s="2025"/>
      <c r="AD178" s="2025"/>
      <c r="AE178" s="2026"/>
      <c r="AF178" s="1208"/>
      <c r="AG178" s="1208"/>
      <c r="AH178" s="1906"/>
      <c r="AI178" s="1906"/>
      <c r="AJ178" s="1906"/>
      <c r="AK178" s="1906"/>
      <c r="AL178" s="1906"/>
      <c r="AM178" s="1906"/>
      <c r="AN178" s="1906"/>
      <c r="AO178" s="1906"/>
      <c r="AP178" s="1906"/>
      <c r="AQ178" s="1906"/>
      <c r="AR178" s="1906"/>
      <c r="AS178" s="1906"/>
      <c r="AT178" s="1906"/>
      <c r="AU178" s="1906"/>
      <c r="AV178" s="1906"/>
      <c r="AW178" s="1906"/>
      <c r="AX178" s="1906"/>
      <c r="AY178" s="1906"/>
      <c r="AZ178" s="1906"/>
      <c r="BA178" s="1906"/>
      <c r="BB178" s="1906"/>
      <c r="BC178" s="1906"/>
      <c r="BD178" s="1906"/>
      <c r="BE178" s="1906"/>
    </row>
    <row r="179" spans="1:57" ht="15.75" customHeight="1">
      <c r="A179" s="1208"/>
      <c r="B179" s="1208"/>
      <c r="C179" s="2030" t="s">
        <v>2271</v>
      </c>
      <c r="D179" s="2031"/>
      <c r="E179" s="2031"/>
      <c r="F179" s="2031"/>
      <c r="G179" s="2031"/>
      <c r="H179" s="2031"/>
      <c r="I179" s="2031"/>
      <c r="J179" s="2031"/>
      <c r="K179" s="2031"/>
      <c r="L179" s="2031"/>
      <c r="M179" s="2031"/>
      <c r="N179" s="2031" t="s">
        <v>2272</v>
      </c>
      <c r="O179" s="2031"/>
      <c r="P179" s="2031"/>
      <c r="Q179" s="2031"/>
      <c r="R179" s="2031"/>
      <c r="S179" s="2031"/>
      <c r="T179" s="2031"/>
      <c r="U179" s="2032" t="s">
        <v>2271</v>
      </c>
      <c r="V179" s="2032"/>
      <c r="W179" s="2032"/>
      <c r="X179" s="2032"/>
      <c r="Y179" s="2032"/>
      <c r="Z179" s="2032"/>
      <c r="AA179" s="2032"/>
      <c r="AB179" s="2032"/>
      <c r="AC179" s="2032"/>
      <c r="AD179" s="2032"/>
      <c r="AE179" s="2033"/>
      <c r="AF179" s="1208"/>
      <c r="AG179" s="1208"/>
      <c r="AH179" s="1906"/>
      <c r="AI179" s="1906"/>
      <c r="AJ179" s="1906"/>
      <c r="AK179" s="1906"/>
      <c r="AL179" s="1906"/>
      <c r="AM179" s="1906"/>
      <c r="AN179" s="1906"/>
      <c r="AO179" s="1906"/>
      <c r="AP179" s="1906"/>
      <c r="AQ179" s="1906"/>
      <c r="AR179" s="1906"/>
      <c r="AS179" s="1906"/>
      <c r="AT179" s="1906"/>
      <c r="AU179" s="1906"/>
      <c r="AV179" s="1906"/>
      <c r="AW179" s="1906"/>
      <c r="AX179" s="1906"/>
      <c r="AY179" s="1906"/>
      <c r="AZ179" s="1906"/>
      <c r="BA179" s="1906"/>
      <c r="BB179" s="1906"/>
      <c r="BC179" s="1906"/>
      <c r="BD179" s="1906"/>
      <c r="BE179" s="1906"/>
    </row>
    <row r="180" spans="1:57" ht="15.75" customHeight="1">
      <c r="A180" s="1208"/>
      <c r="B180" s="1208"/>
      <c r="C180" s="2009" t="s">
        <v>2270</v>
      </c>
      <c r="D180" s="2010"/>
      <c r="E180" s="2010"/>
      <c r="F180" s="2010"/>
      <c r="G180" s="2010"/>
      <c r="H180" s="2010"/>
      <c r="I180" s="2010"/>
      <c r="J180" s="2010"/>
      <c r="K180" s="2010"/>
      <c r="L180" s="2010"/>
      <c r="M180" s="2010"/>
      <c r="N180" s="2020">
        <f>'Sources and Uses Budget'!B105</f>
        <v>71303707</v>
      </c>
      <c r="O180" s="2020"/>
      <c r="P180" s="2020"/>
      <c r="Q180" s="2020"/>
      <c r="R180" s="2020"/>
      <c r="S180" s="2020"/>
      <c r="T180" s="2020"/>
      <c r="U180" s="2034"/>
      <c r="V180" s="2034"/>
      <c r="W180" s="2034"/>
      <c r="X180" s="2034"/>
      <c r="Y180" s="2034"/>
      <c r="Z180" s="2034"/>
      <c r="AA180" s="2034"/>
      <c r="AB180" s="2034"/>
      <c r="AC180" s="2034"/>
      <c r="AD180" s="2034"/>
      <c r="AE180" s="2035"/>
      <c r="AF180" s="1208"/>
      <c r="AG180" s="1208"/>
      <c r="AH180" s="1906"/>
      <c r="AI180" s="1906"/>
      <c r="AJ180" s="1906"/>
      <c r="AK180" s="1906"/>
      <c r="AL180" s="1906"/>
      <c r="AM180" s="1906"/>
      <c r="AN180" s="1906"/>
      <c r="AO180" s="1906"/>
      <c r="AP180" s="1906"/>
      <c r="AQ180" s="1906"/>
      <c r="AR180" s="1906"/>
      <c r="AS180" s="1906"/>
      <c r="AT180" s="1906"/>
      <c r="AU180" s="1906"/>
      <c r="AV180" s="1906"/>
      <c r="AW180" s="1906"/>
      <c r="AX180" s="1906"/>
      <c r="AY180" s="1906"/>
      <c r="AZ180" s="1906"/>
      <c r="BA180" s="1906"/>
      <c r="BB180" s="1906"/>
      <c r="BC180" s="1906"/>
      <c r="BD180" s="1906"/>
      <c r="BE180" s="1906"/>
    </row>
    <row r="181" spans="1:57" ht="15.75" customHeight="1">
      <c r="A181" s="1208"/>
      <c r="B181" s="1208"/>
      <c r="C181" s="2009" t="s">
        <v>2269</v>
      </c>
      <c r="D181" s="2010"/>
      <c r="E181" s="2010"/>
      <c r="F181" s="2010"/>
      <c r="G181" s="2010"/>
      <c r="H181" s="2010"/>
      <c r="I181" s="2010"/>
      <c r="J181" s="2010"/>
      <c r="K181" s="2010"/>
      <c r="L181" s="2010"/>
      <c r="M181" s="2010"/>
      <c r="N181" s="2020">
        <f>N180/J29</f>
        <v>375282.66842105263</v>
      </c>
      <c r="O181" s="2020"/>
      <c r="P181" s="2020"/>
      <c r="Q181" s="2020"/>
      <c r="R181" s="2020"/>
      <c r="S181" s="2020"/>
      <c r="T181" s="2020"/>
      <c r="U181" s="1248"/>
      <c r="V181" s="1248"/>
      <c r="W181" s="1248"/>
      <c r="X181" s="1248"/>
      <c r="Y181" s="1248"/>
      <c r="Z181" s="1248"/>
      <c r="AA181" s="1248"/>
      <c r="AB181" s="1248"/>
      <c r="AC181" s="1248"/>
      <c r="AD181" s="1248"/>
      <c r="AE181" s="1249"/>
      <c r="AF181" s="1208"/>
      <c r="AG181" s="1208"/>
      <c r="AH181" s="1906"/>
      <c r="AI181" s="1906"/>
      <c r="AJ181" s="1906"/>
      <c r="AK181" s="1906"/>
      <c r="AL181" s="1906"/>
      <c r="AM181" s="1906"/>
      <c r="AN181" s="1906"/>
      <c r="AO181" s="1906"/>
      <c r="AP181" s="1906"/>
      <c r="AQ181" s="1906"/>
      <c r="AR181" s="1906"/>
      <c r="AS181" s="1906"/>
      <c r="AT181" s="1906"/>
      <c r="AU181" s="1906"/>
      <c r="AV181" s="1906"/>
      <c r="AW181" s="1906"/>
      <c r="AX181" s="1906"/>
      <c r="AY181" s="1906"/>
      <c r="AZ181" s="1906"/>
      <c r="BA181" s="1906"/>
      <c r="BB181" s="1906"/>
      <c r="BC181" s="1906"/>
      <c r="BD181" s="1906"/>
      <c r="BE181" s="1906"/>
    </row>
    <row r="182" spans="1:57" ht="15.75" customHeight="1">
      <c r="A182" s="1208"/>
      <c r="B182" s="1208"/>
      <c r="C182" s="2036" t="s">
        <v>2268</v>
      </c>
      <c r="D182" s="2037"/>
      <c r="E182" s="2037"/>
      <c r="F182" s="2037"/>
      <c r="G182" s="2037"/>
      <c r="H182" s="2037"/>
      <c r="I182" s="2037"/>
      <c r="J182" s="2037"/>
      <c r="K182" s="2037"/>
      <c r="L182" s="2037"/>
      <c r="M182" s="2037"/>
      <c r="N182" s="2038">
        <v>0</v>
      </c>
      <c r="O182" s="2038"/>
      <c r="P182" s="2038"/>
      <c r="Q182" s="2038"/>
      <c r="R182" s="2038"/>
      <c r="S182" s="2038"/>
      <c r="T182" s="2038"/>
      <c r="U182" s="1996"/>
      <c r="V182" s="1996"/>
      <c r="W182" s="1996"/>
      <c r="X182" s="1996"/>
      <c r="Y182" s="1996"/>
      <c r="Z182" s="1996"/>
      <c r="AA182" s="1996"/>
      <c r="AB182" s="1996"/>
      <c r="AC182" s="1996"/>
      <c r="AD182" s="1996"/>
      <c r="AE182" s="1997"/>
      <c r="AF182" s="1208"/>
      <c r="AG182" s="1208"/>
      <c r="AH182" s="1906"/>
      <c r="AI182" s="1906"/>
      <c r="AJ182" s="1906"/>
      <c r="AK182" s="1906"/>
      <c r="AL182" s="1906"/>
      <c r="AM182" s="1906"/>
      <c r="AN182" s="1906"/>
      <c r="AO182" s="1906"/>
      <c r="AP182" s="1906"/>
      <c r="AQ182" s="1906"/>
      <c r="AR182" s="1906"/>
      <c r="AS182" s="1906"/>
      <c r="AT182" s="1906"/>
      <c r="AU182" s="1906"/>
      <c r="AV182" s="1906"/>
      <c r="AW182" s="1906"/>
      <c r="AX182" s="1906"/>
      <c r="AY182" s="1906"/>
      <c r="AZ182" s="1906"/>
      <c r="BA182" s="1906"/>
      <c r="BB182" s="1906"/>
      <c r="BC182" s="1906"/>
      <c r="BD182" s="1906"/>
      <c r="BE182" s="1906"/>
    </row>
    <row r="183" spans="1:57" ht="15.75" customHeight="1" thickBot="1">
      <c r="A183" s="1208"/>
      <c r="B183" s="1208"/>
      <c r="C183" s="2009" t="s">
        <v>2267</v>
      </c>
      <c r="D183" s="2010"/>
      <c r="E183" s="2010"/>
      <c r="F183" s="2010"/>
      <c r="G183" s="2010"/>
      <c r="H183" s="2010"/>
      <c r="I183" s="2010"/>
      <c r="J183" s="2010"/>
      <c r="K183" s="2010"/>
      <c r="L183" s="2010"/>
      <c r="M183" s="2010"/>
      <c r="N183" s="2039">
        <f>SUM('Sources and Uses Budget'!B85:B86)</f>
        <v>2300000</v>
      </c>
      <c r="O183" s="2039"/>
      <c r="P183" s="2039"/>
      <c r="Q183" s="2039"/>
      <c r="R183" s="2039"/>
      <c r="S183" s="2039"/>
      <c r="T183" s="2039"/>
      <c r="U183" s="1996"/>
      <c r="V183" s="1996"/>
      <c r="W183" s="1996"/>
      <c r="X183" s="1996"/>
      <c r="Y183" s="1996"/>
      <c r="Z183" s="1996"/>
      <c r="AA183" s="1996"/>
      <c r="AB183" s="1996"/>
      <c r="AC183" s="1996"/>
      <c r="AD183" s="1996"/>
      <c r="AE183" s="1997"/>
      <c r="AF183" s="1208"/>
      <c r="AG183" s="1208"/>
      <c r="AH183" s="1906"/>
      <c r="AI183" s="1906"/>
      <c r="AJ183" s="1906"/>
      <c r="AK183" s="1906"/>
      <c r="AL183" s="1906"/>
      <c r="AM183" s="1906"/>
      <c r="AN183" s="1906"/>
      <c r="AO183" s="1906"/>
      <c r="AP183" s="1906"/>
      <c r="AQ183" s="1906"/>
      <c r="AR183" s="1906"/>
      <c r="AS183" s="1906"/>
      <c r="AT183" s="1906"/>
      <c r="AU183" s="1906"/>
      <c r="AV183" s="1906"/>
      <c r="AW183" s="1906"/>
      <c r="AX183" s="1906"/>
      <c r="AY183" s="1906"/>
      <c r="AZ183" s="1906"/>
      <c r="BA183" s="1906"/>
      <c r="BB183" s="1906"/>
      <c r="BC183" s="1906"/>
      <c r="BD183" s="1906"/>
      <c r="BE183" s="1906"/>
    </row>
    <row r="184" spans="1:57" ht="15.75" customHeight="1" thickBot="1">
      <c r="A184" s="1208"/>
      <c r="B184" s="1208"/>
      <c r="C184" s="2009" t="s">
        <v>2266</v>
      </c>
      <c r="D184" s="2010"/>
      <c r="E184" s="2010"/>
      <c r="F184" s="2010"/>
      <c r="G184" s="2010"/>
      <c r="H184" s="2010"/>
      <c r="I184" s="2010"/>
      <c r="J184" s="2010"/>
      <c r="K184" s="2010"/>
      <c r="L184" s="2010"/>
      <c r="M184" s="2010"/>
      <c r="N184" s="2039">
        <f>'Sources and Uses Budget'!B8</f>
        <v>11000000</v>
      </c>
      <c r="O184" s="2039"/>
      <c r="P184" s="2039"/>
      <c r="Q184" s="2039"/>
      <c r="R184" s="2039"/>
      <c r="S184" s="2039"/>
      <c r="T184" s="2039"/>
      <c r="U184" s="1996"/>
      <c r="V184" s="1996"/>
      <c r="W184" s="1996"/>
      <c r="X184" s="1996"/>
      <c r="Y184" s="1996"/>
      <c r="Z184" s="1996"/>
      <c r="AA184" s="1996"/>
      <c r="AB184" s="1996"/>
      <c r="AC184" s="1996"/>
      <c r="AD184" s="1996"/>
      <c r="AE184" s="1997"/>
      <c r="AF184" s="1208"/>
      <c r="AG184" s="1208"/>
      <c r="AH184" s="2006" t="s">
        <v>2264</v>
      </c>
      <c r="AI184" s="2007"/>
      <c r="AJ184" s="2007"/>
      <c r="AK184" s="2007"/>
      <c r="AL184" s="2007"/>
      <c r="AM184" s="2007"/>
      <c r="AN184" s="2007"/>
      <c r="AO184" s="2007"/>
      <c r="AP184" s="2007"/>
      <c r="AQ184" s="2007"/>
      <c r="AR184" s="2007"/>
      <c r="AS184" s="2007"/>
      <c r="AT184" s="2007"/>
      <c r="AU184" s="2007"/>
      <c r="AV184" s="2007"/>
      <c r="AW184" s="2007"/>
      <c r="AX184" s="2007"/>
      <c r="AY184" s="2007"/>
      <c r="AZ184" s="2007"/>
      <c r="BA184" s="2007"/>
      <c r="BB184" s="2007"/>
      <c r="BC184" s="2007"/>
      <c r="BD184" s="2007"/>
      <c r="BE184" s="2008"/>
    </row>
    <row r="185" spans="1:57" ht="15.75" customHeight="1">
      <c r="A185" s="1208"/>
      <c r="B185" s="1208"/>
      <c r="C185" s="2009" t="s">
        <v>2265</v>
      </c>
      <c r="D185" s="2010"/>
      <c r="E185" s="2010"/>
      <c r="F185" s="2010"/>
      <c r="G185" s="2010"/>
      <c r="H185" s="2010"/>
      <c r="I185" s="2010"/>
      <c r="J185" s="2010"/>
      <c r="K185" s="2010"/>
      <c r="L185" s="2010"/>
      <c r="M185" s="2010"/>
      <c r="N185" s="1995">
        <v>0</v>
      </c>
      <c r="O185" s="1995"/>
      <c r="P185" s="1995"/>
      <c r="Q185" s="1995"/>
      <c r="R185" s="1995"/>
      <c r="S185" s="1995"/>
      <c r="T185" s="1995"/>
      <c r="U185" s="1996"/>
      <c r="V185" s="1996"/>
      <c r="W185" s="1996"/>
      <c r="X185" s="1996"/>
      <c r="Y185" s="1996"/>
      <c r="Z185" s="1996"/>
      <c r="AA185" s="1996"/>
      <c r="AB185" s="1996"/>
      <c r="AC185" s="1996"/>
      <c r="AD185" s="1996"/>
      <c r="AE185" s="1997"/>
      <c r="AF185" s="1208"/>
      <c r="AG185" s="1208"/>
      <c r="AH185" s="2011" t="s">
        <v>2264</v>
      </c>
      <c r="AI185" s="2012"/>
      <c r="AJ185" s="2012"/>
      <c r="AK185" s="2012"/>
      <c r="AL185" s="2012"/>
      <c r="AM185" s="2012"/>
      <c r="AN185" s="2012"/>
      <c r="AO185" s="2012"/>
      <c r="AP185" s="2012"/>
      <c r="AQ185" s="2012"/>
      <c r="AR185" s="2012"/>
      <c r="AS185" s="2012"/>
      <c r="AT185" s="2012"/>
      <c r="AU185" s="2013">
        <v>0</v>
      </c>
      <c r="AV185" s="2013"/>
      <c r="AW185" s="2013"/>
      <c r="AX185" s="2013"/>
      <c r="AY185" s="2013"/>
      <c r="AZ185" s="2013"/>
      <c r="BA185" s="2013"/>
      <c r="BB185" s="2013"/>
      <c r="BC185" s="2014"/>
      <c r="BD185" s="2015"/>
      <c r="BE185" s="2016"/>
    </row>
    <row r="186" spans="1:57" ht="15.75" customHeight="1">
      <c r="A186" s="1208"/>
      <c r="B186" s="1208"/>
      <c r="C186" s="2009" t="s">
        <v>2263</v>
      </c>
      <c r="D186" s="2010"/>
      <c r="E186" s="2010"/>
      <c r="F186" s="2010"/>
      <c r="G186" s="2010"/>
      <c r="H186" s="2010"/>
      <c r="I186" s="2010"/>
      <c r="J186" s="2010"/>
      <c r="K186" s="2010"/>
      <c r="L186" s="2010"/>
      <c r="M186" s="2010"/>
      <c r="N186" s="1995">
        <v>0</v>
      </c>
      <c r="O186" s="1995"/>
      <c r="P186" s="1995"/>
      <c r="Q186" s="1995"/>
      <c r="R186" s="1995"/>
      <c r="S186" s="1995"/>
      <c r="T186" s="1995"/>
      <c r="U186" s="1996"/>
      <c r="V186" s="1996"/>
      <c r="W186" s="1996"/>
      <c r="X186" s="1996"/>
      <c r="Y186" s="1996"/>
      <c r="Z186" s="1996"/>
      <c r="AA186" s="1996"/>
      <c r="AB186" s="1996"/>
      <c r="AC186" s="1996"/>
      <c r="AD186" s="1996"/>
      <c r="AE186" s="1997"/>
      <c r="AF186" s="1208"/>
      <c r="AG186" s="1208"/>
      <c r="AH186" s="2027" t="s">
        <v>2262</v>
      </c>
      <c r="AI186" s="2028"/>
      <c r="AJ186" s="2028"/>
      <c r="AK186" s="2028"/>
      <c r="AL186" s="2028"/>
      <c r="AM186" s="2028"/>
      <c r="AN186" s="2028"/>
      <c r="AO186" s="2028"/>
      <c r="AP186" s="2028"/>
      <c r="AQ186" s="2028"/>
      <c r="AR186" s="2028"/>
      <c r="AS186" s="2028"/>
      <c r="AT186" s="2028"/>
      <c r="AU186" s="2029"/>
      <c r="AV186" s="2029"/>
      <c r="AW186" s="2029"/>
      <c r="AX186" s="2029"/>
      <c r="AY186" s="2029"/>
      <c r="AZ186" s="2029"/>
      <c r="BA186" s="2029"/>
      <c r="BB186" s="2029"/>
      <c r="BC186" s="2017"/>
      <c r="BD186" s="2018"/>
      <c r="BE186" s="2019"/>
    </row>
    <row r="187" spans="1:57" ht="15.75" customHeight="1">
      <c r="A187" s="1208"/>
      <c r="B187" s="1208"/>
      <c r="C187" s="2001" t="s">
        <v>300</v>
      </c>
      <c r="D187" s="2002"/>
      <c r="E187" s="1994" t="s">
        <v>2260</v>
      </c>
      <c r="F187" s="1994"/>
      <c r="G187" s="1994"/>
      <c r="H187" s="1994"/>
      <c r="I187" s="1994"/>
      <c r="J187" s="1994"/>
      <c r="K187" s="1994"/>
      <c r="L187" s="1994"/>
      <c r="M187" s="1994"/>
      <c r="N187" s="1995">
        <v>0</v>
      </c>
      <c r="O187" s="1995"/>
      <c r="P187" s="1995"/>
      <c r="Q187" s="1995"/>
      <c r="R187" s="1995"/>
      <c r="S187" s="1995"/>
      <c r="T187" s="1995"/>
      <c r="U187" s="1996"/>
      <c r="V187" s="1996"/>
      <c r="W187" s="1996"/>
      <c r="X187" s="1996"/>
      <c r="Y187" s="1996"/>
      <c r="Z187" s="1996"/>
      <c r="AA187" s="1996"/>
      <c r="AB187" s="1996"/>
      <c r="AC187" s="1996"/>
      <c r="AD187" s="1996"/>
      <c r="AE187" s="1997"/>
      <c r="AF187" s="1208"/>
      <c r="AG187" s="1208"/>
      <c r="AH187" s="2003" t="s">
        <v>2261</v>
      </c>
      <c r="AI187" s="2004"/>
      <c r="AJ187" s="2004"/>
      <c r="AK187" s="2004"/>
      <c r="AL187" s="2004"/>
      <c r="AM187" s="2004"/>
      <c r="AN187" s="2004"/>
      <c r="AO187" s="2004"/>
      <c r="AP187" s="2004"/>
      <c r="AQ187" s="2004"/>
      <c r="AR187" s="2004"/>
      <c r="AS187" s="2004"/>
      <c r="AT187" s="2004"/>
      <c r="AU187" s="2005">
        <f>SUM(AU185:BB186)</f>
        <v>0</v>
      </c>
      <c r="AV187" s="2005"/>
      <c r="AW187" s="2005"/>
      <c r="AX187" s="2005"/>
      <c r="AY187" s="2005"/>
      <c r="AZ187" s="2005"/>
      <c r="BA187" s="2005"/>
      <c r="BB187" s="2005"/>
      <c r="BC187" s="2017"/>
      <c r="BD187" s="2018"/>
      <c r="BE187" s="2019"/>
    </row>
    <row r="188" spans="1:57" ht="15.75" customHeight="1" thickBot="1">
      <c r="A188" s="1208"/>
      <c r="B188" s="1208"/>
      <c r="C188" s="1992" t="s">
        <v>300</v>
      </c>
      <c r="D188" s="1993"/>
      <c r="E188" s="1994" t="s">
        <v>2260</v>
      </c>
      <c r="F188" s="1994"/>
      <c r="G188" s="1994"/>
      <c r="H188" s="1994"/>
      <c r="I188" s="1994"/>
      <c r="J188" s="1994"/>
      <c r="K188" s="1994"/>
      <c r="L188" s="1994"/>
      <c r="M188" s="1994"/>
      <c r="N188" s="1995">
        <v>0</v>
      </c>
      <c r="O188" s="1995"/>
      <c r="P188" s="1995"/>
      <c r="Q188" s="1995"/>
      <c r="R188" s="1995"/>
      <c r="S188" s="1995"/>
      <c r="T188" s="1995"/>
      <c r="U188" s="1996"/>
      <c r="V188" s="1996"/>
      <c r="W188" s="1996"/>
      <c r="X188" s="1996"/>
      <c r="Y188" s="1996"/>
      <c r="Z188" s="1996"/>
      <c r="AA188" s="1996"/>
      <c r="AB188" s="1996"/>
      <c r="AC188" s="1996"/>
      <c r="AD188" s="1996"/>
      <c r="AE188" s="1997"/>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998"/>
      <c r="BD188" s="1999"/>
      <c r="BE188" s="2000"/>
    </row>
    <row r="189" spans="1:57" ht="15.75" customHeight="1" thickBot="1">
      <c r="A189" s="1208"/>
      <c r="B189" s="1208"/>
      <c r="C189" s="1980" t="s">
        <v>300</v>
      </c>
      <c r="D189" s="1981"/>
      <c r="E189" s="1982" t="s">
        <v>2260</v>
      </c>
      <c r="F189" s="1982"/>
      <c r="G189" s="1982"/>
      <c r="H189" s="1982"/>
      <c r="I189" s="1982"/>
      <c r="J189" s="1982"/>
      <c r="K189" s="1982"/>
      <c r="L189" s="1982"/>
      <c r="M189" s="1983"/>
      <c r="N189" s="1984">
        <v>0</v>
      </c>
      <c r="O189" s="1984"/>
      <c r="P189" s="1984"/>
      <c r="Q189" s="1984"/>
      <c r="R189" s="1984"/>
      <c r="S189" s="1984"/>
      <c r="T189" s="1985"/>
      <c r="U189" s="1986"/>
      <c r="V189" s="1987"/>
      <c r="W189" s="1987"/>
      <c r="X189" s="1987"/>
      <c r="Y189" s="1987"/>
      <c r="Z189" s="1987"/>
      <c r="AA189" s="1987"/>
      <c r="AB189" s="1987"/>
      <c r="AC189" s="1987"/>
      <c r="AD189" s="1987"/>
      <c r="AE189" s="1988"/>
      <c r="AF189" s="1208"/>
      <c r="AG189" s="1208"/>
      <c r="AH189" s="1989" t="s">
        <v>2259</v>
      </c>
      <c r="AI189" s="1990"/>
      <c r="AJ189" s="1990"/>
      <c r="AK189" s="1990"/>
      <c r="AL189" s="1990"/>
      <c r="AM189" s="1990"/>
      <c r="AN189" s="1990"/>
      <c r="AO189" s="1990"/>
      <c r="AP189" s="1990"/>
      <c r="AQ189" s="1990"/>
      <c r="AR189" s="1990"/>
      <c r="AS189" s="1990"/>
      <c r="AT189" s="1990"/>
      <c r="AU189" s="1991"/>
      <c r="AV189" s="1991"/>
      <c r="AW189" s="1991"/>
      <c r="AX189" s="1991"/>
      <c r="AY189" s="1991"/>
      <c r="AZ189" s="1991"/>
      <c r="BA189" s="1991"/>
      <c r="BB189" s="1991"/>
      <c r="BC189" s="1164"/>
      <c r="BD189" s="1164"/>
      <c r="BE189" s="1252"/>
    </row>
    <row r="190" spans="1:57" ht="15.75" customHeight="1">
      <c r="A190" s="1208"/>
      <c r="B190" s="1208"/>
      <c r="C190" s="1963" t="s">
        <v>2258</v>
      </c>
      <c r="D190" s="1964"/>
      <c r="E190" s="1964"/>
      <c r="F190" s="1964"/>
      <c r="G190" s="1964"/>
      <c r="H190" s="1964"/>
      <c r="I190" s="1964"/>
      <c r="J190" s="1964"/>
      <c r="K190" s="1964"/>
      <c r="L190" s="1964"/>
      <c r="M190" s="1964"/>
      <c r="N190" s="1965">
        <f>SUM(N182:T189)</f>
        <v>13300000</v>
      </c>
      <c r="O190" s="1965"/>
      <c r="P190" s="1965"/>
      <c r="Q190" s="1965"/>
      <c r="R190" s="1965"/>
      <c r="S190" s="1965"/>
      <c r="T190" s="1966"/>
      <c r="U190" s="1208"/>
      <c r="V190" s="1208"/>
      <c r="W190" s="1208"/>
      <c r="X190" s="1208"/>
      <c r="Y190" s="1208"/>
      <c r="Z190" s="1208"/>
      <c r="AA190" s="1208"/>
      <c r="AB190" s="1208"/>
      <c r="AC190" s="1208"/>
      <c r="AD190" s="1208"/>
      <c r="AE190" s="1208"/>
      <c r="AF190" s="1208"/>
      <c r="AG190" s="1208"/>
      <c r="AH190" s="1967" t="s">
        <v>2257</v>
      </c>
      <c r="AI190" s="1968"/>
      <c r="AJ190" s="1968"/>
      <c r="AK190" s="1968"/>
      <c r="AL190" s="1968"/>
      <c r="AM190" s="1968"/>
      <c r="AN190" s="1968"/>
      <c r="AO190" s="1968"/>
      <c r="AP190" s="1968"/>
      <c r="AQ190" s="1968"/>
      <c r="AR190" s="1968"/>
      <c r="AS190" s="1968"/>
      <c r="AT190" s="1968"/>
      <c r="AU190" s="1968"/>
      <c r="AV190" s="1968"/>
      <c r="AW190" s="1968"/>
      <c r="AX190" s="1968"/>
      <c r="AY190" s="1968"/>
      <c r="AZ190" s="1968"/>
      <c r="BA190" s="1968"/>
      <c r="BB190" s="1968"/>
      <c r="BC190" s="1968"/>
      <c r="BD190" s="1968"/>
      <c r="BE190" s="1969"/>
    </row>
    <row r="191" spans="1:57" ht="15.75" customHeight="1" thickBot="1">
      <c r="A191" s="1208"/>
      <c r="B191" s="1208"/>
      <c r="C191" s="1973" t="s">
        <v>2256</v>
      </c>
      <c r="D191" s="1974"/>
      <c r="E191" s="1974"/>
      <c r="F191" s="1974"/>
      <c r="G191" s="1974"/>
      <c r="H191" s="1974"/>
      <c r="I191" s="1974"/>
      <c r="J191" s="1974"/>
      <c r="K191" s="1974"/>
      <c r="L191" s="1974"/>
      <c r="M191" s="1974"/>
      <c r="N191" s="1975">
        <f>(N180-N190)/J29</f>
        <v>305282.66842105263</v>
      </c>
      <c r="O191" s="1976"/>
      <c r="P191" s="1976"/>
      <c r="Q191" s="1976"/>
      <c r="R191" s="1976"/>
      <c r="S191" s="1976"/>
      <c r="T191" s="1977"/>
      <c r="U191" s="1216"/>
      <c r="V191" s="1208"/>
      <c r="W191" s="1208"/>
      <c r="X191" s="1208"/>
      <c r="Y191" s="1208"/>
      <c r="Z191" s="1208"/>
      <c r="AA191" s="1208"/>
      <c r="AB191" s="1208"/>
      <c r="AC191" s="1208"/>
      <c r="AD191" s="1208"/>
      <c r="AE191" s="1208"/>
      <c r="AF191" s="1208"/>
      <c r="AG191" s="1208"/>
      <c r="AH191" s="1970"/>
      <c r="AI191" s="1971"/>
      <c r="AJ191" s="1971"/>
      <c r="AK191" s="1971"/>
      <c r="AL191" s="1971"/>
      <c r="AM191" s="1971"/>
      <c r="AN191" s="1971"/>
      <c r="AO191" s="1971"/>
      <c r="AP191" s="1971"/>
      <c r="AQ191" s="1971"/>
      <c r="AR191" s="1971"/>
      <c r="AS191" s="1971"/>
      <c r="AT191" s="1971"/>
      <c r="AU191" s="1971"/>
      <c r="AV191" s="1971"/>
      <c r="AW191" s="1971"/>
      <c r="AX191" s="1971"/>
      <c r="AY191" s="1971"/>
      <c r="AZ191" s="1971"/>
      <c r="BA191" s="1971"/>
      <c r="BB191" s="1971"/>
      <c r="BC191" s="1971"/>
      <c r="BD191" s="1971"/>
      <c r="BE191" s="1972"/>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78"/>
      <c r="AI192" s="1978"/>
      <c r="AJ192" s="1978"/>
      <c r="AK192" s="1978"/>
      <c r="AL192" s="1978"/>
      <c r="AM192" s="1978"/>
      <c r="AN192" s="1978"/>
      <c r="AO192" s="1978"/>
      <c r="AP192" s="1978"/>
      <c r="AQ192" s="1978"/>
      <c r="AR192" s="1978"/>
      <c r="AS192" s="1979"/>
      <c r="AT192" s="1979"/>
      <c r="AU192" s="1979"/>
      <c r="AV192" s="1979"/>
      <c r="AW192" s="1979"/>
      <c r="AX192" s="1979"/>
      <c r="AY192" s="1979"/>
      <c r="AZ192" s="1979"/>
      <c r="BA192" s="1979"/>
      <c r="BB192" s="1979"/>
      <c r="BC192" s="1979"/>
      <c r="BD192" s="1979"/>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58" t="s">
        <v>2255</v>
      </c>
      <c r="D194" s="1959"/>
      <c r="E194" s="1959"/>
      <c r="F194" s="1959"/>
      <c r="G194" s="1959"/>
      <c r="H194" s="1959"/>
      <c r="I194" s="1959"/>
      <c r="J194" s="1959"/>
      <c r="K194" s="1959"/>
      <c r="L194" s="1959"/>
      <c r="M194" s="1959"/>
      <c r="N194" s="1959"/>
      <c r="O194" s="1959"/>
      <c r="P194" s="1959"/>
      <c r="Q194" s="1959"/>
      <c r="R194" s="1959"/>
      <c r="S194" s="1959"/>
      <c r="T194" s="1959"/>
      <c r="U194" s="1959"/>
      <c r="V194" s="1959"/>
      <c r="W194" s="1959"/>
      <c r="X194" s="1959"/>
      <c r="Y194" s="1959"/>
      <c r="Z194" s="1959"/>
      <c r="AA194" s="1959"/>
      <c r="AB194" s="1959"/>
      <c r="AC194" s="1959"/>
      <c r="AD194" s="1959"/>
      <c r="AE194" s="1960"/>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61" t="s">
        <v>2254</v>
      </c>
      <c r="D195" s="1961"/>
      <c r="E195" s="1961"/>
      <c r="F195" s="1961"/>
      <c r="G195" s="1961"/>
      <c r="H195" s="1961"/>
      <c r="I195" s="1961"/>
      <c r="J195" s="1961"/>
      <c r="K195" s="1961"/>
      <c r="L195" s="1961"/>
      <c r="M195" s="1961"/>
      <c r="N195" s="1961"/>
      <c r="O195" s="1962" t="s">
        <v>2253</v>
      </c>
      <c r="P195" s="1962"/>
      <c r="Q195" s="1962"/>
      <c r="R195" s="1962"/>
      <c r="S195" s="1962"/>
      <c r="T195" s="1962"/>
      <c r="U195" s="1962"/>
      <c r="V195" s="1962"/>
      <c r="W195" s="1962"/>
      <c r="X195" s="1962" t="s">
        <v>2252</v>
      </c>
      <c r="Y195" s="1962"/>
      <c r="Z195" s="1962"/>
      <c r="AA195" s="1962"/>
      <c r="AB195" s="1962"/>
      <c r="AC195" s="1962"/>
      <c r="AD195" s="1962"/>
      <c r="AE195" s="1962"/>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3" t="s">
        <v>2251</v>
      </c>
      <c r="D196" s="1953"/>
      <c r="E196" s="1953"/>
      <c r="F196" s="1953"/>
      <c r="G196" s="1953"/>
      <c r="H196" s="1953"/>
      <c r="I196" s="1953"/>
      <c r="J196" s="1953"/>
      <c r="K196" s="1953"/>
      <c r="L196" s="1953"/>
      <c r="M196" s="1953"/>
      <c r="N196" s="1953"/>
      <c r="O196" s="1954" t="s">
        <v>2250</v>
      </c>
      <c r="P196" s="1954"/>
      <c r="Q196" s="1954"/>
      <c r="R196" s="1954"/>
      <c r="S196" s="1954"/>
      <c r="T196" s="1954"/>
      <c r="U196" s="1954"/>
      <c r="V196" s="1954"/>
      <c r="W196" s="1954"/>
      <c r="X196" s="1955">
        <v>0.03</v>
      </c>
      <c r="Y196" s="1955"/>
      <c r="Z196" s="1955"/>
      <c r="AA196" s="1955"/>
      <c r="AB196" s="1955"/>
      <c r="AC196" s="1955"/>
      <c r="AD196" s="1955"/>
      <c r="AE196" s="1955"/>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3" t="s">
        <v>854</v>
      </c>
      <c r="D197" s="1953"/>
      <c r="E197" s="1953"/>
      <c r="F197" s="1953"/>
      <c r="G197" s="1953"/>
      <c r="H197" s="1953"/>
      <c r="I197" s="1953"/>
      <c r="J197" s="1953"/>
      <c r="K197" s="1953"/>
      <c r="L197" s="1953"/>
      <c r="M197" s="1953"/>
      <c r="N197" s="1953"/>
      <c r="O197" s="1954" t="s">
        <v>2250</v>
      </c>
      <c r="P197" s="1954"/>
      <c r="Q197" s="1954"/>
      <c r="R197" s="1954"/>
      <c r="S197" s="1954"/>
      <c r="T197" s="1954"/>
      <c r="U197" s="1954"/>
      <c r="V197" s="1954"/>
      <c r="W197" s="1954"/>
      <c r="X197" s="1955">
        <v>0.03</v>
      </c>
      <c r="Y197" s="1955"/>
      <c r="Z197" s="1955"/>
      <c r="AA197" s="1955"/>
      <c r="AB197" s="1955"/>
      <c r="AC197" s="1955"/>
      <c r="AD197" s="1955"/>
      <c r="AE197" s="1955"/>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3" t="s">
        <v>2249</v>
      </c>
      <c r="D198" s="1953"/>
      <c r="E198" s="1953"/>
      <c r="F198" s="1953"/>
      <c r="G198" s="1953"/>
      <c r="H198" s="1953"/>
      <c r="I198" s="1953"/>
      <c r="J198" s="1953"/>
      <c r="K198" s="1953"/>
      <c r="L198" s="1953"/>
      <c r="M198" s="1953"/>
      <c r="N198" s="1953"/>
      <c r="O198" s="1956">
        <f>SUM(O196:W197)</f>
        <v>0</v>
      </c>
      <c r="P198" s="1957"/>
      <c r="Q198" s="1957"/>
      <c r="R198" s="1957"/>
      <c r="S198" s="1957"/>
      <c r="T198" s="1957"/>
      <c r="U198" s="1957"/>
      <c r="V198" s="1957"/>
      <c r="W198" s="1957"/>
      <c r="X198" s="1957" t="s">
        <v>2248</v>
      </c>
      <c r="Y198" s="1957"/>
      <c r="Z198" s="1957"/>
      <c r="AA198" s="1957"/>
      <c r="AB198" s="1957"/>
      <c r="AC198" s="1957"/>
      <c r="AD198" s="1957"/>
      <c r="AE198" s="1957"/>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27" t="s">
        <v>2247</v>
      </c>
      <c r="D199" s="1927"/>
      <c r="E199" s="1927"/>
      <c r="F199" s="1927"/>
      <c r="G199" s="1927"/>
      <c r="H199" s="1927"/>
      <c r="I199" s="1927"/>
      <c r="J199" s="1927"/>
      <c r="K199" s="1927"/>
      <c r="L199" s="1927"/>
      <c r="M199" s="1927"/>
      <c r="N199" s="1927"/>
      <c r="O199" s="1927"/>
      <c r="P199" s="1927"/>
      <c r="Q199" s="1927"/>
      <c r="R199" s="1927"/>
      <c r="S199" s="1927"/>
      <c r="T199" s="1927"/>
      <c r="U199" s="1927"/>
      <c r="V199" s="1927"/>
      <c r="W199" s="1927"/>
      <c r="X199" s="1927"/>
      <c r="Y199" s="1927"/>
      <c r="Z199" s="1927"/>
      <c r="AA199" s="1927"/>
      <c r="AB199" s="1927"/>
      <c r="AC199" s="1927"/>
      <c r="AD199" s="1927"/>
      <c r="AE199" s="1927"/>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28" t="s">
        <v>2246</v>
      </c>
      <c r="D201" s="1929"/>
      <c r="E201" s="1929"/>
      <c r="F201" s="1929"/>
      <c r="G201" s="1929"/>
      <c r="H201" s="1929"/>
      <c r="I201" s="1929"/>
      <c r="J201" s="1929"/>
      <c r="K201" s="1929"/>
      <c r="L201" s="1929"/>
      <c r="M201" s="1929"/>
      <c r="N201" s="1929"/>
      <c r="O201" s="1929"/>
      <c r="P201" s="1929"/>
      <c r="Q201" s="1929"/>
      <c r="R201" s="1929"/>
      <c r="S201" s="1929"/>
      <c r="T201" s="1929"/>
      <c r="U201" s="1929"/>
      <c r="V201" s="1929"/>
      <c r="W201" s="1929"/>
      <c r="X201" s="1929"/>
      <c r="Y201" s="1929"/>
      <c r="Z201" s="1929"/>
      <c r="AA201" s="1929"/>
      <c r="AB201" s="1929"/>
      <c r="AC201" s="1929"/>
      <c r="AD201" s="1929"/>
      <c r="AE201" s="1929"/>
      <c r="AF201" s="1929"/>
      <c r="AG201" s="1929"/>
      <c r="AH201" s="1929"/>
      <c r="AI201" s="1929"/>
      <c r="AJ201" s="1929"/>
      <c r="AK201" s="1930"/>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31" t="s">
        <v>2245</v>
      </c>
      <c r="D202" s="1932"/>
      <c r="E202" s="1932"/>
      <c r="F202" s="1933"/>
      <c r="G202" s="1937" t="s">
        <v>2244</v>
      </c>
      <c r="H202" s="1932"/>
      <c r="I202" s="1932"/>
      <c r="J202" s="1932"/>
      <c r="K202" s="1932"/>
      <c r="L202" s="1932"/>
      <c r="M202" s="1932"/>
      <c r="N202" s="1932"/>
      <c r="O202" s="1933"/>
      <c r="P202" s="1939" t="s">
        <v>2243</v>
      </c>
      <c r="Q202" s="1940"/>
      <c r="R202" s="1940"/>
      <c r="S202" s="1940"/>
      <c r="T202" s="1941"/>
      <c r="U202" s="1945" t="s">
        <v>2242</v>
      </c>
      <c r="V202" s="1946"/>
      <c r="W202" s="1946"/>
      <c r="X202" s="1947"/>
      <c r="Y202" s="1945" t="s">
        <v>2241</v>
      </c>
      <c r="Z202" s="1946"/>
      <c r="AA202" s="1946"/>
      <c r="AB202" s="1947"/>
      <c r="AC202" s="1945" t="s">
        <v>2240</v>
      </c>
      <c r="AD202" s="1946"/>
      <c r="AE202" s="1946"/>
      <c r="AF202" s="1947"/>
      <c r="AG202" s="1937" t="s">
        <v>2239</v>
      </c>
      <c r="AH202" s="1932"/>
      <c r="AI202" s="1932"/>
      <c r="AJ202" s="1932"/>
      <c r="AK202" s="1951"/>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4"/>
      <c r="D203" s="1935"/>
      <c r="E203" s="1935"/>
      <c r="F203" s="1936"/>
      <c r="G203" s="1938"/>
      <c r="H203" s="1935"/>
      <c r="I203" s="1935"/>
      <c r="J203" s="1935"/>
      <c r="K203" s="1935"/>
      <c r="L203" s="1935"/>
      <c r="M203" s="1935"/>
      <c r="N203" s="1935"/>
      <c r="O203" s="1936"/>
      <c r="P203" s="1942"/>
      <c r="Q203" s="1943"/>
      <c r="R203" s="1943"/>
      <c r="S203" s="1943"/>
      <c r="T203" s="1944"/>
      <c r="U203" s="1948"/>
      <c r="V203" s="1949"/>
      <c r="W203" s="1949"/>
      <c r="X203" s="1950"/>
      <c r="Y203" s="1948"/>
      <c r="Z203" s="1949"/>
      <c r="AA203" s="1949"/>
      <c r="AB203" s="1950"/>
      <c r="AC203" s="1948"/>
      <c r="AD203" s="1949"/>
      <c r="AE203" s="1949"/>
      <c r="AF203" s="1950"/>
      <c r="AG203" s="1938"/>
      <c r="AH203" s="1935"/>
      <c r="AI203" s="1935"/>
      <c r="AJ203" s="1935"/>
      <c r="AK203" s="1952"/>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20">
        <v>1</v>
      </c>
      <c r="D204" s="1921"/>
      <c r="E204" s="1921"/>
      <c r="F204" s="1921"/>
      <c r="G204" s="1922" t="s">
        <v>1859</v>
      </c>
      <c r="H204" s="1922"/>
      <c r="I204" s="1922"/>
      <c r="J204" s="1922"/>
      <c r="K204" s="1922"/>
      <c r="L204" s="1922"/>
      <c r="M204" s="1922"/>
      <c r="N204" s="1922"/>
      <c r="O204" s="1922"/>
      <c r="P204" s="1923"/>
      <c r="Q204" s="1926"/>
      <c r="R204" s="1926"/>
      <c r="S204" s="1926"/>
      <c r="T204" s="1926"/>
      <c r="U204" s="1924" t="s">
        <v>1859</v>
      </c>
      <c r="V204" s="1924"/>
      <c r="W204" s="1924"/>
      <c r="X204" s="1924"/>
      <c r="Y204" s="1924" t="s">
        <v>1859</v>
      </c>
      <c r="Z204" s="1924"/>
      <c r="AA204" s="1924"/>
      <c r="AB204" s="1924"/>
      <c r="AC204" s="1925" t="s">
        <v>1859</v>
      </c>
      <c r="AD204" s="1925"/>
      <c r="AE204" s="1925"/>
      <c r="AF204" s="1925"/>
      <c r="AG204" s="1909"/>
      <c r="AH204" s="1910"/>
      <c r="AI204" s="1910"/>
      <c r="AJ204" s="1910"/>
      <c r="AK204" s="1911"/>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20">
        <v>2</v>
      </c>
      <c r="D205" s="1921"/>
      <c r="E205" s="1921"/>
      <c r="F205" s="1921"/>
      <c r="G205" s="1922" t="s">
        <v>1859</v>
      </c>
      <c r="H205" s="1922"/>
      <c r="I205" s="1922"/>
      <c r="J205" s="1922"/>
      <c r="K205" s="1922"/>
      <c r="L205" s="1922"/>
      <c r="M205" s="1922"/>
      <c r="N205" s="1922"/>
      <c r="O205" s="1922"/>
      <c r="P205" s="1923"/>
      <c r="Q205" s="1923"/>
      <c r="R205" s="1923"/>
      <c r="S205" s="1923"/>
      <c r="T205" s="1923"/>
      <c r="U205" s="1924" t="s">
        <v>1859</v>
      </c>
      <c r="V205" s="1924"/>
      <c r="W205" s="1924"/>
      <c r="X205" s="1924"/>
      <c r="Y205" s="1924" t="s">
        <v>1859</v>
      </c>
      <c r="Z205" s="1924"/>
      <c r="AA205" s="1924"/>
      <c r="AB205" s="1924"/>
      <c r="AC205" s="1925" t="s">
        <v>1859</v>
      </c>
      <c r="AD205" s="1925"/>
      <c r="AE205" s="1925"/>
      <c r="AF205" s="1925"/>
      <c r="AG205" s="1909"/>
      <c r="AH205" s="1910"/>
      <c r="AI205" s="1910"/>
      <c r="AJ205" s="1910"/>
      <c r="AK205" s="1911"/>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20">
        <v>3</v>
      </c>
      <c r="D206" s="1921"/>
      <c r="E206" s="1921"/>
      <c r="F206" s="1921"/>
      <c r="G206" s="1922" t="s">
        <v>1859</v>
      </c>
      <c r="H206" s="1922"/>
      <c r="I206" s="1922"/>
      <c r="J206" s="1922"/>
      <c r="K206" s="1922"/>
      <c r="L206" s="1922"/>
      <c r="M206" s="1922"/>
      <c r="N206" s="1922"/>
      <c r="O206" s="1922"/>
      <c r="P206" s="1923"/>
      <c r="Q206" s="1923"/>
      <c r="R206" s="1923"/>
      <c r="S206" s="1923"/>
      <c r="T206" s="1923"/>
      <c r="U206" s="1924" t="s">
        <v>1859</v>
      </c>
      <c r="V206" s="1924"/>
      <c r="W206" s="1924"/>
      <c r="X206" s="1924"/>
      <c r="Y206" s="1924" t="s">
        <v>1859</v>
      </c>
      <c r="Z206" s="1924"/>
      <c r="AA206" s="1924"/>
      <c r="AB206" s="1924"/>
      <c r="AC206" s="1925" t="s">
        <v>1859</v>
      </c>
      <c r="AD206" s="1925"/>
      <c r="AE206" s="1925"/>
      <c r="AF206" s="1925"/>
      <c r="AG206" s="1909"/>
      <c r="AH206" s="1910"/>
      <c r="AI206" s="1910"/>
      <c r="AJ206" s="1910"/>
      <c r="AK206" s="1911"/>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20">
        <v>4</v>
      </c>
      <c r="D207" s="1921"/>
      <c r="E207" s="1921"/>
      <c r="F207" s="1921"/>
      <c r="G207" s="1922" t="s">
        <v>1859</v>
      </c>
      <c r="H207" s="1922"/>
      <c r="I207" s="1922"/>
      <c r="J207" s="1922"/>
      <c r="K207" s="1922"/>
      <c r="L207" s="1922"/>
      <c r="M207" s="1922"/>
      <c r="N207" s="1922"/>
      <c r="O207" s="1922"/>
      <c r="P207" s="1923"/>
      <c r="Q207" s="1923"/>
      <c r="R207" s="1923"/>
      <c r="S207" s="1923"/>
      <c r="T207" s="1923"/>
      <c r="U207" s="1924" t="s">
        <v>1859</v>
      </c>
      <c r="V207" s="1924"/>
      <c r="W207" s="1924"/>
      <c r="X207" s="1924"/>
      <c r="Y207" s="1924" t="s">
        <v>1859</v>
      </c>
      <c r="Z207" s="1924"/>
      <c r="AA207" s="1924"/>
      <c r="AB207" s="1924"/>
      <c r="AC207" s="1925" t="s">
        <v>1859</v>
      </c>
      <c r="AD207" s="1925"/>
      <c r="AE207" s="1925"/>
      <c r="AF207" s="1925"/>
      <c r="AG207" s="1909"/>
      <c r="AH207" s="1910"/>
      <c r="AI207" s="1910"/>
      <c r="AJ207" s="1910"/>
      <c r="AK207" s="1911"/>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20">
        <v>5</v>
      </c>
      <c r="D208" s="1921"/>
      <c r="E208" s="1921"/>
      <c r="F208" s="1921"/>
      <c r="G208" s="1922" t="s">
        <v>1859</v>
      </c>
      <c r="H208" s="1922"/>
      <c r="I208" s="1922"/>
      <c r="J208" s="1922"/>
      <c r="K208" s="1922"/>
      <c r="L208" s="1922"/>
      <c r="M208" s="1922"/>
      <c r="N208" s="1922"/>
      <c r="O208" s="1922"/>
      <c r="P208" s="1923"/>
      <c r="Q208" s="1923"/>
      <c r="R208" s="1923"/>
      <c r="S208" s="1923"/>
      <c r="T208" s="1923"/>
      <c r="U208" s="1924" t="s">
        <v>1859</v>
      </c>
      <c r="V208" s="1924"/>
      <c r="W208" s="1924"/>
      <c r="X208" s="1924"/>
      <c r="Y208" s="1924" t="s">
        <v>1859</v>
      </c>
      <c r="Z208" s="1924"/>
      <c r="AA208" s="1924"/>
      <c r="AB208" s="1924"/>
      <c r="AC208" s="1925" t="s">
        <v>1859</v>
      </c>
      <c r="AD208" s="1925"/>
      <c r="AE208" s="1925"/>
      <c r="AF208" s="1925"/>
      <c r="AG208" s="1909"/>
      <c r="AH208" s="1910"/>
      <c r="AI208" s="1910"/>
      <c r="AJ208" s="1910"/>
      <c r="AK208" s="1911"/>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20">
        <v>6</v>
      </c>
      <c r="D209" s="1921"/>
      <c r="E209" s="1921"/>
      <c r="F209" s="1921"/>
      <c r="G209" s="1922" t="s">
        <v>1859</v>
      </c>
      <c r="H209" s="1922"/>
      <c r="I209" s="1922"/>
      <c r="J209" s="1922"/>
      <c r="K209" s="1922"/>
      <c r="L209" s="1922"/>
      <c r="M209" s="1922"/>
      <c r="N209" s="1922"/>
      <c r="O209" s="1922"/>
      <c r="P209" s="1923"/>
      <c r="Q209" s="1923"/>
      <c r="R209" s="1923"/>
      <c r="S209" s="1923"/>
      <c r="T209" s="1923"/>
      <c r="U209" s="1924"/>
      <c r="V209" s="1924"/>
      <c r="W209" s="1924"/>
      <c r="X209" s="1924"/>
      <c r="Y209" s="1924"/>
      <c r="Z209" s="1924"/>
      <c r="AA209" s="1924"/>
      <c r="AB209" s="1924"/>
      <c r="AC209" s="1925" t="s">
        <v>1859</v>
      </c>
      <c r="AD209" s="1925"/>
      <c r="AE209" s="1925"/>
      <c r="AF209" s="1925"/>
      <c r="AG209" s="1909"/>
      <c r="AH209" s="1910"/>
      <c r="AI209" s="1910"/>
      <c r="AJ209" s="1910"/>
      <c r="AK209" s="1911"/>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20">
        <v>7</v>
      </c>
      <c r="D210" s="1921"/>
      <c r="E210" s="1921"/>
      <c r="F210" s="1921"/>
      <c r="G210" s="1922"/>
      <c r="H210" s="1922"/>
      <c r="I210" s="1922"/>
      <c r="J210" s="1922"/>
      <c r="K210" s="1922"/>
      <c r="L210" s="1922"/>
      <c r="M210" s="1922"/>
      <c r="N210" s="1922"/>
      <c r="O210" s="1922"/>
      <c r="P210" s="1923"/>
      <c r="Q210" s="1923"/>
      <c r="R210" s="1923"/>
      <c r="S210" s="1923"/>
      <c r="T210" s="1923"/>
      <c r="U210" s="1924"/>
      <c r="V210" s="1924"/>
      <c r="W210" s="1924"/>
      <c r="X210" s="1924"/>
      <c r="Y210" s="1924"/>
      <c r="Z210" s="1924"/>
      <c r="AA210" s="1924"/>
      <c r="AB210" s="1924"/>
      <c r="AC210" s="1925" t="s">
        <v>1859</v>
      </c>
      <c r="AD210" s="1925"/>
      <c r="AE210" s="1925"/>
      <c r="AF210" s="1925"/>
      <c r="AG210" s="1909"/>
      <c r="AH210" s="1910"/>
      <c r="AI210" s="1910"/>
      <c r="AJ210" s="1910"/>
      <c r="AK210" s="1911"/>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2" t="s">
        <v>2238</v>
      </c>
      <c r="D211" s="1913"/>
      <c r="E211" s="1913"/>
      <c r="F211" s="1913"/>
      <c r="G211" s="1913"/>
      <c r="H211" s="1913"/>
      <c r="I211" s="1913"/>
      <c r="J211" s="1913"/>
      <c r="K211" s="1913"/>
      <c r="L211" s="1913"/>
      <c r="M211" s="1913"/>
      <c r="N211" s="1913"/>
      <c r="O211" s="1913"/>
      <c r="P211" s="1914"/>
      <c r="Q211" s="1914"/>
      <c r="R211" s="1914"/>
      <c r="S211" s="1914"/>
      <c r="T211" s="1914"/>
      <c r="U211" s="1915">
        <f>-SUM(U204:U210)</f>
        <v>0</v>
      </c>
      <c r="V211" s="1915"/>
      <c r="W211" s="1915"/>
      <c r="X211" s="1915"/>
      <c r="Y211" s="1915">
        <f>-SUM(Y204:Y210)</f>
        <v>0</v>
      </c>
      <c r="Z211" s="1915"/>
      <c r="AA211" s="1915"/>
      <c r="AB211" s="1915"/>
      <c r="AC211" s="1916">
        <f>-SUM(AC204:AC210)</f>
        <v>0</v>
      </c>
      <c r="AD211" s="1916"/>
      <c r="AE211" s="1916"/>
      <c r="AF211" s="1916"/>
      <c r="AG211" s="1917"/>
      <c r="AH211" s="1918"/>
      <c r="AI211" s="1918"/>
      <c r="AJ211" s="1918"/>
      <c r="AK211" s="1919"/>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2237</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6" t="s">
        <v>2236</v>
      </c>
      <c r="C216" s="1897"/>
      <c r="D216" s="1897"/>
      <c r="E216" s="1897"/>
      <c r="F216" s="1897"/>
      <c r="G216" s="1897"/>
      <c r="H216" s="1897"/>
      <c r="I216" s="1897"/>
      <c r="J216" s="1897"/>
      <c r="K216" s="1897"/>
      <c r="L216" s="1897"/>
      <c r="M216" s="1897"/>
      <c r="N216" s="1897"/>
      <c r="O216" s="1897"/>
      <c r="P216" s="1897"/>
      <c r="Q216" s="1897"/>
      <c r="R216" s="1897"/>
      <c r="S216" s="1897"/>
      <c r="T216" s="1897"/>
      <c r="U216" s="1897"/>
      <c r="V216" s="1897"/>
      <c r="W216" s="1897"/>
      <c r="X216" s="1897"/>
      <c r="Y216" s="1897"/>
      <c r="Z216" s="1897"/>
      <c r="AA216" s="1897"/>
      <c r="AB216" s="1897"/>
      <c r="AC216" s="1897"/>
      <c r="AD216" s="1897"/>
      <c r="AE216" s="1897"/>
      <c r="AF216" s="1897"/>
      <c r="AG216" s="1897"/>
      <c r="AH216" s="1897"/>
      <c r="AI216" s="1897"/>
      <c r="AJ216" s="1897"/>
      <c r="AK216" s="1897"/>
      <c r="AL216" s="1897"/>
      <c r="AM216" s="1897"/>
      <c r="AN216" s="1897"/>
      <c r="AO216" s="1897"/>
      <c r="AP216" s="1897"/>
      <c r="AQ216" s="1897"/>
      <c r="AR216" s="1897"/>
      <c r="AS216" s="1897"/>
      <c r="AT216" s="1897"/>
      <c r="AU216" s="1897"/>
      <c r="AV216" s="1897"/>
      <c r="AW216" s="1897"/>
      <c r="AX216" s="1897"/>
      <c r="AY216" s="1897"/>
      <c r="AZ216" s="1897"/>
      <c r="BA216" s="1897"/>
      <c r="BB216" s="1897"/>
      <c r="BC216" s="1897"/>
      <c r="BD216" s="1898"/>
      <c r="BE216" s="1215"/>
    </row>
    <row r="217" spans="1:57" ht="15.75" customHeight="1">
      <c r="A217" s="1208"/>
      <c r="B217" s="1899"/>
      <c r="C217" s="1900"/>
      <c r="D217" s="1900"/>
      <c r="E217" s="1900"/>
      <c r="F217" s="1900"/>
      <c r="G217" s="1900"/>
      <c r="H217" s="1900"/>
      <c r="I217" s="1900"/>
      <c r="J217" s="1900"/>
      <c r="K217" s="1900"/>
      <c r="L217" s="1900"/>
      <c r="M217" s="1900"/>
      <c r="N217" s="1900"/>
      <c r="O217" s="1900"/>
      <c r="P217" s="1900"/>
      <c r="Q217" s="1900"/>
      <c r="R217" s="1900"/>
      <c r="S217" s="1900"/>
      <c r="T217" s="1900"/>
      <c r="U217" s="1900"/>
      <c r="V217" s="1900"/>
      <c r="W217" s="1900"/>
      <c r="X217" s="1900"/>
      <c r="Y217" s="1900"/>
      <c r="Z217" s="1900"/>
      <c r="AA217" s="1900"/>
      <c r="AB217" s="1900"/>
      <c r="AC217" s="1900"/>
      <c r="AD217" s="1900"/>
      <c r="AE217" s="1900"/>
      <c r="AF217" s="1900"/>
      <c r="AG217" s="1900"/>
      <c r="AH217" s="1900"/>
      <c r="AI217" s="1900"/>
      <c r="AJ217" s="1900"/>
      <c r="AK217" s="1900"/>
      <c r="AL217" s="1900"/>
      <c r="AM217" s="1900"/>
      <c r="AN217" s="1900"/>
      <c r="AO217" s="1900"/>
      <c r="AP217" s="1900"/>
      <c r="AQ217" s="1900"/>
      <c r="AR217" s="1900"/>
      <c r="AS217" s="1900"/>
      <c r="AT217" s="1900"/>
      <c r="AU217" s="1900"/>
      <c r="AV217" s="1900"/>
      <c r="AW217" s="1900"/>
      <c r="AX217" s="1900"/>
      <c r="AY217" s="1900"/>
      <c r="AZ217" s="1900"/>
      <c r="BA217" s="1900"/>
      <c r="BB217" s="1900"/>
      <c r="BC217" s="1900"/>
      <c r="BD217" s="1901"/>
      <c r="BE217" s="1215"/>
    </row>
    <row r="218" spans="1:57" ht="15.75" customHeight="1">
      <c r="A218" s="1208"/>
      <c r="B218" s="1902" t="s">
        <v>2235</v>
      </c>
      <c r="C218" s="1903"/>
      <c r="D218" s="1903"/>
      <c r="E218" s="1903"/>
      <c r="F218" s="1903"/>
      <c r="G218" s="1903"/>
      <c r="H218" s="1903"/>
      <c r="I218" s="1903"/>
      <c r="J218" s="1903"/>
      <c r="K218" s="1903"/>
      <c r="L218" s="1903"/>
      <c r="M218" s="1903"/>
      <c r="N218" s="1903"/>
      <c r="O218" s="1903"/>
      <c r="P218" s="1903"/>
      <c r="Q218" s="1903"/>
      <c r="R218" s="1903"/>
      <c r="S218" s="1903"/>
      <c r="T218" s="1903"/>
      <c r="U218" s="1903"/>
      <c r="V218" s="1903"/>
      <c r="W218" s="1903"/>
      <c r="X218" s="1903"/>
      <c r="Y218" s="1903"/>
      <c r="Z218" s="1903"/>
      <c r="AA218" s="1903"/>
      <c r="AB218" s="1903"/>
      <c r="AC218" s="1903"/>
      <c r="AD218" s="1903"/>
      <c r="AE218" s="1903"/>
      <c r="AF218" s="1903"/>
      <c r="AG218" s="1903"/>
      <c r="AH218" s="1903"/>
      <c r="AI218" s="1903"/>
      <c r="AJ218" s="1903"/>
      <c r="AK218" s="1903"/>
      <c r="AL218" s="1903"/>
      <c r="AM218" s="1903"/>
      <c r="AN218" s="1903"/>
      <c r="AO218" s="1903"/>
      <c r="AP218" s="1903"/>
      <c r="AQ218" s="1903"/>
      <c r="AR218" s="1903"/>
      <c r="AS218" s="1903"/>
      <c r="AT218" s="1903"/>
      <c r="AU218" s="1903"/>
      <c r="AV218" s="1903"/>
      <c r="AW218" s="1903"/>
      <c r="AX218" s="1903"/>
      <c r="AY218" s="1903"/>
      <c r="AZ218" s="1903"/>
      <c r="BA218" s="1903"/>
      <c r="BB218" s="1903"/>
      <c r="BC218" s="1903"/>
      <c r="BD218" s="1904"/>
      <c r="BE218" s="1215"/>
    </row>
    <row r="219" spans="1:57" ht="15.75" customHeight="1">
      <c r="A219" s="1208"/>
      <c r="B219" s="1902" t="s">
        <v>2234</v>
      </c>
      <c r="C219" s="1903"/>
      <c r="D219" s="1903"/>
      <c r="E219" s="1903"/>
      <c r="F219" s="1903"/>
      <c r="G219" s="1903"/>
      <c r="H219" s="1903"/>
      <c r="I219" s="1903"/>
      <c r="J219" s="1903"/>
      <c r="K219" s="1903"/>
      <c r="L219" s="1903"/>
      <c r="M219" s="1903"/>
      <c r="N219" s="1903"/>
      <c r="O219" s="1903"/>
      <c r="P219" s="1903"/>
      <c r="Q219" s="1903"/>
      <c r="R219" s="1903"/>
      <c r="S219" s="1903"/>
      <c r="T219" s="1903"/>
      <c r="U219" s="1903"/>
      <c r="V219" s="1903"/>
      <c r="W219" s="1903"/>
      <c r="X219" s="1903"/>
      <c r="Y219" s="1903"/>
      <c r="Z219" s="1903"/>
      <c r="AA219" s="1903"/>
      <c r="AB219" s="1903"/>
      <c r="AC219" s="1903"/>
      <c r="AD219" s="1903"/>
      <c r="AE219" s="1903"/>
      <c r="AF219" s="1903"/>
      <c r="AG219" s="1903"/>
      <c r="AH219" s="1903"/>
      <c r="AI219" s="1903"/>
      <c r="AJ219" s="1903"/>
      <c r="AK219" s="1903"/>
      <c r="AL219" s="1903"/>
      <c r="AM219" s="1903"/>
      <c r="AN219" s="1903"/>
      <c r="AO219" s="1903"/>
      <c r="AP219" s="1903"/>
      <c r="AQ219" s="1903"/>
      <c r="AR219" s="1903"/>
      <c r="AS219" s="1903"/>
      <c r="AT219" s="1903"/>
      <c r="AU219" s="1903"/>
      <c r="AV219" s="1903"/>
      <c r="AW219" s="1903"/>
      <c r="AX219" s="1903"/>
      <c r="AY219" s="1903"/>
      <c r="AZ219" s="1903"/>
      <c r="BA219" s="1903"/>
      <c r="BB219" s="1903"/>
      <c r="BC219" s="1903"/>
      <c r="BD219" s="1904"/>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5" t="s">
        <v>2233</v>
      </c>
      <c r="C221" s="1906"/>
      <c r="D221" s="1906"/>
      <c r="E221" s="1906"/>
      <c r="F221" s="1906"/>
      <c r="G221" s="1906"/>
      <c r="H221" s="1906"/>
      <c r="I221" s="1906"/>
      <c r="J221" s="1906"/>
      <c r="K221" s="1906"/>
      <c r="L221" s="1906"/>
      <c r="M221" s="1906"/>
      <c r="N221" s="1906"/>
      <c r="O221" s="1906"/>
      <c r="P221" s="1906"/>
      <c r="Q221" s="1906"/>
      <c r="R221" s="1906"/>
      <c r="S221" s="1906"/>
      <c r="T221" s="1906"/>
      <c r="U221" s="1906"/>
      <c r="V221" s="1906"/>
      <c r="W221" s="1906"/>
      <c r="X221" s="1906"/>
      <c r="Y221" s="1906"/>
      <c r="Z221" s="1906"/>
      <c r="AA221" s="1906"/>
      <c r="AB221" s="1906"/>
      <c r="AC221" s="1906"/>
      <c r="AD221" s="1906"/>
      <c r="AE221" s="1906"/>
      <c r="AF221" s="1906"/>
      <c r="AG221" s="1906"/>
      <c r="AH221" s="1906"/>
      <c r="AI221" s="1906"/>
      <c r="AJ221" s="1906"/>
      <c r="AK221" s="1906"/>
      <c r="AL221" s="1906"/>
      <c r="AM221" s="1906"/>
      <c r="AN221" s="1906"/>
      <c r="AO221" s="1906"/>
      <c r="AP221" s="1906"/>
      <c r="AQ221" s="1906"/>
      <c r="AR221" s="1906"/>
      <c r="AS221" s="1906"/>
      <c r="AT221" s="1906"/>
      <c r="AU221" s="1906"/>
      <c r="AV221" s="1906"/>
      <c r="AW221" s="1906"/>
      <c r="AX221" s="1906"/>
      <c r="AY221" s="1906"/>
      <c r="AZ221" s="1906"/>
      <c r="BA221" s="1906"/>
      <c r="BB221" s="1906"/>
      <c r="BC221" s="1906"/>
      <c r="BD221" s="1907"/>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2232</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08" t="s">
        <v>2231</v>
      </c>
      <c r="I225" s="1908"/>
      <c r="J225" s="1908"/>
      <c r="K225" s="1908"/>
      <c r="L225" s="1908"/>
      <c r="M225" s="1908"/>
      <c r="N225" s="1908"/>
      <c r="O225" s="1908"/>
      <c r="P225" s="1908"/>
      <c r="Q225" s="1908"/>
      <c r="R225" s="1908"/>
      <c r="S225" s="1908"/>
      <c r="T225" s="1908"/>
      <c r="U225" s="1908"/>
      <c r="V225" s="1908"/>
      <c r="W225" s="1908"/>
      <c r="X225" s="1908"/>
      <c r="Y225" s="1908"/>
      <c r="Z225" s="1908"/>
      <c r="AA225" s="1908"/>
      <c r="AB225" s="1908"/>
      <c r="AC225" s="1908"/>
      <c r="AD225" s="1908"/>
      <c r="AE225" s="1908"/>
      <c r="AF225" s="1908"/>
      <c r="AG225" s="1908"/>
      <c r="AH225" s="1908"/>
      <c r="AI225" s="1908"/>
      <c r="AJ225" s="1908"/>
      <c r="AK225" s="1908"/>
      <c r="AL225" s="1908"/>
      <c r="AM225" s="1908"/>
      <c r="AN225" s="1908"/>
      <c r="AO225" s="1908"/>
      <c r="AP225" s="1908"/>
      <c r="AQ225" s="1908"/>
      <c r="AR225" s="1908"/>
      <c r="AS225" s="1908"/>
      <c r="AT225" s="1908"/>
      <c r="AU225" s="1908"/>
      <c r="AV225" s="1908"/>
      <c r="AW225" s="1908"/>
      <c r="AX225" s="1908"/>
      <c r="AY225" s="1908"/>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91" t="s">
        <v>2230</v>
      </c>
      <c r="I227" s="1891"/>
      <c r="J227" s="1891"/>
      <c r="K227" s="1891"/>
      <c r="L227" s="1891"/>
      <c r="M227" s="1891"/>
      <c r="N227" s="1891"/>
      <c r="O227" s="1891"/>
      <c r="P227" s="1891"/>
      <c r="Q227" s="1891"/>
      <c r="R227" s="1891"/>
      <c r="S227" s="1891"/>
      <c r="T227" s="1891"/>
      <c r="U227" s="1891"/>
      <c r="V227" s="1891"/>
      <c r="W227" s="1891"/>
      <c r="X227" s="1891"/>
      <c r="Y227" s="1891"/>
      <c r="Z227" s="1891"/>
      <c r="AA227" s="1891"/>
      <c r="AB227" s="1891"/>
      <c r="AC227" s="1891"/>
      <c r="AD227" s="1891"/>
      <c r="AE227" s="1891"/>
      <c r="AF227" s="1891"/>
      <c r="AG227" s="1891"/>
      <c r="AH227" s="1891"/>
      <c r="AI227" s="1891"/>
      <c r="AJ227" s="1891"/>
      <c r="AK227" s="1891"/>
      <c r="AL227" s="1891"/>
      <c r="AM227" s="1891"/>
      <c r="AN227" s="1891"/>
      <c r="AO227" s="1891"/>
      <c r="AP227" s="1891"/>
      <c r="AQ227" s="1891"/>
      <c r="AR227" s="1891"/>
      <c r="AS227" s="1891"/>
      <c r="AT227" s="1891"/>
      <c r="AU227" s="1891"/>
      <c r="AV227" s="1891"/>
      <c r="AW227" s="1891"/>
      <c r="AX227" s="1891"/>
      <c r="AY227" s="1891"/>
      <c r="AZ227" s="1891"/>
      <c r="BA227" s="1208"/>
      <c r="BB227" s="1208"/>
      <c r="BC227" s="1208"/>
      <c r="BD227" s="1215"/>
      <c r="BE227" s="1215"/>
    </row>
    <row r="228" spans="1:57" ht="15.75" customHeight="1">
      <c r="A228" s="1208"/>
      <c r="B228" s="1207"/>
      <c r="C228" s="1208"/>
      <c r="D228" s="1208"/>
      <c r="E228" s="1208"/>
      <c r="F228" s="1208"/>
      <c r="G228" s="1208"/>
      <c r="H228" s="1891"/>
      <c r="I228" s="1891"/>
      <c r="J228" s="1891"/>
      <c r="K228" s="1891"/>
      <c r="L228" s="1891"/>
      <c r="M228" s="1891"/>
      <c r="N228" s="1891"/>
      <c r="O228" s="1891"/>
      <c r="P228" s="1891"/>
      <c r="Q228" s="1891"/>
      <c r="R228" s="1891"/>
      <c r="S228" s="1891"/>
      <c r="T228" s="1891"/>
      <c r="U228" s="1891"/>
      <c r="V228" s="1891"/>
      <c r="W228" s="1891"/>
      <c r="X228" s="1891"/>
      <c r="Y228" s="1891"/>
      <c r="Z228" s="1891"/>
      <c r="AA228" s="1891"/>
      <c r="AB228" s="1891"/>
      <c r="AC228" s="1891"/>
      <c r="AD228" s="1891"/>
      <c r="AE228" s="1891"/>
      <c r="AF228" s="1891"/>
      <c r="AG228" s="1891"/>
      <c r="AH228" s="1891"/>
      <c r="AI228" s="1891"/>
      <c r="AJ228" s="1891"/>
      <c r="AK228" s="1891"/>
      <c r="AL228" s="1891"/>
      <c r="AM228" s="1891"/>
      <c r="AN228" s="1891"/>
      <c r="AO228" s="1891"/>
      <c r="AP228" s="1891"/>
      <c r="AQ228" s="1891"/>
      <c r="AR228" s="1891"/>
      <c r="AS228" s="1891"/>
      <c r="AT228" s="1891"/>
      <c r="AU228" s="1891"/>
      <c r="AV228" s="1891"/>
      <c r="AW228" s="1891"/>
      <c r="AX228" s="1891"/>
      <c r="AY228" s="1891"/>
      <c r="AZ228" s="1891"/>
      <c r="BA228" s="1208"/>
      <c r="BB228" s="1208"/>
      <c r="BC228" s="1208"/>
      <c r="BD228" s="1215"/>
      <c r="BE228" s="1215"/>
    </row>
    <row r="229" spans="1:57" ht="15.75" customHeight="1">
      <c r="A229" s="1208"/>
      <c r="B229" s="1207"/>
      <c r="C229" s="1208"/>
      <c r="D229" s="1208"/>
      <c r="E229" s="1208"/>
      <c r="F229" s="1208"/>
      <c r="G229" s="1208"/>
      <c r="H229" s="1891"/>
      <c r="I229" s="1891"/>
      <c r="J229" s="1891"/>
      <c r="K229" s="1891"/>
      <c r="L229" s="1891"/>
      <c r="M229" s="1891"/>
      <c r="N229" s="1891"/>
      <c r="O229" s="1891"/>
      <c r="P229" s="1891"/>
      <c r="Q229" s="1891"/>
      <c r="R229" s="1891"/>
      <c r="S229" s="1891"/>
      <c r="T229" s="1891"/>
      <c r="U229" s="1891"/>
      <c r="V229" s="1891"/>
      <c r="W229" s="1891"/>
      <c r="X229" s="1891"/>
      <c r="Y229" s="1891"/>
      <c r="Z229" s="1891"/>
      <c r="AA229" s="1891"/>
      <c r="AB229" s="1891"/>
      <c r="AC229" s="1891"/>
      <c r="AD229" s="1891"/>
      <c r="AE229" s="1891"/>
      <c r="AF229" s="1891"/>
      <c r="AG229" s="1891"/>
      <c r="AH229" s="1891"/>
      <c r="AI229" s="1891"/>
      <c r="AJ229" s="1891"/>
      <c r="AK229" s="1891"/>
      <c r="AL229" s="1891"/>
      <c r="AM229" s="1891"/>
      <c r="AN229" s="1891"/>
      <c r="AO229" s="1891"/>
      <c r="AP229" s="1891"/>
      <c r="AQ229" s="1891"/>
      <c r="AR229" s="1891"/>
      <c r="AS229" s="1891"/>
      <c r="AT229" s="1891"/>
      <c r="AU229" s="1891"/>
      <c r="AV229" s="1891"/>
      <c r="AW229" s="1891"/>
      <c r="AX229" s="1891"/>
      <c r="AY229" s="1891"/>
      <c r="AZ229" s="1891"/>
      <c r="BA229" s="1208"/>
      <c r="BB229" s="1208"/>
      <c r="BC229" s="1208"/>
      <c r="BD229" s="1215"/>
      <c r="BE229" s="1215"/>
    </row>
    <row r="230" spans="1:57" ht="15.75" customHeight="1">
      <c r="A230" s="1208"/>
      <c r="B230" s="1207"/>
      <c r="C230" s="1208"/>
      <c r="D230" s="1208"/>
      <c r="E230" s="1208"/>
      <c r="F230" s="1208"/>
      <c r="G230" s="1208"/>
      <c r="H230" s="1891"/>
      <c r="I230" s="1891"/>
      <c r="J230" s="1891"/>
      <c r="K230" s="1891"/>
      <c r="L230" s="1891"/>
      <c r="M230" s="1891"/>
      <c r="N230" s="1891"/>
      <c r="O230" s="1891"/>
      <c r="P230" s="1891"/>
      <c r="Q230" s="1891"/>
      <c r="R230" s="1891"/>
      <c r="S230" s="1891"/>
      <c r="T230" s="1891"/>
      <c r="U230" s="1891"/>
      <c r="V230" s="1891"/>
      <c r="W230" s="1891"/>
      <c r="X230" s="1891"/>
      <c r="Y230" s="1891"/>
      <c r="Z230" s="1891"/>
      <c r="AA230" s="1891"/>
      <c r="AB230" s="1891"/>
      <c r="AC230" s="1891"/>
      <c r="AD230" s="1891"/>
      <c r="AE230" s="1891"/>
      <c r="AF230" s="1891"/>
      <c r="AG230" s="1891"/>
      <c r="AH230" s="1891"/>
      <c r="AI230" s="1891"/>
      <c r="AJ230" s="1891"/>
      <c r="AK230" s="1891"/>
      <c r="AL230" s="1891"/>
      <c r="AM230" s="1891"/>
      <c r="AN230" s="1891"/>
      <c r="AO230" s="1891"/>
      <c r="AP230" s="1891"/>
      <c r="AQ230" s="1891"/>
      <c r="AR230" s="1891"/>
      <c r="AS230" s="1891"/>
      <c r="AT230" s="1891"/>
      <c r="AU230" s="1891"/>
      <c r="AV230" s="1891"/>
      <c r="AW230" s="1891"/>
      <c r="AX230" s="1891"/>
      <c r="AY230" s="1891"/>
      <c r="AZ230" s="1891"/>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2" t="s">
        <v>2229</v>
      </c>
      <c r="I232" s="1892"/>
      <c r="J232" s="1892"/>
      <c r="K232" s="1892"/>
      <c r="L232" s="1892"/>
      <c r="M232" s="1892"/>
      <c r="N232" s="1892"/>
      <c r="O232" s="1892"/>
      <c r="P232" s="1892"/>
      <c r="Q232" s="1892"/>
      <c r="R232" s="1892"/>
      <c r="S232" s="1892"/>
      <c r="T232" s="1892"/>
      <c r="U232" s="1892"/>
      <c r="V232" s="1892"/>
      <c r="W232" s="1892"/>
      <c r="X232" s="1892"/>
      <c r="Y232" s="1892"/>
      <c r="Z232" s="1892"/>
      <c r="AA232" s="1892"/>
      <c r="AB232" s="1892"/>
      <c r="AC232" s="1892"/>
      <c r="AD232" s="1892"/>
      <c r="AE232" s="1892"/>
      <c r="AF232" s="1892"/>
      <c r="AG232" s="1892"/>
      <c r="AH232" s="1892"/>
      <c r="AI232" s="1892"/>
      <c r="AJ232" s="1892"/>
      <c r="AK232" s="1892"/>
      <c r="AL232" s="1892"/>
      <c r="AM232" s="1892"/>
      <c r="AN232" s="1892"/>
      <c r="AO232" s="1892"/>
      <c r="AP232" s="1892"/>
      <c r="AQ232" s="1892"/>
      <c r="AR232" s="1892"/>
      <c r="AS232" s="1892"/>
      <c r="AT232" s="1892"/>
      <c r="AU232" s="1892"/>
      <c r="AV232" s="1892"/>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2" t="s">
        <v>2228</v>
      </c>
      <c r="I234" s="1882"/>
      <c r="J234" s="1882"/>
      <c r="K234" s="1882"/>
      <c r="L234" s="1259"/>
      <c r="M234" s="1259"/>
      <c r="N234" s="1259"/>
      <c r="O234" s="1259"/>
      <c r="P234" s="1259"/>
      <c r="Q234" s="1259"/>
      <c r="R234" s="1259"/>
      <c r="S234" s="1893"/>
      <c r="T234" s="1894"/>
      <c r="U234" s="1894"/>
      <c r="V234" s="1894"/>
      <c r="W234" s="1894"/>
      <c r="X234" s="1894"/>
      <c r="Y234" s="1894"/>
      <c r="Z234" s="1894"/>
      <c r="AA234" s="1894"/>
      <c r="AB234" s="1894"/>
      <c r="AC234" s="1894"/>
      <c r="AD234" s="1894"/>
      <c r="AE234" s="1894"/>
      <c r="AF234" s="1894"/>
      <c r="AG234" s="1894"/>
      <c r="AH234" s="1894"/>
      <c r="AI234" s="1894"/>
      <c r="AJ234" s="1895"/>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2" t="s">
        <v>2227</v>
      </c>
      <c r="I236" s="1882"/>
      <c r="J236" s="1882"/>
      <c r="K236" s="1261"/>
      <c r="L236" s="1259"/>
      <c r="M236" s="1259"/>
      <c r="N236" s="1259"/>
      <c r="O236" s="1259"/>
      <c r="P236" s="1259"/>
      <c r="Q236" s="1259"/>
      <c r="R236" s="1259"/>
      <c r="S236" s="1883"/>
      <c r="T236" s="1884"/>
      <c r="U236" s="1884"/>
      <c r="V236" s="1884"/>
      <c r="W236" s="1884"/>
      <c r="X236" s="1884"/>
      <c r="Y236" s="1884"/>
      <c r="Z236" s="1884"/>
      <c r="AA236" s="1884"/>
      <c r="AB236" s="1884"/>
      <c r="AC236" s="1884"/>
      <c r="AD236" s="1884"/>
      <c r="AE236" s="1884"/>
      <c r="AF236" s="1884"/>
      <c r="AG236" s="1884"/>
      <c r="AH236" s="1884"/>
      <c r="AI236" s="1884"/>
      <c r="AJ236" s="1885"/>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2" t="s">
        <v>441</v>
      </c>
      <c r="I238" s="1882"/>
      <c r="J238" s="1261"/>
      <c r="K238" s="1261"/>
      <c r="L238" s="1259"/>
      <c r="M238" s="1259"/>
      <c r="N238" s="1259"/>
      <c r="O238" s="1259"/>
      <c r="P238" s="1259"/>
      <c r="Q238" s="1259"/>
      <c r="R238" s="1259"/>
      <c r="S238" s="1883"/>
      <c r="T238" s="1884"/>
      <c r="U238" s="1884"/>
      <c r="V238" s="1884"/>
      <c r="W238" s="1884"/>
      <c r="X238" s="1884"/>
      <c r="Y238" s="1884"/>
      <c r="Z238" s="1884"/>
      <c r="AA238" s="1884"/>
      <c r="AB238" s="1884"/>
      <c r="AC238" s="1884"/>
      <c r="AD238" s="1884"/>
      <c r="AE238" s="1884"/>
      <c r="AF238" s="1884"/>
      <c r="AG238" s="1884"/>
      <c r="AH238" s="1884"/>
      <c r="AI238" s="1884"/>
      <c r="AJ238" s="1885"/>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6" t="s">
        <v>2226</v>
      </c>
      <c r="I240" s="1886"/>
      <c r="J240" s="1886"/>
      <c r="K240" s="1886"/>
      <c r="L240" s="1886"/>
      <c r="M240" s="1886"/>
      <c r="N240" s="1886"/>
      <c r="O240" s="1886"/>
      <c r="P240" s="1259"/>
      <c r="Q240" s="1259"/>
      <c r="R240" s="1259"/>
      <c r="S240" s="1883"/>
      <c r="T240" s="1884"/>
      <c r="U240" s="1884"/>
      <c r="V240" s="1884"/>
      <c r="W240" s="1884"/>
      <c r="X240" s="1884"/>
      <c r="Y240" s="1884"/>
      <c r="Z240" s="1884"/>
      <c r="AA240" s="1884"/>
      <c r="AB240" s="1884"/>
      <c r="AC240" s="1884"/>
      <c r="AD240" s="1884"/>
      <c r="AE240" s="1884"/>
      <c r="AF240" s="1884"/>
      <c r="AG240" s="1884"/>
      <c r="AH240" s="1884"/>
      <c r="AI240" s="1884"/>
      <c r="AJ240" s="1885"/>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87" t="s">
        <v>2225</v>
      </c>
      <c r="I242" s="1887"/>
      <c r="J242" s="1259"/>
      <c r="K242" s="1259"/>
      <c r="L242" s="1259"/>
      <c r="M242" s="1259"/>
      <c r="N242" s="1259"/>
      <c r="O242" s="1259"/>
      <c r="P242" s="1259"/>
      <c r="Q242" s="1259"/>
      <c r="R242" s="1259"/>
      <c r="S242" s="1888"/>
      <c r="T242" s="1889"/>
      <c r="U242" s="1889"/>
      <c r="V242" s="1889"/>
      <c r="W242" s="1889"/>
      <c r="X242" s="1889"/>
      <c r="Y242" s="1889"/>
      <c r="Z242" s="1889"/>
      <c r="AA242" s="1889"/>
      <c r="AB242" s="1889"/>
      <c r="AC242" s="1889"/>
      <c r="AD242" s="1889"/>
      <c r="AE242" s="1889"/>
      <c r="AF242" s="1889"/>
      <c r="AG242" s="1889"/>
      <c r="AH242" s="1889"/>
      <c r="AI242" s="1889"/>
      <c r="AJ242" s="1890"/>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1"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2" workbookViewId="0">
      <selection activeCell="AB49" sqref="AB49:AF49"/>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56" t="s">
        <v>1280</v>
      </c>
      <c r="B1" s="2356"/>
      <c r="C1" s="2356"/>
      <c r="D1" s="2356"/>
      <c r="E1" s="2356"/>
      <c r="F1" s="2356"/>
      <c r="G1" s="2356"/>
      <c r="H1" s="2356"/>
      <c r="I1" s="2356"/>
      <c r="J1" s="2356"/>
      <c r="K1" s="2356"/>
      <c r="L1" s="2356"/>
      <c r="M1" s="2356"/>
      <c r="N1" s="2356"/>
      <c r="O1" s="2356"/>
      <c r="P1" s="2356"/>
      <c r="Q1" s="2356"/>
      <c r="R1" s="2356"/>
      <c r="S1" s="2356"/>
      <c r="T1" s="2356"/>
      <c r="U1" s="2356"/>
      <c r="V1" s="2356"/>
      <c r="W1" s="2356"/>
      <c r="X1" s="2356"/>
      <c r="Y1" s="2356"/>
      <c r="Z1" s="2356"/>
      <c r="AA1" s="2356"/>
      <c r="AB1" s="2356"/>
      <c r="AC1" s="2356"/>
      <c r="AD1" s="2356"/>
      <c r="AE1" s="2356"/>
      <c r="AF1" s="2356"/>
      <c r="AG1" s="2356"/>
      <c r="AH1" s="2356"/>
      <c r="AI1" s="2356"/>
      <c r="AJ1" s="2356"/>
      <c r="AK1" s="2356"/>
      <c r="AL1" s="2356"/>
      <c r="AM1" s="2356"/>
      <c r="AN1" s="2356"/>
    </row>
    <row r="2" spans="1:40" ht="12.95" customHeight="1" thickBot="1">
      <c r="A2" s="2357"/>
      <c r="B2" s="2357"/>
      <c r="C2" s="2357"/>
      <c r="D2" s="2357"/>
      <c r="E2" s="2357"/>
      <c r="F2" s="2357"/>
      <c r="G2" s="2357"/>
      <c r="H2" s="2357"/>
      <c r="I2" s="2357"/>
      <c r="J2" s="2357"/>
      <c r="K2" s="2357"/>
      <c r="L2" s="2357"/>
      <c r="M2" s="2357"/>
      <c r="N2" s="2357"/>
      <c r="O2" s="2357"/>
      <c r="P2" s="2357"/>
      <c r="Q2" s="2357"/>
      <c r="R2" s="2357"/>
      <c r="S2" s="2357"/>
      <c r="T2" s="2357"/>
      <c r="U2" s="2357"/>
      <c r="V2" s="2357"/>
      <c r="W2" s="2357"/>
      <c r="X2" s="2357"/>
      <c r="Y2" s="2357"/>
      <c r="Z2" s="2357"/>
      <c r="AA2" s="2357"/>
      <c r="AB2" s="2357"/>
      <c r="AC2" s="2357"/>
      <c r="AD2" s="2357"/>
      <c r="AE2" s="2357"/>
      <c r="AF2" s="2357"/>
      <c r="AG2" s="2357"/>
      <c r="AH2" s="2357"/>
      <c r="AI2" s="2357"/>
      <c r="AJ2" s="2357"/>
      <c r="AK2" s="2357"/>
      <c r="AL2" s="2357"/>
      <c r="AM2" s="2357"/>
      <c r="AN2" s="2357"/>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58" t="str">
        <f xml:space="preserve"> IF(T25=100%,'Sources and Basis Breakdown'!G2,'Sources and Basis Breakdown'!F2)</f>
        <v>30% PVC for New Const/
Rehabilitation
DDA/QCT
Building(s)</v>
      </c>
      <c r="U7" s="2358"/>
      <c r="V7" s="2358"/>
      <c r="W7" s="2358"/>
      <c r="X7" s="2358"/>
      <c r="Y7" s="2358" t="str">
        <f>IF(T25=100%,"",'Sources and Basis Breakdown'!G2)</f>
        <v>30% PVC for New Const/
Rehabilitation
NON-DDA/
NON-QCT Building(s)</v>
      </c>
      <c r="Z7" s="2358"/>
      <c r="AA7" s="2358"/>
      <c r="AB7" s="2358"/>
      <c r="AC7" s="2358"/>
      <c r="AD7" s="2358" t="str">
        <f xml:space="preserve"> IF(T25=100%, 'Sources and Basis Breakdown'!J2,'Sources and Basis Breakdown'!I2)</f>
        <v>30% PVC for Acquisition
DDA/QCT Building(s)</v>
      </c>
      <c r="AE7" s="2358"/>
      <c r="AF7" s="2358"/>
      <c r="AG7" s="2358"/>
      <c r="AH7" s="2358"/>
      <c r="AI7" s="2358" t="str">
        <f>IF(T25=100%,"",'Sources and Basis Breakdown'!J2)</f>
        <v>30% PVC for Acquisition
NON-DDA/
NON-QCT Building(s)</v>
      </c>
      <c r="AJ7" s="2358"/>
      <c r="AK7" s="2358"/>
      <c r="AL7" s="2358"/>
      <c r="AM7" s="2358"/>
    </row>
    <row r="8" spans="1:40" ht="12.95" customHeight="1">
      <c r="B8" s="407"/>
      <c r="T8" s="2358"/>
      <c r="U8" s="2358"/>
      <c r="V8" s="2358"/>
      <c r="W8" s="2358"/>
      <c r="X8" s="2358"/>
      <c r="Y8" s="2358"/>
      <c r="Z8" s="2358"/>
      <c r="AA8" s="2358"/>
      <c r="AB8" s="2358"/>
      <c r="AC8" s="2358"/>
      <c r="AD8" s="2358"/>
      <c r="AE8" s="2358"/>
      <c r="AF8" s="2358"/>
      <c r="AG8" s="2358"/>
      <c r="AH8" s="2358"/>
      <c r="AI8" s="2358"/>
      <c r="AJ8" s="2358"/>
      <c r="AK8" s="2358"/>
      <c r="AL8" s="2358"/>
      <c r="AM8" s="2358"/>
    </row>
    <row r="9" spans="1:40" ht="12.95" customHeight="1">
      <c r="B9" s="407"/>
      <c r="T9" s="2358"/>
      <c r="U9" s="2358"/>
      <c r="V9" s="2358"/>
      <c r="W9" s="2358"/>
      <c r="X9" s="2358"/>
      <c r="Y9" s="2358"/>
      <c r="Z9" s="2358"/>
      <c r="AA9" s="2358"/>
      <c r="AB9" s="2358"/>
      <c r="AC9" s="2358"/>
      <c r="AD9" s="2358"/>
      <c r="AE9" s="2358"/>
      <c r="AF9" s="2358"/>
      <c r="AG9" s="2358"/>
      <c r="AH9" s="2358"/>
      <c r="AI9" s="2358"/>
      <c r="AJ9" s="2358"/>
      <c r="AK9" s="2358"/>
      <c r="AL9" s="2358"/>
      <c r="AM9" s="2358"/>
    </row>
    <row r="10" spans="1:40" ht="12.95" customHeight="1">
      <c r="B10" s="408"/>
      <c r="C10" s="409"/>
      <c r="D10" s="409"/>
      <c r="E10" s="409"/>
      <c r="F10" s="409"/>
      <c r="G10" s="409"/>
      <c r="H10" s="409"/>
      <c r="I10" s="409"/>
      <c r="J10" s="409"/>
      <c r="K10" s="409"/>
      <c r="L10" s="409"/>
      <c r="M10" s="409"/>
      <c r="N10" s="409"/>
      <c r="O10" s="409"/>
      <c r="P10" s="409"/>
      <c r="Q10" s="409"/>
      <c r="R10" s="409"/>
      <c r="S10" s="409"/>
      <c r="T10" s="2358"/>
      <c r="U10" s="2358"/>
      <c r="V10" s="2358"/>
      <c r="W10" s="2358"/>
      <c r="X10" s="2358"/>
      <c r="Y10" s="2358"/>
      <c r="Z10" s="2358"/>
      <c r="AA10" s="2358"/>
      <c r="AB10" s="2358"/>
      <c r="AC10" s="2358"/>
      <c r="AD10" s="2358"/>
      <c r="AE10" s="2358"/>
      <c r="AF10" s="2358"/>
      <c r="AG10" s="2358"/>
      <c r="AH10" s="2358"/>
      <c r="AI10" s="2358"/>
      <c r="AJ10" s="2358"/>
      <c r="AK10" s="2358"/>
      <c r="AL10" s="2358"/>
      <c r="AM10" s="2358"/>
    </row>
    <row r="11" spans="1:40" ht="12.95" customHeight="1">
      <c r="B11" s="2337" t="s">
        <v>375</v>
      </c>
      <c r="C11" s="2338"/>
      <c r="D11" s="2338"/>
      <c r="E11" s="2338"/>
      <c r="F11" s="2338"/>
      <c r="G11" s="2338"/>
      <c r="H11" s="2338"/>
      <c r="I11" s="2338"/>
      <c r="J11" s="2338"/>
      <c r="K11" s="2338"/>
      <c r="L11" s="2338"/>
      <c r="M11" s="2338"/>
      <c r="N11" s="2338"/>
      <c r="O11" s="2338"/>
      <c r="P11" s="2338"/>
      <c r="Q11" s="2338"/>
      <c r="R11" s="2338"/>
      <c r="S11" s="2339"/>
      <c r="T11" s="2359">
        <f>IF('Sources and Basis Breakdown'!F107=0,'Sources and Basis Breakdown'!E107,'Sources and Basis Breakdown'!F107)</f>
        <v>55153354</v>
      </c>
      <c r="U11" s="2360"/>
      <c r="V11" s="2360"/>
      <c r="W11" s="2360"/>
      <c r="X11" s="2360"/>
      <c r="Y11" s="2359">
        <f>IF(Y7="",0,IF('Sources and Basis Breakdown'!G107+'Sources and Basis Breakdown'!F107='Sources and Basis Breakdown'!E107,'Sources and Basis Breakdown'!G107,0))</f>
        <v>0</v>
      </c>
      <c r="Z11" s="2360"/>
      <c r="AA11" s="2360"/>
      <c r="AB11" s="2360"/>
      <c r="AC11" s="2360"/>
      <c r="AD11" s="2360">
        <f>IF('Sources and Basis Breakdown'!I107=0,'Sources and Basis Breakdown'!H107,'Sources and Basis Breakdown'!I107)</f>
        <v>0</v>
      </c>
      <c r="AE11" s="2360"/>
      <c r="AF11" s="2360"/>
      <c r="AG11" s="2360"/>
      <c r="AH11" s="2360"/>
      <c r="AI11" s="2360">
        <f>IF(Y7="",0,IF('Sources and Basis Breakdown'!I107+'Sources and Basis Breakdown'!J107='Sources and Basis Breakdown'!H107,'Sources and Basis Breakdown'!J107,0))</f>
        <v>0</v>
      </c>
      <c r="AJ11" s="2360"/>
      <c r="AK11" s="2360"/>
      <c r="AL11" s="2360"/>
      <c r="AM11" s="2360"/>
    </row>
    <row r="12" spans="1:40" ht="12.95" customHeight="1">
      <c r="B12" s="2352" t="s">
        <v>497</v>
      </c>
      <c r="C12" s="1293"/>
      <c r="D12" s="1293"/>
      <c r="E12" s="1293"/>
      <c r="F12" s="1293"/>
      <c r="G12" s="1293"/>
      <c r="H12" s="1293"/>
      <c r="I12" s="1293"/>
      <c r="J12" s="1293"/>
      <c r="K12" s="1293"/>
      <c r="L12" s="1293"/>
      <c r="M12" s="1293"/>
      <c r="N12" s="1293"/>
      <c r="O12" s="1293"/>
      <c r="P12" s="1293"/>
      <c r="Q12" s="1293"/>
      <c r="R12" s="1293"/>
      <c r="S12" s="2353"/>
      <c r="T12" s="2325"/>
      <c r="U12" s="2326"/>
      <c r="V12" s="2326"/>
      <c r="W12" s="2326"/>
      <c r="X12" s="2327"/>
      <c r="Y12" s="2325"/>
      <c r="Z12" s="2326"/>
      <c r="AA12" s="2326"/>
      <c r="AB12" s="2326"/>
      <c r="AC12" s="2327"/>
      <c r="AD12" s="2325"/>
      <c r="AE12" s="2326"/>
      <c r="AF12" s="2326"/>
      <c r="AG12" s="2326"/>
      <c r="AH12" s="2327"/>
      <c r="AI12" s="2325"/>
      <c r="AJ12" s="2326"/>
      <c r="AK12" s="2326"/>
      <c r="AL12" s="2326"/>
      <c r="AM12" s="2327"/>
    </row>
    <row r="13" spans="1:40" ht="12.95" customHeight="1">
      <c r="B13" s="435"/>
      <c r="C13" s="2354" t="s">
        <v>498</v>
      </c>
      <c r="D13" s="2354"/>
      <c r="E13" s="2354"/>
      <c r="F13" s="2354"/>
      <c r="G13" s="2354"/>
      <c r="H13" s="2354"/>
      <c r="I13" s="2354"/>
      <c r="J13" s="2354"/>
      <c r="K13" s="2354"/>
      <c r="L13" s="2354"/>
      <c r="M13" s="2354"/>
      <c r="N13" s="2354"/>
      <c r="O13" s="2354"/>
      <c r="P13" s="2354"/>
      <c r="Q13" s="2354"/>
      <c r="R13" s="2354"/>
      <c r="S13" s="2355"/>
      <c r="T13" s="2361"/>
      <c r="U13" s="2362"/>
      <c r="V13" s="2362"/>
      <c r="W13" s="2362"/>
      <c r="X13" s="2362"/>
      <c r="Y13" s="2361"/>
      <c r="Z13" s="2362"/>
      <c r="AA13" s="2362"/>
      <c r="AB13" s="2362"/>
      <c r="AC13" s="2362"/>
      <c r="AD13" s="2362"/>
      <c r="AE13" s="2362"/>
      <c r="AF13" s="2362"/>
      <c r="AG13" s="2362"/>
      <c r="AH13" s="2362"/>
      <c r="AI13" s="2362"/>
      <c r="AJ13" s="2362"/>
      <c r="AK13" s="2362"/>
      <c r="AL13" s="2362"/>
      <c r="AM13" s="2362"/>
    </row>
    <row r="14" spans="1:40" ht="12.95" customHeight="1">
      <c r="B14" s="435"/>
      <c r="C14" s="2354" t="s">
        <v>499</v>
      </c>
      <c r="D14" s="2354"/>
      <c r="E14" s="2354"/>
      <c r="F14" s="2354"/>
      <c r="G14" s="2354"/>
      <c r="H14" s="2354"/>
      <c r="I14" s="2354"/>
      <c r="J14" s="2354"/>
      <c r="K14" s="2354"/>
      <c r="L14" s="2354"/>
      <c r="M14" s="2354"/>
      <c r="N14" s="2354"/>
      <c r="O14" s="2354"/>
      <c r="P14" s="2354"/>
      <c r="Q14" s="2354"/>
      <c r="R14" s="2354"/>
      <c r="S14" s="2355"/>
      <c r="T14" s="2328"/>
      <c r="U14" s="2329"/>
      <c r="V14" s="2329"/>
      <c r="W14" s="2329"/>
      <c r="X14" s="2329"/>
      <c r="Y14" s="2328"/>
      <c r="Z14" s="2329"/>
      <c r="AA14" s="2329"/>
      <c r="AB14" s="2329"/>
      <c r="AC14" s="2329"/>
      <c r="AD14" s="2329"/>
      <c r="AE14" s="2329"/>
      <c r="AF14" s="2329"/>
      <c r="AG14" s="2329"/>
      <c r="AH14" s="2329"/>
      <c r="AI14" s="2329"/>
      <c r="AJ14" s="2329"/>
      <c r="AK14" s="2329"/>
      <c r="AL14" s="2329"/>
      <c r="AM14" s="2329"/>
    </row>
    <row r="15" spans="1:40" ht="12.95" customHeight="1">
      <c r="B15" s="435"/>
      <c r="C15" s="2354" t="s">
        <v>500</v>
      </c>
      <c r="D15" s="2354"/>
      <c r="E15" s="2354"/>
      <c r="F15" s="2354"/>
      <c r="G15" s="2354"/>
      <c r="H15" s="2354"/>
      <c r="I15" s="2354"/>
      <c r="J15" s="2354"/>
      <c r="K15" s="2354"/>
      <c r="L15" s="2354"/>
      <c r="M15" s="2354"/>
      <c r="N15" s="2354"/>
      <c r="O15" s="2354"/>
      <c r="P15" s="2354"/>
      <c r="Q15" s="2354"/>
      <c r="R15" s="2354"/>
      <c r="S15" s="2355"/>
      <c r="T15" s="2328"/>
      <c r="U15" s="2329"/>
      <c r="V15" s="2329"/>
      <c r="W15" s="2329"/>
      <c r="X15" s="2329"/>
      <c r="Y15" s="2328"/>
      <c r="Z15" s="2329"/>
      <c r="AA15" s="2329"/>
      <c r="AB15" s="2329"/>
      <c r="AC15" s="2329"/>
      <c r="AD15" s="2329"/>
      <c r="AE15" s="2329"/>
      <c r="AF15" s="2329"/>
      <c r="AG15" s="2329"/>
      <c r="AH15" s="2329"/>
      <c r="AI15" s="2329"/>
      <c r="AJ15" s="2329"/>
      <c r="AK15" s="2329"/>
      <c r="AL15" s="2329"/>
      <c r="AM15" s="2329"/>
    </row>
    <row r="16" spans="1:40" ht="12.95" customHeight="1">
      <c r="B16" s="435"/>
      <c r="C16" s="2354" t="s">
        <v>805</v>
      </c>
      <c r="D16" s="2354"/>
      <c r="E16" s="2354"/>
      <c r="F16" s="2354"/>
      <c r="G16" s="2354"/>
      <c r="H16" s="2354"/>
      <c r="I16" s="2354"/>
      <c r="J16" s="2354"/>
      <c r="K16" s="2354"/>
      <c r="L16" s="2354"/>
      <c r="M16" s="2354"/>
      <c r="N16" s="2354"/>
      <c r="O16" s="2354"/>
      <c r="P16" s="2354"/>
      <c r="Q16" s="2354"/>
      <c r="R16" s="2354"/>
      <c r="S16" s="2355"/>
      <c r="T16" s="2328"/>
      <c r="U16" s="2329"/>
      <c r="V16" s="2329"/>
      <c r="W16" s="2329"/>
      <c r="X16" s="2329"/>
      <c r="Y16" s="2328"/>
      <c r="Z16" s="2329"/>
      <c r="AA16" s="2329"/>
      <c r="AB16" s="2329"/>
      <c r="AC16" s="2329"/>
      <c r="AD16" s="2329"/>
      <c r="AE16" s="2329"/>
      <c r="AF16" s="2329"/>
      <c r="AG16" s="2329"/>
      <c r="AH16" s="2329"/>
      <c r="AI16" s="2329"/>
      <c r="AJ16" s="2329"/>
      <c r="AK16" s="2329"/>
      <c r="AL16" s="2329"/>
      <c r="AM16" s="2329"/>
    </row>
    <row r="17" spans="1:40" ht="12.95" customHeight="1">
      <c r="B17" s="435"/>
      <c r="C17" s="2354" t="s">
        <v>501</v>
      </c>
      <c r="D17" s="2354"/>
      <c r="E17" s="2354"/>
      <c r="F17" s="2354"/>
      <c r="G17" s="2354"/>
      <c r="H17" s="2354"/>
      <c r="I17" s="2354"/>
      <c r="J17" s="2354"/>
      <c r="K17" s="2354"/>
      <c r="L17" s="2354"/>
      <c r="M17" s="2354"/>
      <c r="N17" s="2354"/>
      <c r="O17" s="2354"/>
      <c r="P17" s="2354"/>
      <c r="Q17" s="2354"/>
      <c r="R17" s="2354"/>
      <c r="S17" s="2355"/>
      <c r="T17" s="2328"/>
      <c r="U17" s="2329"/>
      <c r="V17" s="2329"/>
      <c r="W17" s="2329"/>
      <c r="X17" s="2329"/>
      <c r="Y17" s="2328"/>
      <c r="Z17" s="2329"/>
      <c r="AA17" s="2329"/>
      <c r="AB17" s="2329"/>
      <c r="AC17" s="2329"/>
      <c r="AD17" s="2329"/>
      <c r="AE17" s="2329"/>
      <c r="AF17" s="2329"/>
      <c r="AG17" s="2329"/>
      <c r="AH17" s="2329"/>
      <c r="AI17" s="2329"/>
      <c r="AJ17" s="2329"/>
      <c r="AK17" s="2329"/>
      <c r="AL17" s="2329"/>
      <c r="AM17" s="2329"/>
    </row>
    <row r="18" spans="1:40" ht="12.95" customHeight="1">
      <c r="A18"/>
      <c r="B18" s="1144"/>
      <c r="C18" s="1812" t="s">
        <v>960</v>
      </c>
      <c r="D18" s="1812"/>
      <c r="E18" s="1812"/>
      <c r="F18" s="1812"/>
      <c r="G18" s="1812"/>
      <c r="H18" s="1812"/>
      <c r="I18" s="1812"/>
      <c r="J18" s="1812"/>
      <c r="K18" s="1812"/>
      <c r="L18" s="1812"/>
      <c r="M18" s="1812"/>
      <c r="N18" s="1812"/>
      <c r="O18" s="1812"/>
      <c r="P18" s="1812"/>
      <c r="Q18" s="1812"/>
      <c r="R18" s="1812"/>
      <c r="S18" s="1813"/>
      <c r="T18" s="2328"/>
      <c r="U18" s="2329"/>
      <c r="V18" s="2329"/>
      <c r="W18" s="2329"/>
      <c r="X18" s="2329"/>
      <c r="Y18" s="2328"/>
      <c r="Z18" s="2329"/>
      <c r="AA18" s="2329"/>
      <c r="AB18" s="2329"/>
      <c r="AC18" s="2329"/>
      <c r="AD18" s="2329"/>
      <c r="AE18" s="2329"/>
      <c r="AF18" s="2329"/>
      <c r="AG18" s="2329"/>
      <c r="AH18" s="2329"/>
      <c r="AI18" s="2329"/>
      <c r="AJ18" s="2329"/>
      <c r="AK18" s="2329"/>
      <c r="AL18" s="2329"/>
      <c r="AM18" s="2329"/>
    </row>
    <row r="19" spans="1:40" ht="12.95" customHeight="1">
      <c r="B19" s="1144"/>
      <c r="C19" s="1812" t="s">
        <v>960</v>
      </c>
      <c r="D19" s="1812"/>
      <c r="E19" s="1812"/>
      <c r="F19" s="1812"/>
      <c r="G19" s="1812"/>
      <c r="H19" s="1812"/>
      <c r="I19" s="1812"/>
      <c r="J19" s="1812"/>
      <c r="K19" s="1812"/>
      <c r="L19" s="1812"/>
      <c r="M19" s="1812"/>
      <c r="N19" s="1812"/>
      <c r="O19" s="1812"/>
      <c r="P19" s="1812"/>
      <c r="Q19" s="1812"/>
      <c r="R19" s="1812"/>
      <c r="S19" s="1813"/>
      <c r="T19" s="2328"/>
      <c r="U19" s="2329"/>
      <c r="V19" s="2329"/>
      <c r="W19" s="2329"/>
      <c r="X19" s="2329"/>
      <c r="Y19" s="2328"/>
      <c r="Z19" s="2329"/>
      <c r="AA19" s="2329"/>
      <c r="AB19" s="2329"/>
      <c r="AC19" s="2329"/>
      <c r="AD19" s="2329"/>
      <c r="AE19" s="2329"/>
      <c r="AF19" s="2329"/>
      <c r="AG19" s="2329"/>
      <c r="AH19" s="2329"/>
      <c r="AI19" s="2329"/>
      <c r="AJ19" s="2329"/>
      <c r="AK19" s="2329"/>
      <c r="AL19" s="2329"/>
      <c r="AM19" s="2329"/>
    </row>
    <row r="20" spans="1:40" ht="12.95" customHeight="1">
      <c r="B20" s="2337" t="s">
        <v>502</v>
      </c>
      <c r="C20" s="2338"/>
      <c r="D20" s="2338"/>
      <c r="E20" s="2338"/>
      <c r="F20" s="2338"/>
      <c r="G20" s="2338"/>
      <c r="H20" s="2338"/>
      <c r="I20" s="2338"/>
      <c r="J20" s="2338"/>
      <c r="K20" s="2338"/>
      <c r="L20" s="2338"/>
      <c r="M20" s="2338"/>
      <c r="N20" s="2338"/>
      <c r="O20" s="2338"/>
      <c r="P20" s="2338"/>
      <c r="Q20" s="2338"/>
      <c r="R20" s="2338"/>
      <c r="S20" s="2339"/>
      <c r="T20" s="2330">
        <f>SUM(T13:X19)</f>
        <v>0</v>
      </c>
      <c r="U20" s="2331"/>
      <c r="V20" s="2331"/>
      <c r="W20" s="2331"/>
      <c r="X20" s="2331"/>
      <c r="Y20" s="2330">
        <f>SUM(Y13:AC19)</f>
        <v>0</v>
      </c>
      <c r="Z20" s="2331"/>
      <c r="AA20" s="2331"/>
      <c r="AB20" s="2331"/>
      <c r="AC20" s="2331"/>
      <c r="AD20" s="2332">
        <f>SUM(AD13:AH19)</f>
        <v>0</v>
      </c>
      <c r="AE20" s="2333"/>
      <c r="AF20" s="2333"/>
      <c r="AG20" s="2333"/>
      <c r="AH20" s="2330"/>
      <c r="AI20" s="2332">
        <f>SUM(AI13:AM19)</f>
        <v>0</v>
      </c>
      <c r="AJ20" s="2333"/>
      <c r="AK20" s="2333"/>
      <c r="AL20" s="2333"/>
      <c r="AM20" s="2330"/>
    </row>
    <row r="21" spans="1:40" ht="12.95" customHeight="1">
      <c r="B21" s="2337" t="s">
        <v>1263</v>
      </c>
      <c r="C21" s="2338"/>
      <c r="D21" s="2338"/>
      <c r="E21" s="2338"/>
      <c r="F21" s="2338"/>
      <c r="G21" s="2338"/>
      <c r="H21" s="2338"/>
      <c r="I21" s="2338"/>
      <c r="J21" s="2338"/>
      <c r="K21" s="2338"/>
      <c r="L21" s="2338"/>
      <c r="M21" s="2338"/>
      <c r="N21" s="2338"/>
      <c r="O21" s="2338"/>
      <c r="P21" s="2338"/>
      <c r="Q21" s="2338"/>
      <c r="R21" s="2338"/>
      <c r="S21" s="2339"/>
      <c r="T21" s="2328"/>
      <c r="U21" s="2329"/>
      <c r="V21" s="2329"/>
      <c r="W21" s="2329"/>
      <c r="X21" s="2329"/>
      <c r="Y21" s="2328"/>
      <c r="Z21" s="2329"/>
      <c r="AA21" s="2329"/>
      <c r="AB21" s="2329"/>
      <c r="AC21" s="2329"/>
      <c r="AD21" s="2325"/>
      <c r="AE21" s="2326"/>
      <c r="AF21" s="2326"/>
      <c r="AG21" s="2326"/>
      <c r="AH21" s="2327"/>
      <c r="AI21" s="2325"/>
      <c r="AJ21" s="2326"/>
      <c r="AK21" s="2326"/>
      <c r="AL21" s="2326"/>
      <c r="AM21" s="2327"/>
    </row>
    <row r="22" spans="1:40" ht="12.95" customHeight="1">
      <c r="B22" s="2337" t="s">
        <v>503</v>
      </c>
      <c r="C22" s="2338"/>
      <c r="D22" s="2338"/>
      <c r="E22" s="2338"/>
      <c r="F22" s="2338"/>
      <c r="G22" s="2338"/>
      <c r="H22" s="2338"/>
      <c r="I22" s="2338"/>
      <c r="J22" s="2338"/>
      <c r="K22" s="2338"/>
      <c r="L22" s="2338"/>
      <c r="M22" s="2338"/>
      <c r="N22" s="2338"/>
      <c r="O22" s="2338"/>
      <c r="P22" s="2338"/>
      <c r="Q22" s="2338"/>
      <c r="R22" s="2338"/>
      <c r="S22" s="2339"/>
      <c r="T22" s="2363">
        <f>(ABS(T20)+ABS(T21))*-1</f>
        <v>0</v>
      </c>
      <c r="U22" s="2364"/>
      <c r="V22" s="2364"/>
      <c r="W22" s="2364"/>
      <c r="X22" s="2364"/>
      <c r="Y22" s="2363">
        <f>(Y20+Y21)*-1</f>
        <v>0</v>
      </c>
      <c r="Z22" s="2364"/>
      <c r="AA22" s="2364"/>
      <c r="AB22" s="2364"/>
      <c r="AC22" s="2364"/>
      <c r="AD22" s="2365">
        <f>(AD20)*-1</f>
        <v>0</v>
      </c>
      <c r="AE22" s="2366"/>
      <c r="AF22" s="2366"/>
      <c r="AG22" s="2366"/>
      <c r="AH22" s="2363"/>
      <c r="AI22" s="2365">
        <f>(AI20)*-1</f>
        <v>0</v>
      </c>
      <c r="AJ22" s="2366"/>
      <c r="AK22" s="2366"/>
      <c r="AL22" s="2366"/>
      <c r="AM22" s="2363"/>
    </row>
    <row r="23" spans="1:40" ht="12.95" customHeight="1">
      <c r="B23" s="2337" t="s">
        <v>504</v>
      </c>
      <c r="C23" s="2338"/>
      <c r="D23" s="2338"/>
      <c r="E23" s="2338"/>
      <c r="F23" s="2338"/>
      <c r="G23" s="2338"/>
      <c r="H23" s="2338"/>
      <c r="I23" s="2338"/>
      <c r="J23" s="2338"/>
      <c r="K23" s="2338"/>
      <c r="L23" s="2338"/>
      <c r="M23" s="2338"/>
      <c r="N23" s="2338"/>
      <c r="O23" s="2338"/>
      <c r="P23" s="2338"/>
      <c r="Q23" s="2338"/>
      <c r="R23" s="2338"/>
      <c r="S23" s="2339"/>
      <c r="T23" s="2330">
        <f>T11+T22</f>
        <v>55153354</v>
      </c>
      <c r="U23" s="2331"/>
      <c r="V23" s="2331"/>
      <c r="W23" s="2331"/>
      <c r="X23" s="2331"/>
      <c r="Y23" s="2330">
        <f>Y11+Y22</f>
        <v>0</v>
      </c>
      <c r="Z23" s="2331"/>
      <c r="AA23" s="2331"/>
      <c r="AB23" s="2331"/>
      <c r="AC23" s="2331"/>
      <c r="AD23" s="2330">
        <f>AD11+AD22</f>
        <v>0</v>
      </c>
      <c r="AE23" s="2331"/>
      <c r="AF23" s="2331"/>
      <c r="AG23" s="2331"/>
      <c r="AH23" s="2331"/>
      <c r="AI23" s="2330">
        <f>AI11+AI22</f>
        <v>0</v>
      </c>
      <c r="AJ23" s="2331"/>
      <c r="AK23" s="2331"/>
      <c r="AL23" s="2331"/>
      <c r="AM23" s="2331"/>
    </row>
    <row r="24" spans="1:40" ht="12.95" customHeight="1">
      <c r="B24" s="2337" t="s">
        <v>961</v>
      </c>
      <c r="C24" s="2338"/>
      <c r="D24" s="2338"/>
      <c r="E24" s="2338"/>
      <c r="F24" s="2338"/>
      <c r="G24" s="2338"/>
      <c r="H24" s="2338"/>
      <c r="I24" s="2338"/>
      <c r="J24" s="2338"/>
      <c r="K24" s="2338"/>
      <c r="L24" s="2338"/>
      <c r="M24" s="2338"/>
      <c r="N24" s="2338"/>
      <c r="O24" s="2338"/>
      <c r="P24" s="2338"/>
      <c r="Q24" s="2338"/>
      <c r="R24" s="2338"/>
      <c r="S24" s="2339"/>
      <c r="T24" s="2332">
        <f>Application!AJ1062</f>
        <v>127120304.8</v>
      </c>
      <c r="U24" s="2333"/>
      <c r="V24" s="2333"/>
      <c r="W24" s="2333"/>
      <c r="X24" s="2333"/>
      <c r="Y24" s="2333"/>
      <c r="Z24" s="2333"/>
      <c r="AA24" s="2333"/>
      <c r="AB24" s="2333"/>
      <c r="AC24" s="2333"/>
      <c r="AD24" s="2333"/>
      <c r="AE24" s="2333"/>
      <c r="AF24" s="2333"/>
      <c r="AG24" s="2333"/>
      <c r="AH24" s="2333"/>
      <c r="AI24" s="2333"/>
      <c r="AJ24" s="2333"/>
      <c r="AK24" s="2333"/>
      <c r="AL24" s="2333"/>
      <c r="AM24" s="2330"/>
    </row>
    <row r="25" spans="1:40" ht="12.95" customHeight="1">
      <c r="B25" s="2341" t="s">
        <v>1264</v>
      </c>
      <c r="C25" s="2342"/>
      <c r="D25" s="2342"/>
      <c r="E25" s="2342"/>
      <c r="F25" s="2342"/>
      <c r="G25" s="2342"/>
      <c r="H25" s="2342"/>
      <c r="I25" s="2342"/>
      <c r="J25" s="2342"/>
      <c r="K25" s="2342"/>
      <c r="L25" s="2342"/>
      <c r="M25" s="2342"/>
      <c r="N25" s="2342"/>
      <c r="O25" s="2342"/>
      <c r="P25" s="2342"/>
      <c r="Q25" s="2342"/>
      <c r="R25" s="2342"/>
      <c r="S25" s="2343"/>
      <c r="T25" s="2367">
        <f>IF(OR(Application!T196="yes",Application!T195="yes"),1.3,1)</f>
        <v>1.3</v>
      </c>
      <c r="U25" s="2368"/>
      <c r="V25" s="2368"/>
      <c r="W25" s="2368"/>
      <c r="X25" s="2368"/>
      <c r="Y25" s="2367">
        <v>1</v>
      </c>
      <c r="Z25" s="2368"/>
      <c r="AA25" s="2368"/>
      <c r="AB25" s="2368"/>
      <c r="AC25" s="2368"/>
      <c r="AD25" s="2367">
        <v>1</v>
      </c>
      <c r="AE25" s="2368"/>
      <c r="AF25" s="2368"/>
      <c r="AG25" s="2368"/>
      <c r="AH25" s="2369"/>
      <c r="AI25" s="2367">
        <v>1</v>
      </c>
      <c r="AJ25" s="2368"/>
      <c r="AK25" s="2368"/>
      <c r="AL25" s="2368"/>
      <c r="AM25" s="2369"/>
    </row>
    <row r="26" spans="1:40" ht="12.95" customHeight="1">
      <c r="B26" s="2337" t="s">
        <v>505</v>
      </c>
      <c r="C26" s="2338"/>
      <c r="D26" s="2338"/>
      <c r="E26" s="2338"/>
      <c r="F26" s="2338"/>
      <c r="G26" s="2338"/>
      <c r="H26" s="2338"/>
      <c r="I26" s="2338"/>
      <c r="J26" s="2338"/>
      <c r="K26" s="2338"/>
      <c r="L26" s="2338"/>
      <c r="M26" s="2338"/>
      <c r="N26" s="2338"/>
      <c r="O26" s="2338"/>
      <c r="P26" s="2338"/>
      <c r="Q26" s="2338"/>
      <c r="R26" s="2338"/>
      <c r="S26" s="2339"/>
      <c r="T26" s="2330">
        <f>T23*T25</f>
        <v>71699360.200000003</v>
      </c>
      <c r="U26" s="2331"/>
      <c r="V26" s="2331"/>
      <c r="W26" s="2331"/>
      <c r="X26" s="2331"/>
      <c r="Y26" s="2330">
        <f>Y23*Y25</f>
        <v>0</v>
      </c>
      <c r="Z26" s="2331"/>
      <c r="AA26" s="2331"/>
      <c r="AB26" s="2331"/>
      <c r="AC26" s="2331"/>
      <c r="AD26" s="2330">
        <f>AD23*AD25</f>
        <v>0</v>
      </c>
      <c r="AE26" s="2331"/>
      <c r="AF26" s="2331"/>
      <c r="AG26" s="2331"/>
      <c r="AH26" s="2331"/>
      <c r="AI26" s="2330">
        <f>AI23*AI25</f>
        <v>0</v>
      </c>
      <c r="AJ26" s="2331"/>
      <c r="AK26" s="2331"/>
      <c r="AL26" s="2331"/>
      <c r="AM26" s="2331"/>
    </row>
    <row r="27" spans="1:40" ht="12.95" customHeight="1">
      <c r="A27" s="410"/>
      <c r="B27" s="2344" t="s">
        <v>426</v>
      </c>
      <c r="C27" s="2345"/>
      <c r="D27" s="2345"/>
      <c r="E27" s="2345"/>
      <c r="F27" s="2345"/>
      <c r="G27" s="2345"/>
      <c r="H27" s="2345"/>
      <c r="I27" s="2345"/>
      <c r="J27" s="2345"/>
      <c r="K27" s="2345"/>
      <c r="L27" s="2345"/>
      <c r="M27" s="2345"/>
      <c r="N27" s="2345"/>
      <c r="O27" s="2345"/>
      <c r="P27" s="2345"/>
      <c r="Q27" s="2345"/>
      <c r="R27" s="2345"/>
      <c r="S27" s="2346"/>
      <c r="T27" s="2350">
        <f>Application!$AG$454</f>
        <v>1</v>
      </c>
      <c r="U27" s="2351"/>
      <c r="V27" s="2351"/>
      <c r="W27" s="2351"/>
      <c r="X27" s="2351"/>
      <c r="Y27" s="2350">
        <f>Application!$AG$454</f>
        <v>1</v>
      </c>
      <c r="Z27" s="2351"/>
      <c r="AA27" s="2351"/>
      <c r="AB27" s="2351"/>
      <c r="AC27" s="2351"/>
      <c r="AD27" s="2350">
        <f>Application!$AG$454</f>
        <v>1</v>
      </c>
      <c r="AE27" s="2351"/>
      <c r="AF27" s="2351"/>
      <c r="AG27" s="2351"/>
      <c r="AH27" s="2351"/>
      <c r="AI27" s="2350">
        <f>Application!$AG$454</f>
        <v>1</v>
      </c>
      <c r="AJ27" s="2351"/>
      <c r="AK27" s="2351"/>
      <c r="AL27" s="2351"/>
      <c r="AM27" s="2351"/>
    </row>
    <row r="28" spans="1:40" ht="12.95" customHeight="1">
      <c r="A28" s="404"/>
      <c r="B28" s="2337" t="s">
        <v>506</v>
      </c>
      <c r="C28" s="2338"/>
      <c r="D28" s="2338"/>
      <c r="E28" s="2338"/>
      <c r="F28" s="2338"/>
      <c r="G28" s="2338"/>
      <c r="H28" s="2338"/>
      <c r="I28" s="2338"/>
      <c r="J28" s="2338"/>
      <c r="K28" s="2338"/>
      <c r="L28" s="2338"/>
      <c r="M28" s="2338"/>
      <c r="N28" s="2338"/>
      <c r="O28" s="2338"/>
      <c r="P28" s="2338"/>
      <c r="Q28" s="2338"/>
      <c r="R28" s="2338"/>
      <c r="S28" s="2339"/>
      <c r="T28" s="2330">
        <f>IF(ISERROR((T26*T27)),0,(T26*T27))</f>
        <v>71699360.200000003</v>
      </c>
      <c r="U28" s="2331"/>
      <c r="V28" s="2331"/>
      <c r="W28" s="2331"/>
      <c r="X28" s="2331"/>
      <c r="Y28" s="2330">
        <f>IF(ISERROR((Y26*Y27)),0,(Y26*Y27))</f>
        <v>0</v>
      </c>
      <c r="Z28" s="2331"/>
      <c r="AA28" s="2331"/>
      <c r="AB28" s="2331"/>
      <c r="AC28" s="2331"/>
      <c r="AD28" s="2330">
        <f>IF(ISERROR((AD26*AD27)),0,(AD26*AD27))</f>
        <v>0</v>
      </c>
      <c r="AE28" s="2331"/>
      <c r="AF28" s="2331"/>
      <c r="AG28" s="2331"/>
      <c r="AH28" s="2331"/>
      <c r="AI28" s="2330">
        <f>IF(ISERROR((AI26*AI27)),0,(AI26*AI27))</f>
        <v>0</v>
      </c>
      <c r="AJ28" s="2331"/>
      <c r="AK28" s="2331"/>
      <c r="AL28" s="2331"/>
      <c r="AM28" s="2331"/>
    </row>
    <row r="29" spans="1:40" ht="12.95" customHeight="1">
      <c r="B29" s="2337" t="s">
        <v>523</v>
      </c>
      <c r="C29" s="2338"/>
      <c r="D29" s="2338"/>
      <c r="E29" s="2338"/>
      <c r="F29" s="2338"/>
      <c r="G29" s="2338"/>
      <c r="H29" s="2338"/>
      <c r="I29" s="2338"/>
      <c r="J29" s="2338"/>
      <c r="K29" s="2338"/>
      <c r="L29" s="2338"/>
      <c r="M29" s="2338"/>
      <c r="N29" s="2338"/>
      <c r="O29" s="2338"/>
      <c r="P29" s="2338"/>
      <c r="Q29" s="2338"/>
      <c r="R29" s="2338"/>
      <c r="S29" s="2339"/>
      <c r="T29" s="2332">
        <f>T28+Y28+AD28+AI28</f>
        <v>71699360.200000003</v>
      </c>
      <c r="U29" s="2333"/>
      <c r="V29" s="2333"/>
      <c r="W29" s="2333"/>
      <c r="X29" s="2333"/>
      <c r="Y29" s="2333"/>
      <c r="Z29" s="2333"/>
      <c r="AA29" s="2333"/>
      <c r="AB29" s="2333"/>
      <c r="AC29" s="2333"/>
      <c r="AD29" s="2333"/>
      <c r="AE29" s="2333"/>
      <c r="AF29" s="2333"/>
      <c r="AG29" s="2333"/>
      <c r="AH29" s="2333"/>
      <c r="AI29" s="2333"/>
      <c r="AJ29" s="2333"/>
      <c r="AK29" s="2333"/>
      <c r="AL29" s="2333"/>
      <c r="AM29" s="2330"/>
    </row>
    <row r="30" spans="1:40" ht="12.95" customHeight="1">
      <c r="B30" s="2340" t="s">
        <v>1266</v>
      </c>
      <c r="C30" s="2340"/>
      <c r="D30" s="2340"/>
      <c r="E30" s="2340"/>
      <c r="F30" s="2340"/>
      <c r="G30" s="2340"/>
      <c r="H30" s="2340"/>
      <c r="I30" s="2340"/>
      <c r="J30" s="2340"/>
      <c r="K30" s="2340"/>
      <c r="L30" s="2340"/>
      <c r="M30" s="2340"/>
      <c r="N30" s="2340"/>
      <c r="O30" s="2340"/>
      <c r="P30" s="2340"/>
      <c r="Q30" s="2340"/>
      <c r="R30" s="2340"/>
      <c r="S30" s="2340"/>
      <c r="T30" s="2340"/>
      <c r="U30" s="2340"/>
      <c r="V30" s="2340"/>
      <c r="W30" s="2340"/>
      <c r="X30" s="2340"/>
      <c r="Y30" s="2340"/>
      <c r="Z30" s="2340"/>
      <c r="AA30" s="2340"/>
      <c r="AB30" s="2340"/>
      <c r="AC30" s="2340"/>
      <c r="AD30" s="2340"/>
      <c r="AE30" s="2340"/>
      <c r="AF30" s="2340"/>
      <c r="AG30" s="2340"/>
      <c r="AH30" s="2340"/>
      <c r="AI30" s="2340"/>
      <c r="AJ30" s="2340"/>
      <c r="AK30" s="2340"/>
      <c r="AL30" s="2340"/>
      <c r="AM30" s="2340"/>
    </row>
    <row r="31" spans="1:40" ht="12.95" customHeight="1">
      <c r="B31" s="2340" t="s">
        <v>1265</v>
      </c>
      <c r="C31" s="2340"/>
      <c r="D31" s="2340"/>
      <c r="E31" s="2340"/>
      <c r="F31" s="2340"/>
      <c r="G31" s="2340"/>
      <c r="H31" s="2340"/>
      <c r="I31" s="2340"/>
      <c r="J31" s="2340"/>
      <c r="K31" s="2340"/>
      <c r="L31" s="2340"/>
      <c r="M31" s="2340"/>
      <c r="N31" s="2340"/>
      <c r="O31" s="2340"/>
      <c r="P31" s="2340"/>
      <c r="Q31" s="2340"/>
      <c r="R31" s="2340"/>
      <c r="S31" s="2340"/>
      <c r="T31" s="2340"/>
      <c r="U31" s="2340"/>
      <c r="V31" s="2340"/>
      <c r="W31" s="2340"/>
      <c r="X31" s="2340"/>
      <c r="Y31" s="2340"/>
      <c r="Z31" s="2340"/>
      <c r="AA31" s="2340"/>
      <c r="AB31" s="2340"/>
      <c r="AC31" s="2340"/>
      <c r="AD31" s="2340"/>
      <c r="AE31" s="2340"/>
      <c r="AF31" s="2340"/>
      <c r="AG31" s="2340"/>
      <c r="AH31" s="2340"/>
      <c r="AI31" s="2340"/>
      <c r="AJ31" s="2340"/>
      <c r="AK31" s="2340"/>
      <c r="AL31" s="2340"/>
      <c r="AM31" s="2340"/>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8" t="s">
        <v>1154</v>
      </c>
      <c r="Z35" s="2358"/>
      <c r="AA35" s="2358"/>
      <c r="AB35" s="2358"/>
      <c r="AC35" s="2358"/>
      <c r="AD35" s="2378" t="s">
        <v>369</v>
      </c>
      <c r="AE35" s="2378"/>
      <c r="AF35" s="2378"/>
      <c r="AG35" s="2378"/>
      <c r="AH35" s="2378"/>
    </row>
    <row r="36" spans="1:76" ht="12.95" customHeight="1">
      <c r="B36" s="407"/>
      <c r="X36" s="412"/>
      <c r="Y36" s="2358"/>
      <c r="Z36" s="2358"/>
      <c r="AA36" s="2358"/>
      <c r="AB36" s="2358"/>
      <c r="AC36" s="2358"/>
      <c r="AD36" s="2378"/>
      <c r="AE36" s="2378"/>
      <c r="AF36" s="2378"/>
      <c r="AG36" s="2378"/>
      <c r="AH36" s="2378"/>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8"/>
      <c r="Z37" s="2358"/>
      <c r="AA37" s="2358"/>
      <c r="AB37" s="2358"/>
      <c r="AC37" s="2358"/>
      <c r="AD37" s="2378"/>
      <c r="AE37" s="2378"/>
      <c r="AF37" s="2378"/>
      <c r="AG37" s="2378"/>
      <c r="AH37" s="2378"/>
    </row>
    <row r="38" spans="1:76" ht="12.95" customHeight="1">
      <c r="A38" s="404"/>
      <c r="B38" s="2337" t="s">
        <v>506</v>
      </c>
      <c r="C38" s="2338"/>
      <c r="D38" s="2338"/>
      <c r="E38" s="2338"/>
      <c r="F38" s="2338"/>
      <c r="G38" s="2338"/>
      <c r="H38" s="2338"/>
      <c r="I38" s="2338"/>
      <c r="J38" s="2338"/>
      <c r="K38" s="2338"/>
      <c r="L38" s="2338"/>
      <c r="M38" s="2338"/>
      <c r="N38" s="2338"/>
      <c r="O38" s="2338"/>
      <c r="P38" s="2338"/>
      <c r="Q38" s="2338"/>
      <c r="R38" s="2338"/>
      <c r="S38" s="2338"/>
      <c r="T38" s="2338"/>
      <c r="U38" s="2338"/>
      <c r="V38" s="2338"/>
      <c r="W38" s="2338"/>
      <c r="X38" s="2339"/>
      <c r="Y38" s="2331">
        <f>IF(T24&gt;=(T23+Y23+AD23+AI23),T28+Y28,0)</f>
        <v>71699360.200000003</v>
      </c>
      <c r="Z38" s="2331"/>
      <c r="AA38" s="2331"/>
      <c r="AB38" s="2331"/>
      <c r="AC38" s="2331"/>
      <c r="AD38" s="2331">
        <f>IF(T24&gt;=(T23+Y23+AD23+AI23),AD28+AI28,0)</f>
        <v>0</v>
      </c>
      <c r="AE38" s="2331"/>
      <c r="AF38" s="2331"/>
      <c r="AG38" s="2331"/>
      <c r="AH38" s="2331"/>
    </row>
    <row r="39" spans="1:76" ht="12.95" customHeight="1">
      <c r="B39" s="2337" t="s">
        <v>1680</v>
      </c>
      <c r="C39" s="2338"/>
      <c r="D39" s="2338"/>
      <c r="E39" s="2338"/>
      <c r="F39" s="2338"/>
      <c r="G39" s="2338"/>
      <c r="H39" s="2338"/>
      <c r="I39" s="2338"/>
      <c r="J39" s="2338"/>
      <c r="K39" s="2338"/>
      <c r="L39" s="2338"/>
      <c r="M39" s="2338"/>
      <c r="N39" s="2338"/>
      <c r="O39" s="2338"/>
      <c r="P39" s="2338"/>
      <c r="Q39" s="2338"/>
      <c r="R39" s="2338"/>
      <c r="S39" s="2338"/>
      <c r="T39" s="2338"/>
      <c r="U39" s="2338"/>
      <c r="V39" s="2338"/>
      <c r="W39" s="2338"/>
      <c r="X39" s="2339"/>
      <c r="Y39" s="2379">
        <v>0.04</v>
      </c>
      <c r="Z39" s="2379"/>
      <c r="AA39" s="2379"/>
      <c r="AB39" s="2379"/>
      <c r="AC39" s="2379"/>
      <c r="AD39" s="2379">
        <v>0.04</v>
      </c>
      <c r="AE39" s="2379"/>
      <c r="AF39" s="2379"/>
      <c r="AG39" s="2379"/>
      <c r="AH39" s="2379"/>
    </row>
    <row r="40" spans="1:76" ht="12.95" customHeight="1">
      <c r="A40" s="404"/>
      <c r="B40" s="2337" t="s">
        <v>642</v>
      </c>
      <c r="C40" s="2338"/>
      <c r="D40" s="2338"/>
      <c r="E40" s="2338"/>
      <c r="F40" s="2338"/>
      <c r="G40" s="2338"/>
      <c r="H40" s="2338"/>
      <c r="I40" s="2338"/>
      <c r="J40" s="2338"/>
      <c r="K40" s="2338"/>
      <c r="L40" s="2338"/>
      <c r="M40" s="2338"/>
      <c r="N40" s="2338"/>
      <c r="O40" s="2338"/>
      <c r="P40" s="2338"/>
      <c r="Q40" s="2338"/>
      <c r="R40" s="2338"/>
      <c r="S40" s="2338"/>
      <c r="T40" s="2338"/>
      <c r="U40" s="2338"/>
      <c r="V40" s="2338"/>
      <c r="W40" s="2338"/>
      <c r="X40" s="2339"/>
      <c r="Y40" s="2331">
        <f>ROUND(Y38*Y39,0)</f>
        <v>2867974</v>
      </c>
      <c r="Z40" s="2331"/>
      <c r="AA40" s="2331"/>
      <c r="AB40" s="2331"/>
      <c r="AC40" s="2331"/>
      <c r="AD40" s="2330">
        <f>ROUND(AD38*AD39,0)</f>
        <v>0</v>
      </c>
      <c r="AE40" s="2331"/>
      <c r="AF40" s="2331"/>
      <c r="AG40" s="2331"/>
      <c r="AH40" s="2331"/>
    </row>
    <row r="41" spans="1:76" ht="12.95" customHeight="1">
      <c r="B41" s="2337" t="s">
        <v>643</v>
      </c>
      <c r="C41" s="2338"/>
      <c r="D41" s="2338"/>
      <c r="E41" s="2338"/>
      <c r="F41" s="2338"/>
      <c r="G41" s="2338"/>
      <c r="H41" s="2338"/>
      <c r="I41" s="2338"/>
      <c r="J41" s="2338"/>
      <c r="K41" s="2338"/>
      <c r="L41" s="2338"/>
      <c r="M41" s="2338"/>
      <c r="N41" s="2338"/>
      <c r="O41" s="2338"/>
      <c r="P41" s="2338"/>
      <c r="Q41" s="2338"/>
      <c r="R41" s="2338"/>
      <c r="S41" s="2338"/>
      <c r="T41" s="2338"/>
      <c r="U41" s="2338"/>
      <c r="V41" s="2338"/>
      <c r="W41" s="2338"/>
      <c r="X41" s="2339"/>
      <c r="Y41" s="2332">
        <f>Y40+AD40</f>
        <v>2867974</v>
      </c>
      <c r="Z41" s="2333"/>
      <c r="AA41" s="2333"/>
      <c r="AB41" s="2333"/>
      <c r="AC41" s="2333"/>
      <c r="AD41" s="2333"/>
      <c r="AE41" s="2333"/>
      <c r="AF41" s="2333"/>
      <c r="AG41" s="2333"/>
      <c r="AH41" s="2330"/>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5" t="s">
        <v>1276</v>
      </c>
      <c r="B44" s="2335"/>
      <c r="C44" s="2335"/>
      <c r="D44" s="2335"/>
      <c r="E44" s="2335"/>
      <c r="F44" s="2335"/>
      <c r="G44" s="2335"/>
      <c r="H44" s="2335"/>
      <c r="I44" s="2335"/>
      <c r="J44" s="2335"/>
      <c r="K44" s="2335"/>
      <c r="L44" s="2335"/>
      <c r="M44" s="2335"/>
      <c r="N44" s="2335"/>
      <c r="O44" s="2335"/>
      <c r="P44" s="2335"/>
      <c r="Q44" s="2335"/>
      <c r="R44" s="2335"/>
      <c r="S44" s="2335"/>
      <c r="T44" s="2335"/>
      <c r="U44" s="2335"/>
      <c r="V44" s="2335"/>
      <c r="W44" s="2335"/>
      <c r="X44" s="2335"/>
      <c r="Y44" s="2335"/>
      <c r="Z44" s="2335"/>
      <c r="AA44" s="2335"/>
      <c r="AB44" s="2335"/>
      <c r="AC44" s="2335"/>
      <c r="AD44" s="2335"/>
      <c r="AE44" s="2335"/>
      <c r="AF44" s="2335"/>
      <c r="AG44" s="2335"/>
      <c r="AH44" s="2335"/>
      <c r="AI44" s="2335"/>
      <c r="AJ44" s="2335"/>
      <c r="AK44" s="2335"/>
      <c r="AL44" s="2335"/>
      <c r="AM44" s="2335"/>
      <c r="AN44" s="2335"/>
      <c r="AO44" s="2335"/>
      <c r="AP44" s="2335"/>
      <c r="AQ44" s="2335"/>
      <c r="AR44" s="2335"/>
      <c r="AS44" s="2335"/>
      <c r="AT44" s="2335"/>
      <c r="AU44" s="2335"/>
      <c r="AV44" s="2335"/>
      <c r="AW44" s="2335"/>
      <c r="AX44" s="2335"/>
      <c r="AY44" s="2335"/>
      <c r="AZ44" s="2335"/>
      <c r="BA44" s="2335"/>
      <c r="BB44" s="2335"/>
      <c r="BC44" s="2335"/>
      <c r="BD44" s="2335"/>
      <c r="BE44" s="2335"/>
      <c r="BF44" s="2335"/>
      <c r="BG44" s="2335"/>
      <c r="BH44" s="2335"/>
      <c r="BI44" s="2335"/>
      <c r="BJ44" s="2335"/>
      <c r="BK44" s="2335"/>
      <c r="BL44" s="2335"/>
      <c r="BM44" s="2335"/>
      <c r="BN44" s="2335"/>
      <c r="BO44" s="2335"/>
      <c r="BP44" s="2335"/>
      <c r="BQ44" s="2335"/>
      <c r="BR44" s="2335"/>
      <c r="BS44" s="2335"/>
      <c r="BT44" s="2335"/>
      <c r="BU44" s="2335"/>
      <c r="BV44" s="2335"/>
      <c r="BW44" s="2335"/>
      <c r="BX44" s="2335"/>
    </row>
    <row r="45" spans="1:76" s="204" customFormat="1" ht="12.95" customHeight="1" thickTop="1"/>
    <row r="46" spans="1:76" ht="12.95" customHeight="1">
      <c r="A46" s="404" t="s">
        <v>586</v>
      </c>
      <c r="C46" s="404" t="s">
        <v>282</v>
      </c>
    </row>
    <row r="47" spans="1:76" ht="12.95" customHeight="1">
      <c r="D47" s="404" t="s">
        <v>283</v>
      </c>
      <c r="AB47" s="2347">
        <f>'Sources and Uses Budget'!B105-MAX(IF('Sources and Uses Budget'!B15="",0,'Sources and Uses Budget'!B15),IF(Application!AG403="",0,Application!AG403))</f>
        <v>71303707</v>
      </c>
      <c r="AC47" s="2348"/>
      <c r="AD47" s="2348"/>
      <c r="AE47" s="2348"/>
      <c r="AF47" s="2349"/>
    </row>
    <row r="48" spans="1:76" ht="12.95" customHeight="1">
      <c r="D48" s="404" t="s">
        <v>21</v>
      </c>
      <c r="AB48" s="2347">
        <f>Application!AO647-MAX(IF('Sources and Uses Budget'!B15="",0,'Sources and Uses Budget'!B15),IF(Application!AG403="",0,Application!AG403))</f>
        <v>46354828</v>
      </c>
      <c r="AC48" s="2348"/>
      <c r="AD48" s="2348"/>
      <c r="AE48" s="2348"/>
      <c r="AF48" s="2349"/>
    </row>
    <row r="49" spans="1:76" ht="12.95" customHeight="1">
      <c r="D49" s="404" t="s">
        <v>91</v>
      </c>
      <c r="AB49" s="2347">
        <f>AB47-AB48</f>
        <v>24948879</v>
      </c>
      <c r="AC49" s="2348"/>
      <c r="AD49" s="2348"/>
      <c r="AE49" s="2348"/>
      <c r="AF49" s="2349"/>
    </row>
    <row r="50" spans="1:76" ht="12.95" customHeight="1">
      <c r="D50" s="404" t="s">
        <v>681</v>
      </c>
      <c r="AA50" s="415"/>
      <c r="AB50" s="2374">
        <f>AB49/SUM(Y41*10)</f>
        <v>0.86991301176370495</v>
      </c>
      <c r="AC50" s="2375"/>
      <c r="AD50" s="2375"/>
      <c r="AE50" s="2375"/>
      <c r="AF50" s="2376"/>
    </row>
    <row r="51" spans="1:76" s="417" customFormat="1" ht="12.95" customHeight="1">
      <c r="A51" s="402"/>
      <c r="B51" s="402"/>
      <c r="C51" s="402"/>
      <c r="D51" s="402"/>
      <c r="E51" s="2377" t="s">
        <v>2538</v>
      </c>
      <c r="F51" s="2377"/>
      <c r="G51" s="2377"/>
      <c r="H51" s="2377"/>
      <c r="I51" s="2377"/>
      <c r="J51" s="2377"/>
      <c r="K51" s="2377"/>
      <c r="L51" s="2377"/>
      <c r="M51" s="2377"/>
      <c r="N51" s="2377"/>
      <c r="O51" s="2377"/>
      <c r="P51" s="2377"/>
      <c r="Q51" s="2377"/>
      <c r="R51" s="2377"/>
      <c r="S51" s="2377"/>
      <c r="T51" s="2377"/>
      <c r="U51" s="2377"/>
      <c r="V51" s="2377"/>
      <c r="W51" s="2377"/>
      <c r="X51" s="2377"/>
      <c r="Y51" s="2377"/>
      <c r="Z51" s="2377"/>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77"/>
      <c r="F52" s="2377"/>
      <c r="G52" s="2377"/>
      <c r="H52" s="2377"/>
      <c r="I52" s="2377"/>
      <c r="J52" s="2377"/>
      <c r="K52" s="2377"/>
      <c r="L52" s="2377"/>
      <c r="M52" s="2377"/>
      <c r="N52" s="2377"/>
      <c r="O52" s="2377"/>
      <c r="P52" s="2377"/>
      <c r="Q52" s="2377"/>
      <c r="R52" s="2377"/>
      <c r="S52" s="2377"/>
      <c r="T52" s="2377"/>
      <c r="U52" s="2377"/>
      <c r="V52" s="2377"/>
      <c r="W52" s="2377"/>
      <c r="X52" s="2377"/>
      <c r="Y52" s="2377"/>
      <c r="Z52" s="2377"/>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7">
        <f>ROUND(IF(ISERROR((AB49/AB50)),0,(AB49/AB50)),0)</f>
        <v>28679740</v>
      </c>
      <c r="AC54" s="2348"/>
      <c r="AD54" s="2348"/>
      <c r="AE54" s="2348"/>
      <c r="AF54" s="2349"/>
    </row>
    <row r="55" spans="1:76" ht="12.95" customHeight="1">
      <c r="D55" s="404" t="s">
        <v>333</v>
      </c>
      <c r="AB55" s="2347">
        <f>(AB54/10)</f>
        <v>2867974</v>
      </c>
      <c r="AC55" s="2348"/>
      <c r="AD55" s="2348"/>
      <c r="AE55" s="2348"/>
      <c r="AF55" s="2349"/>
    </row>
    <row r="56" spans="1:76" ht="12.95" customHeight="1">
      <c r="D56" s="404" t="s">
        <v>756</v>
      </c>
      <c r="AB56" s="2347">
        <f>ROUND((IF((Y41&lt;AB55),Y41,AB55)),0)</f>
        <v>2867974</v>
      </c>
      <c r="AC56" s="2348"/>
      <c r="AD56" s="2348"/>
      <c r="AE56" s="2348"/>
      <c r="AF56" s="2349"/>
    </row>
    <row r="57" spans="1:76" ht="12.95" customHeight="1">
      <c r="D57" s="404" t="s">
        <v>755</v>
      </c>
      <c r="AB57" s="2347">
        <f>ROUND((10*AB56*AB50),0)</f>
        <v>24948879</v>
      </c>
      <c r="AC57" s="2348"/>
      <c r="AD57" s="2348"/>
      <c r="AE57" s="2348"/>
      <c r="AF57" s="2349"/>
    </row>
    <row r="58" spans="1:76" ht="12.95" customHeight="1">
      <c r="D58" s="404"/>
      <c r="AB58" s="423"/>
      <c r="AC58" s="423"/>
      <c r="AD58" s="423"/>
      <c r="AE58" s="423"/>
      <c r="AF58" s="423"/>
    </row>
    <row r="59" spans="1:76" ht="12.95" customHeight="1">
      <c r="D59" s="404" t="s">
        <v>754</v>
      </c>
      <c r="AB59" s="2370">
        <f>AB49-AB57</f>
        <v>0</v>
      </c>
      <c r="AC59" s="2370"/>
      <c r="AD59" s="2370"/>
      <c r="AE59" s="2370"/>
      <c r="AF59" s="2370"/>
    </row>
    <row r="60" spans="1:76" ht="12.95" customHeight="1">
      <c r="D60" s="404"/>
      <c r="AB60" s="423"/>
      <c r="AC60" s="423"/>
      <c r="AD60" s="423"/>
      <c r="AE60" s="423"/>
      <c r="AF60" s="423"/>
    </row>
    <row r="61" spans="1:76" s="204" customFormat="1" ht="12.95" customHeight="1" thickBot="1">
      <c r="A61" s="2335" t="str">
        <f>IF(Application!AP205="yes","Farmworker State Credit", "State Credit" )</f>
        <v>State Credit</v>
      </c>
      <c r="B61" s="2335"/>
      <c r="C61" s="2335"/>
      <c r="D61" s="2335"/>
      <c r="E61" s="2335"/>
      <c r="F61" s="2335"/>
      <c r="G61" s="2335"/>
      <c r="H61" s="2335"/>
      <c r="I61" s="2335"/>
      <c r="J61" s="2335"/>
      <c r="K61" s="2335"/>
      <c r="L61" s="2335"/>
      <c r="M61" s="2335"/>
      <c r="N61" s="2335"/>
      <c r="O61" s="2335"/>
      <c r="P61" s="2335"/>
      <c r="Q61" s="2335"/>
      <c r="R61" s="2335"/>
      <c r="S61" s="2335"/>
      <c r="T61" s="2335"/>
      <c r="U61" s="2335"/>
      <c r="V61" s="2335"/>
      <c r="W61" s="2335"/>
      <c r="X61" s="2335"/>
      <c r="Y61" s="2335"/>
      <c r="Z61" s="2335"/>
      <c r="AA61" s="2335"/>
      <c r="AB61" s="2335"/>
      <c r="AC61" s="2335"/>
      <c r="AD61" s="2335"/>
      <c r="AE61" s="2335"/>
      <c r="AF61" s="2335"/>
      <c r="AG61" s="2335"/>
      <c r="AH61" s="2335"/>
      <c r="AI61" s="2335"/>
      <c r="AJ61" s="2335"/>
      <c r="AK61" s="2335"/>
      <c r="AL61" s="2335"/>
      <c r="AM61" s="2335"/>
      <c r="AN61" s="2335"/>
      <c r="AO61" s="2335"/>
      <c r="AP61" s="2335"/>
      <c r="AQ61" s="2335"/>
      <c r="AR61" s="2335"/>
      <c r="AS61" s="2335"/>
      <c r="AT61" s="2335"/>
      <c r="AU61" s="2335"/>
      <c r="AV61" s="2335"/>
      <c r="AW61" s="2335"/>
      <c r="AX61" s="2335"/>
      <c r="AY61" s="2335"/>
      <c r="AZ61" s="2335"/>
      <c r="BA61" s="2335"/>
      <c r="BB61" s="2335"/>
      <c r="BC61" s="2335"/>
      <c r="BD61" s="2335"/>
      <c r="BE61" s="2335"/>
      <c r="BF61" s="2335"/>
      <c r="BG61" s="2335"/>
      <c r="BH61" s="2335"/>
      <c r="BI61" s="2335"/>
      <c r="BJ61" s="2335"/>
      <c r="BK61" s="2335"/>
      <c r="BL61" s="2335"/>
      <c r="BM61" s="2335"/>
      <c r="BN61" s="2335"/>
      <c r="BO61" s="2335"/>
      <c r="BP61" s="2335"/>
      <c r="BQ61" s="2335"/>
      <c r="BR61" s="2335"/>
      <c r="BS61" s="2335"/>
      <c r="BT61" s="2335"/>
      <c r="BU61" s="2335"/>
      <c r="BV61" s="2335"/>
      <c r="BW61" s="2335"/>
      <c r="BX61" s="2335"/>
    </row>
    <row r="62" spans="1:76" s="204" customFormat="1" ht="12.95" customHeight="1" thickTop="1"/>
    <row r="63" spans="1:76" ht="12.95" customHeight="1">
      <c r="A63" s="404" t="s">
        <v>589</v>
      </c>
      <c r="C63" s="205" t="s">
        <v>1248</v>
      </c>
      <c r="Y63" s="2371" t="s">
        <v>984</v>
      </c>
      <c r="Z63" s="2371"/>
      <c r="AA63" s="2371"/>
      <c r="AB63" s="2371"/>
      <c r="AC63" s="2371"/>
      <c r="AD63" s="2371" t="s">
        <v>369</v>
      </c>
      <c r="AE63" s="2371"/>
      <c r="AF63" s="2371"/>
      <c r="AG63" s="2371"/>
      <c r="AH63" s="2371"/>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2">
        <f>IF(Application!$Z$205="(select)",0,((T23*T27)+Y28))</f>
        <v>0</v>
      </c>
      <c r="Z64" s="2372"/>
      <c r="AA64" s="2372"/>
      <c r="AB64" s="2372"/>
      <c r="AC64" s="2373"/>
      <c r="AD64" s="2332">
        <f>IF(AND(OR(Application!D211="At-Risk",Application!D211="At-Risk and Special Needs"),Application!M367="yes"),AD28+AI28,0)</f>
        <v>0</v>
      </c>
      <c r="AE64" s="2372"/>
      <c r="AF64" s="2372"/>
      <c r="AG64" s="2372"/>
      <c r="AH64" s="2373"/>
    </row>
    <row r="65" spans="1:37" ht="12.95" customHeight="1">
      <c r="C65" s="404"/>
      <c r="E65" s="1012" t="s">
        <v>1825</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1826</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5">
        <f>IF(OR(Application!Z205="State Farmworker Credit",Application!Z205="$500M (Farmworker Housing)"),0.75,IF(Application!Z205="15% set-aside",0.13,IF(Application!Z205="15% set-aside with qualifying low value rehab",0.95,IF(Application!Z205="$500M",0.3,0))))</f>
        <v>0</v>
      </c>
      <c r="Z67" s="2385"/>
      <c r="AA67" s="2385"/>
      <c r="AB67" s="2385"/>
      <c r="AC67" s="2385"/>
      <c r="AD67" s="2385">
        <f>IF(Application!Z205="15% set-aside with qualifying low value rehab", 0.95,IF(OR(Application!D211="At-Risk",'Points System'!B26="Yes"),0.13,0))</f>
        <v>0</v>
      </c>
      <c r="AE67" s="2385"/>
      <c r="AF67" s="2385"/>
      <c r="AG67" s="2385"/>
      <c r="AH67" s="2385"/>
    </row>
    <row r="68" spans="1:37" ht="12.95" customHeight="1">
      <c r="C68" s="404"/>
      <c r="D68" s="205" t="s">
        <v>2180</v>
      </c>
      <c r="Y68" s="2331">
        <f>IF(AND(T25=1.3,OR(Y67=0.13,Y67=0.95),NOT(Application!T212&gt;=50%)),0,ROUND(Y64*Y67,0))</f>
        <v>0</v>
      </c>
      <c r="Z68" s="2386"/>
      <c r="AA68" s="2386"/>
      <c r="AB68" s="2386"/>
      <c r="AC68" s="2386"/>
      <c r="AD68" s="2331">
        <f>IF(AND(T25=1.3,AD67&gt;0,NOT(Application!T212&gt;=50%)),0,ROUND(AD64*AD67,0))</f>
        <v>0</v>
      </c>
      <c r="AE68" s="2386"/>
      <c r="AF68" s="2386"/>
      <c r="AG68" s="2386"/>
      <c r="AH68" s="2386"/>
      <c r="AK68" s="1192"/>
    </row>
    <row r="69" spans="1:37" ht="12.95" customHeight="1">
      <c r="C69" s="404"/>
      <c r="D69" s="205" t="s">
        <v>2181</v>
      </c>
      <c r="Y69" s="2331">
        <f>IF(OR(Application!Z205="State Farmworker Credit",Application!Z205="$500M (Farmworker Housing)"),Y68+AD68,MIN(Y68+AD68,200000*(Application!G761+Application!O785)))</f>
        <v>0</v>
      </c>
      <c r="Z69" s="2331"/>
      <c r="AA69" s="2331"/>
      <c r="AB69" s="2331"/>
      <c r="AC69" s="2331"/>
      <c r="AD69" s="2331"/>
      <c r="AE69" s="2331"/>
      <c r="AF69" s="2331"/>
      <c r="AG69" s="2331"/>
      <c r="AH69" s="2331"/>
    </row>
    <row r="70" spans="1:37" ht="12.95" customHeight="1">
      <c r="C70" s="404"/>
      <c r="E70" s="404"/>
      <c r="AB70" s="422"/>
      <c r="AC70" s="422"/>
      <c r="AD70" s="422"/>
      <c r="AE70" s="422"/>
      <c r="AF70" s="422"/>
    </row>
    <row r="71" spans="1:37" ht="12.95" customHeight="1">
      <c r="A71" s="404" t="s">
        <v>590</v>
      </c>
      <c r="C71" s="205" t="s">
        <v>284</v>
      </c>
    </row>
    <row r="72" spans="1:37" ht="12.95" customHeight="1">
      <c r="A72" s="404"/>
      <c r="C72" s="404"/>
      <c r="D72" s="205" t="s">
        <v>1250</v>
      </c>
      <c r="AB72" s="2374"/>
      <c r="AC72" s="2375"/>
      <c r="AD72" s="2375"/>
      <c r="AE72" s="2375"/>
      <c r="AF72" s="2376"/>
    </row>
    <row r="73" spans="1:37" ht="12.95" customHeight="1">
      <c r="A73" s="404"/>
      <c r="C73" s="404"/>
      <c r="D73" s="404"/>
      <c r="E73" s="2387" t="s">
        <v>1251</v>
      </c>
      <c r="F73" s="2387"/>
      <c r="G73" s="2387"/>
      <c r="H73" s="2387"/>
      <c r="I73" s="2387"/>
      <c r="J73" s="2387"/>
      <c r="K73" s="2387"/>
      <c r="L73" s="2387"/>
      <c r="M73" s="2387"/>
      <c r="N73" s="2387"/>
      <c r="O73" s="2387"/>
      <c r="P73" s="2387"/>
      <c r="Q73" s="2387"/>
      <c r="R73" s="2387"/>
      <c r="S73" s="2387"/>
      <c r="T73" s="2387"/>
      <c r="U73" s="2387"/>
      <c r="V73" s="2387"/>
      <c r="W73" s="2387"/>
      <c r="X73" s="2387"/>
      <c r="Y73" s="2387"/>
      <c r="Z73" s="2387"/>
      <c r="AA73" s="2387"/>
      <c r="AB73" s="438"/>
      <c r="AC73" s="438"/>
    </row>
    <row r="74" spans="1:37" ht="12.95" customHeight="1">
      <c r="A74" s="404"/>
      <c r="C74" s="404"/>
      <c r="D74" s="404"/>
      <c r="E74" s="2387"/>
      <c r="F74" s="2387"/>
      <c r="G74" s="2387"/>
      <c r="H74" s="2387"/>
      <c r="I74" s="2387"/>
      <c r="J74" s="2387"/>
      <c r="K74" s="2387"/>
      <c r="L74" s="2387"/>
      <c r="M74" s="2387"/>
      <c r="N74" s="2387"/>
      <c r="O74" s="2387"/>
      <c r="P74" s="2387"/>
      <c r="Q74" s="2387"/>
      <c r="R74" s="2387"/>
      <c r="S74" s="2387"/>
      <c r="T74" s="2387"/>
      <c r="U74" s="2387"/>
      <c r="V74" s="2387"/>
      <c r="W74" s="2387"/>
      <c r="X74" s="2387"/>
      <c r="Y74" s="2387"/>
      <c r="Z74" s="2387"/>
      <c r="AA74" s="2387"/>
      <c r="AB74" s="438"/>
      <c r="AC74" s="438"/>
    </row>
    <row r="75" spans="1:37" ht="12.95" customHeight="1">
      <c r="A75" s="404"/>
      <c r="C75" s="404"/>
      <c r="D75" s="404"/>
      <c r="E75" s="2387"/>
      <c r="F75" s="2387"/>
      <c r="G75" s="2387"/>
      <c r="H75" s="2387"/>
      <c r="I75" s="2387"/>
      <c r="J75" s="2387"/>
      <c r="K75" s="2387"/>
      <c r="L75" s="2387"/>
      <c r="M75" s="2387"/>
      <c r="N75" s="2387"/>
      <c r="O75" s="2387"/>
      <c r="P75" s="2387"/>
      <c r="Q75" s="2387"/>
      <c r="R75" s="2387"/>
      <c r="S75" s="2387"/>
      <c r="T75" s="2387"/>
      <c r="U75" s="2387"/>
      <c r="V75" s="2387"/>
      <c r="W75" s="2387"/>
      <c r="X75" s="2387"/>
      <c r="Y75" s="2387"/>
      <c r="Z75" s="2387"/>
      <c r="AA75" s="2387"/>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1252</v>
      </c>
      <c r="AB77" s="2380">
        <f>ROUND(IF(ISERROR((AB59/AB72)),0,(AB59/AB72)),0)</f>
        <v>0</v>
      </c>
      <c r="AC77" s="2380"/>
      <c r="AD77" s="2380"/>
      <c r="AE77" s="2380"/>
      <c r="AF77" s="2380"/>
    </row>
    <row r="78" spans="1:37" ht="12.95" customHeight="1">
      <c r="C78" s="404"/>
      <c r="D78" s="205" t="s">
        <v>1253</v>
      </c>
      <c r="AB78" s="2381">
        <f>ROUNDUP(MIN(Y69,AB77),0)</f>
        <v>0</v>
      </c>
      <c r="AC78" s="2382"/>
      <c r="AD78" s="2382"/>
      <c r="AE78" s="2382"/>
      <c r="AF78" s="2383"/>
    </row>
    <row r="79" spans="1:37" ht="12.95" customHeight="1">
      <c r="C79" s="404"/>
      <c r="D79" s="205" t="s">
        <v>1254</v>
      </c>
      <c r="AB79" s="2384">
        <f>AB78*AB72</f>
        <v>0</v>
      </c>
      <c r="AC79" s="2384"/>
      <c r="AD79" s="2384"/>
      <c r="AE79" s="2384"/>
      <c r="AF79" s="2384"/>
    </row>
    <row r="80" spans="1:37" ht="12.95" customHeight="1">
      <c r="C80" s="404"/>
      <c r="D80" s="404"/>
      <c r="AB80" s="425"/>
      <c r="AC80" s="425"/>
      <c r="AD80" s="425"/>
      <c r="AE80" s="425"/>
      <c r="AF80" s="425"/>
    </row>
    <row r="81" spans="1:78" ht="12.95" customHeight="1">
      <c r="D81" s="404" t="s">
        <v>754</v>
      </c>
      <c r="AB81" s="2370">
        <f>AB49-(AB57+AB79)</f>
        <v>0</v>
      </c>
      <c r="AC81" s="2370"/>
      <c r="AD81" s="2370"/>
      <c r="AE81" s="2370"/>
      <c r="AF81" s="2370"/>
    </row>
    <row r="82" spans="1:78" ht="12.95" customHeight="1">
      <c r="F82" s="522"/>
      <c r="J82" s="522" t="str">
        <f>IF(AB81&gt;0,"FUNDING GAP MUST NOT EXCEED ZERO","")</f>
        <v/>
      </c>
    </row>
    <row r="83" spans="1:78" ht="12.95" customHeight="1">
      <c r="D83" s="523"/>
    </row>
    <row r="84" spans="1:78" ht="12.95" customHeight="1" thickBot="1">
      <c r="A84" s="2335"/>
      <c r="B84" s="2335"/>
      <c r="C84" s="2335"/>
      <c r="D84" s="2335"/>
      <c r="E84" s="2335"/>
      <c r="F84" s="2335"/>
      <c r="G84" s="2335"/>
      <c r="H84" s="2335"/>
      <c r="I84" s="2335"/>
      <c r="J84" s="2335"/>
      <c r="K84" s="2335"/>
      <c r="L84" s="2335"/>
      <c r="M84" s="2335"/>
      <c r="N84" s="2335"/>
      <c r="O84" s="2335"/>
      <c r="P84" s="2335"/>
      <c r="Q84" s="2335"/>
      <c r="R84" s="2335"/>
      <c r="S84" s="2335"/>
      <c r="T84" s="2335"/>
      <c r="U84" s="2335"/>
      <c r="V84" s="2335"/>
      <c r="W84" s="2335"/>
      <c r="X84" s="2335"/>
      <c r="Y84" s="2335"/>
      <c r="Z84" s="2335"/>
      <c r="AA84" s="2335"/>
      <c r="AB84" s="2335"/>
      <c r="AC84" s="2335"/>
      <c r="AD84" s="2335"/>
      <c r="AE84" s="2335"/>
      <c r="AF84" s="2335"/>
      <c r="AG84" s="2335"/>
      <c r="AH84" s="2335"/>
      <c r="AI84" s="2335"/>
      <c r="AJ84" s="2335"/>
      <c r="AK84" s="2335"/>
      <c r="AL84" s="2335"/>
      <c r="AM84" s="2335"/>
      <c r="AN84" s="2335"/>
      <c r="AO84" s="2335"/>
      <c r="AP84" s="2335"/>
      <c r="AQ84" s="2335"/>
      <c r="AR84" s="2335"/>
      <c r="AS84" s="2335"/>
      <c r="AT84" s="2335"/>
      <c r="AU84" s="2335"/>
      <c r="AV84" s="2335"/>
      <c r="AW84" s="2335"/>
      <c r="AX84" s="2335"/>
      <c r="AY84" s="2335"/>
      <c r="AZ84" s="2335"/>
      <c r="BA84" s="2335"/>
      <c r="BB84" s="2335"/>
      <c r="BC84" s="2335"/>
      <c r="BD84" s="2335"/>
      <c r="BE84" s="2335"/>
      <c r="BF84" s="2335"/>
      <c r="BG84" s="2335"/>
      <c r="BH84" s="2335"/>
      <c r="BI84" s="2335"/>
      <c r="BJ84" s="2335"/>
      <c r="BK84" s="2335"/>
      <c r="BL84" s="2335"/>
      <c r="BM84" s="2335"/>
      <c r="BN84" s="2335"/>
      <c r="BO84" s="2335"/>
      <c r="BP84" s="2335"/>
      <c r="BQ84" s="2335"/>
      <c r="BR84" s="2335"/>
      <c r="BS84" s="2335"/>
      <c r="BT84" s="2335"/>
      <c r="BU84" s="2335"/>
      <c r="BV84" s="2335"/>
      <c r="BW84" s="2335"/>
      <c r="BX84" s="2335"/>
    </row>
    <row r="85" spans="1:78" ht="12.95" customHeight="1" thickTop="1"/>
    <row r="86" spans="1:78" ht="12.95" hidden="1" customHeight="1">
      <c r="A86" s="404"/>
      <c r="C86" s="205"/>
    </row>
    <row r="87" spans="1:78" ht="12.95" hidden="1" customHeight="1">
      <c r="D87" s="205"/>
      <c r="AB87" s="2336"/>
      <c r="AC87" s="2336"/>
      <c r="AD87" s="2336"/>
      <c r="AE87" s="2336"/>
      <c r="AF87" s="2336"/>
    </row>
    <row r="88" spans="1:78" ht="12.95" hidden="1" customHeight="1" thickBot="1">
      <c r="D88" s="205"/>
      <c r="AB88" s="2334"/>
      <c r="AC88" s="2334"/>
      <c r="AD88" s="2334"/>
      <c r="AE88" s="2334"/>
      <c r="AF88" s="2334"/>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workbookViewId="0">
      <selection activeCell="B32" sqref="B3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619" t="s">
        <v>1299</v>
      </c>
      <c r="B1" s="2619"/>
      <c r="C1" s="2619"/>
      <c r="D1" s="2619"/>
      <c r="E1" s="2619"/>
      <c r="F1" s="2619"/>
      <c r="G1" s="2619"/>
      <c r="H1" s="2619"/>
      <c r="I1" s="2619"/>
      <c r="J1" s="2619"/>
      <c r="K1" s="2619"/>
      <c r="L1" s="2619"/>
      <c r="M1" s="2619"/>
      <c r="N1" s="2619"/>
      <c r="O1" s="2619"/>
      <c r="P1" s="2619"/>
      <c r="Q1" s="2619"/>
      <c r="R1" s="2619"/>
      <c r="S1" s="2619"/>
      <c r="T1" s="2619"/>
      <c r="U1" s="2619"/>
      <c r="V1" s="2619"/>
      <c r="W1" s="2619"/>
      <c r="X1" s="2619"/>
      <c r="Y1" s="2619"/>
      <c r="Z1" s="2619"/>
      <c r="AA1" s="2619"/>
      <c r="AB1" s="2619"/>
      <c r="AC1" s="2619"/>
      <c r="AD1" s="2619"/>
      <c r="AE1" s="2619"/>
      <c r="AF1" s="2619"/>
      <c r="AG1" s="2619"/>
      <c r="AH1" s="2619"/>
      <c r="AI1" s="2619"/>
      <c r="AJ1" s="2619"/>
      <c r="AK1" s="2619"/>
      <c r="AL1" s="2619"/>
      <c r="AM1" s="2619"/>
    </row>
    <row r="2" spans="1:41" s="536" customFormat="1" ht="12.75" customHeight="1" thickBot="1">
      <c r="A2" s="2620"/>
      <c r="B2" s="2620"/>
      <c r="C2" s="2620"/>
      <c r="D2" s="2620"/>
      <c r="E2" s="2620"/>
      <c r="F2" s="2620"/>
      <c r="G2" s="2620"/>
      <c r="H2" s="2620"/>
      <c r="I2" s="2620"/>
      <c r="J2" s="2620"/>
      <c r="K2" s="2620"/>
      <c r="L2" s="2620"/>
      <c r="M2" s="2620"/>
      <c r="N2" s="2620"/>
      <c r="O2" s="2620"/>
      <c r="P2" s="2620"/>
      <c r="Q2" s="2620"/>
      <c r="R2" s="2620"/>
      <c r="S2" s="2620"/>
      <c r="T2" s="2620"/>
      <c r="U2" s="2620"/>
      <c r="V2" s="2620"/>
      <c r="W2" s="2620"/>
      <c r="X2" s="2620"/>
      <c r="Y2" s="2620"/>
      <c r="Z2" s="2620"/>
      <c r="AA2" s="2620"/>
      <c r="AB2" s="2620"/>
      <c r="AC2" s="2620"/>
      <c r="AD2" s="2620"/>
      <c r="AE2" s="2620"/>
      <c r="AF2" s="2620"/>
      <c r="AG2" s="2620"/>
      <c r="AH2" s="2620"/>
      <c r="AI2" s="2620"/>
      <c r="AJ2" s="2620"/>
      <c r="AK2" s="2620"/>
      <c r="AL2" s="2620"/>
      <c r="AM2" s="2620"/>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2551</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48" t="s">
        <v>1303</v>
      </c>
      <c r="AF7" s="2448"/>
      <c r="AG7" s="2448"/>
      <c r="AH7" s="2448"/>
      <c r="AI7" s="2448"/>
      <c r="AJ7" s="2448"/>
      <c r="AK7" s="2448"/>
      <c r="AL7" s="540"/>
      <c r="AM7" s="540"/>
      <c r="AN7" s="535"/>
    </row>
    <row r="8" spans="1:41" s="536" customFormat="1" ht="12.75" customHeight="1">
      <c r="A8" s="538"/>
      <c r="B8" s="539" t="s">
        <v>1718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2554</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90" t="s">
        <v>591</v>
      </c>
      <c r="C12" s="2590"/>
      <c r="D12" s="540"/>
      <c r="E12" s="2451" t="s">
        <v>2552</v>
      </c>
      <c r="F12" s="2452"/>
      <c r="G12" s="2452"/>
      <c r="H12" s="2452"/>
      <c r="I12" s="2452"/>
      <c r="J12" s="2452"/>
      <c r="K12" s="2452"/>
      <c r="L12" s="2452"/>
      <c r="M12" s="2452"/>
      <c r="N12" s="2452"/>
      <c r="O12" s="2452"/>
      <c r="P12" s="2452"/>
      <c r="Q12" s="2452"/>
      <c r="R12" s="2452"/>
      <c r="S12" s="2452"/>
      <c r="T12" s="2452"/>
      <c r="U12" s="2452"/>
      <c r="V12" s="2452"/>
      <c r="W12" s="2452"/>
      <c r="X12" s="2452"/>
      <c r="Y12" s="2452"/>
      <c r="Z12" s="2452"/>
      <c r="AA12" s="2452"/>
      <c r="AB12" s="2452"/>
      <c r="AC12" s="2452"/>
      <c r="AD12" s="2452"/>
      <c r="AE12" s="2452"/>
      <c r="AF12" s="2452"/>
      <c r="AG12" s="2452"/>
      <c r="AH12" s="2452"/>
      <c r="AI12" s="2452"/>
      <c r="AJ12" s="2453"/>
      <c r="AK12" s="540"/>
      <c r="AL12" s="540"/>
      <c r="AM12" s="540"/>
      <c r="AN12" s="535"/>
      <c r="AO12" s="557"/>
    </row>
    <row r="13" spans="1:41" s="536" customFormat="1" ht="12.75" customHeight="1">
      <c r="A13" s="540"/>
      <c r="D13" s="546"/>
      <c r="E13" s="2454"/>
      <c r="F13" s="2455"/>
      <c r="G13" s="2455"/>
      <c r="H13" s="2455"/>
      <c r="I13" s="2455"/>
      <c r="J13" s="2455"/>
      <c r="K13" s="2455"/>
      <c r="L13" s="2455"/>
      <c r="M13" s="2455"/>
      <c r="N13" s="2455"/>
      <c r="O13" s="2455"/>
      <c r="P13" s="2455"/>
      <c r="Q13" s="2455"/>
      <c r="R13" s="2455"/>
      <c r="S13" s="2455"/>
      <c r="T13" s="2455"/>
      <c r="U13" s="2455"/>
      <c r="V13" s="2455"/>
      <c r="W13" s="2455"/>
      <c r="X13" s="2455"/>
      <c r="Y13" s="2455"/>
      <c r="Z13" s="2455"/>
      <c r="AA13" s="2455"/>
      <c r="AB13" s="2455"/>
      <c r="AC13" s="2455"/>
      <c r="AD13" s="2455"/>
      <c r="AE13" s="2455"/>
      <c r="AF13" s="2455"/>
      <c r="AG13" s="2455"/>
      <c r="AH13" s="2455"/>
      <c r="AI13" s="2455"/>
      <c r="AJ13" s="2456"/>
      <c r="AK13" s="540"/>
      <c r="AL13" s="540"/>
      <c r="AM13" s="540"/>
      <c r="AN13" s="535"/>
      <c r="AO13" s="557"/>
    </row>
    <row r="14" spans="1:41" s="536" customFormat="1" ht="12.75" customHeight="1">
      <c r="A14" s="540"/>
      <c r="D14" s="540"/>
      <c r="E14" s="2607"/>
      <c r="F14" s="2608"/>
      <c r="G14" s="2608"/>
      <c r="H14" s="2608"/>
      <c r="I14" s="2608"/>
      <c r="J14" s="2608"/>
      <c r="K14" s="2608"/>
      <c r="L14" s="2608"/>
      <c r="M14" s="2608"/>
      <c r="N14" s="2608"/>
      <c r="O14" s="2608"/>
      <c r="P14" s="2608"/>
      <c r="Q14" s="2608"/>
      <c r="R14" s="2608"/>
      <c r="S14" s="2608"/>
      <c r="T14" s="2608"/>
      <c r="U14" s="2608"/>
      <c r="V14" s="2608"/>
      <c r="W14" s="2608"/>
      <c r="X14" s="2608"/>
      <c r="Y14" s="2608"/>
      <c r="Z14" s="2608"/>
      <c r="AA14" s="2608"/>
      <c r="AB14" s="2608"/>
      <c r="AC14" s="2608"/>
      <c r="AD14" s="2608"/>
      <c r="AE14" s="2608"/>
      <c r="AF14" s="2608"/>
      <c r="AG14" s="2608"/>
      <c r="AH14" s="2608"/>
      <c r="AI14" s="2608"/>
      <c r="AJ14" s="2609"/>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90" t="s">
        <v>591</v>
      </c>
      <c r="C16" s="2590"/>
      <c r="D16" s="540"/>
      <c r="E16" s="2451" t="s">
        <v>2553</v>
      </c>
      <c r="F16" s="2452"/>
      <c r="G16" s="2452"/>
      <c r="H16" s="2452"/>
      <c r="I16" s="2452"/>
      <c r="J16" s="2452"/>
      <c r="K16" s="2452"/>
      <c r="L16" s="2452"/>
      <c r="M16" s="2452"/>
      <c r="N16" s="2452"/>
      <c r="O16" s="2452"/>
      <c r="P16" s="2452"/>
      <c r="Q16" s="2452"/>
      <c r="R16" s="2452"/>
      <c r="S16" s="2452"/>
      <c r="T16" s="2452"/>
      <c r="U16" s="2452"/>
      <c r="V16" s="2452"/>
      <c r="W16" s="2452"/>
      <c r="X16" s="2452"/>
      <c r="Y16" s="2452"/>
      <c r="Z16" s="2452"/>
      <c r="AA16" s="2452"/>
      <c r="AB16" s="2452"/>
      <c r="AC16" s="2452"/>
      <c r="AD16" s="2452"/>
      <c r="AE16" s="2452"/>
      <c r="AF16" s="2452"/>
      <c r="AG16" s="2452"/>
      <c r="AH16" s="2452"/>
      <c r="AI16" s="2452"/>
      <c r="AJ16" s="2453"/>
      <c r="AK16" s="540"/>
      <c r="AL16" s="540"/>
      <c r="AM16" s="540"/>
      <c r="AN16" s="535"/>
    </row>
    <row r="17" spans="1:50" s="536" customFormat="1" ht="12.75" customHeight="1">
      <c r="A17" s="540"/>
      <c r="B17" s="540"/>
      <c r="C17" s="540"/>
      <c r="D17" s="540"/>
      <c r="E17" s="2454"/>
      <c r="F17" s="2455"/>
      <c r="G17" s="2455"/>
      <c r="H17" s="2455"/>
      <c r="I17" s="2455"/>
      <c r="J17" s="2455"/>
      <c r="K17" s="2455"/>
      <c r="L17" s="2455"/>
      <c r="M17" s="2455"/>
      <c r="N17" s="2455"/>
      <c r="O17" s="2455"/>
      <c r="P17" s="2455"/>
      <c r="Q17" s="2455"/>
      <c r="R17" s="2455"/>
      <c r="S17" s="2455"/>
      <c r="T17" s="2455"/>
      <c r="U17" s="2455"/>
      <c r="V17" s="2455"/>
      <c r="W17" s="2455"/>
      <c r="X17" s="2455"/>
      <c r="Y17" s="2455"/>
      <c r="Z17" s="2455"/>
      <c r="AA17" s="2455"/>
      <c r="AB17" s="2455"/>
      <c r="AC17" s="2455"/>
      <c r="AD17" s="2455"/>
      <c r="AE17" s="2455"/>
      <c r="AF17" s="2455"/>
      <c r="AG17" s="2455"/>
      <c r="AH17" s="2455"/>
      <c r="AI17" s="2455"/>
      <c r="AJ17" s="2456"/>
      <c r="AK17" s="540"/>
      <c r="AL17" s="540"/>
      <c r="AM17" s="540"/>
      <c r="AN17" s="535"/>
    </row>
    <row r="18" spans="1:50" s="536" customFormat="1" ht="12.75" customHeight="1">
      <c r="A18" s="540"/>
      <c r="B18" s="540"/>
      <c r="C18" s="1135"/>
      <c r="D18" s="540"/>
      <c r="E18" s="2607"/>
      <c r="F18" s="2608"/>
      <c r="G18" s="2608"/>
      <c r="H18" s="2608"/>
      <c r="I18" s="2608"/>
      <c r="J18" s="2608"/>
      <c r="K18" s="2608"/>
      <c r="L18" s="2608"/>
      <c r="M18" s="2608"/>
      <c r="N18" s="2608"/>
      <c r="O18" s="2608"/>
      <c r="P18" s="2608"/>
      <c r="Q18" s="2608"/>
      <c r="R18" s="2608"/>
      <c r="S18" s="2608"/>
      <c r="T18" s="2608"/>
      <c r="U18" s="2608"/>
      <c r="V18" s="2608"/>
      <c r="W18" s="2608"/>
      <c r="X18" s="2608"/>
      <c r="Y18" s="2608"/>
      <c r="Z18" s="2608"/>
      <c r="AA18" s="2608"/>
      <c r="AB18" s="2608"/>
      <c r="AC18" s="2608"/>
      <c r="AD18" s="2608"/>
      <c r="AE18" s="2608"/>
      <c r="AF18" s="2608"/>
      <c r="AG18" s="2608"/>
      <c r="AH18" s="2608"/>
      <c r="AI18" s="2608"/>
      <c r="AJ18" s="2609"/>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90" t="s">
        <v>591</v>
      </c>
      <c r="C20" s="2590"/>
      <c r="D20" s="540"/>
      <c r="E20" s="2451" t="s">
        <v>1980</v>
      </c>
      <c r="F20" s="2452"/>
      <c r="G20" s="2452"/>
      <c r="H20" s="2452"/>
      <c r="I20" s="2452"/>
      <c r="J20" s="2452"/>
      <c r="K20" s="2452"/>
      <c r="L20" s="2452"/>
      <c r="M20" s="2452"/>
      <c r="N20" s="2452"/>
      <c r="O20" s="2452"/>
      <c r="P20" s="2452"/>
      <c r="Q20" s="2452"/>
      <c r="R20" s="2452"/>
      <c r="S20" s="2452"/>
      <c r="T20" s="2452"/>
      <c r="U20" s="2452"/>
      <c r="V20" s="2452"/>
      <c r="W20" s="2452"/>
      <c r="X20" s="2452"/>
      <c r="Y20" s="2452"/>
      <c r="Z20" s="2452"/>
      <c r="AA20" s="2452"/>
      <c r="AB20" s="2452"/>
      <c r="AC20" s="2452"/>
      <c r="AD20" s="2452"/>
      <c r="AE20" s="2452"/>
      <c r="AF20" s="2452"/>
      <c r="AG20" s="2452"/>
      <c r="AH20" s="2452"/>
      <c r="AI20" s="2452"/>
      <c r="AJ20" s="2453"/>
      <c r="AK20" s="540"/>
      <c r="AL20" s="540"/>
      <c r="AM20" s="540"/>
      <c r="AN20" s="535"/>
    </row>
    <row r="21" spans="1:50" s="536" customFormat="1" ht="12.75" customHeight="1">
      <c r="A21" s="540"/>
      <c r="B21" s="546"/>
      <c r="C21" s="546"/>
      <c r="D21" s="546"/>
      <c r="E21" s="2607"/>
      <c r="F21" s="2608"/>
      <c r="G21" s="2608"/>
      <c r="H21" s="2608"/>
      <c r="I21" s="2608"/>
      <c r="J21" s="2608"/>
      <c r="K21" s="2608"/>
      <c r="L21" s="2608"/>
      <c r="M21" s="2608"/>
      <c r="N21" s="2608"/>
      <c r="O21" s="2608"/>
      <c r="P21" s="2608"/>
      <c r="Q21" s="2608"/>
      <c r="R21" s="2608"/>
      <c r="S21" s="2608"/>
      <c r="T21" s="2608"/>
      <c r="U21" s="2608"/>
      <c r="V21" s="2608"/>
      <c r="W21" s="2608"/>
      <c r="X21" s="2608"/>
      <c r="Y21" s="2608"/>
      <c r="Z21" s="2608"/>
      <c r="AA21" s="2608"/>
      <c r="AB21" s="2608"/>
      <c r="AC21" s="2608"/>
      <c r="AD21" s="2608"/>
      <c r="AE21" s="2608"/>
      <c r="AF21" s="2608"/>
      <c r="AG21" s="2608"/>
      <c r="AH21" s="2608"/>
      <c r="AI21" s="2608"/>
      <c r="AJ21" s="2609"/>
      <c r="AK21" s="540"/>
      <c r="AL21" s="540"/>
      <c r="AM21" s="540"/>
      <c r="AN21" s="535"/>
      <c r="AO21" s="536">
        <f>IF(AND(B12="Yes",B16="Yes",B20="Yes"),10,0)</f>
        <v>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2555</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2556</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90" t="s">
        <v>591</v>
      </c>
      <c r="C26" s="2590"/>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21"/>
      <c r="AH26" s="2621"/>
      <c r="AI26" s="2621"/>
      <c r="AJ26" s="2622"/>
      <c r="AK26" s="540"/>
      <c r="AL26" s="540"/>
      <c r="AM26" s="540"/>
      <c r="AN26" s="535"/>
      <c r="AO26" s="536">
        <f>IF($B26="yes",20,0)</f>
        <v>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2557</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90" t="s">
        <v>591</v>
      </c>
      <c r="C30" s="2590"/>
      <c r="D30" s="546"/>
      <c r="E30" s="2623" t="s">
        <v>2560</v>
      </c>
      <c r="F30" s="2624"/>
      <c r="G30" s="2624"/>
      <c r="H30" s="2624"/>
      <c r="I30" s="2624"/>
      <c r="J30" s="2624"/>
      <c r="K30" s="2624"/>
      <c r="L30" s="2624"/>
      <c r="M30" s="2624"/>
      <c r="N30" s="2624"/>
      <c r="O30" s="2624"/>
      <c r="P30" s="2624"/>
      <c r="Q30" s="2624"/>
      <c r="R30" s="2624"/>
      <c r="S30" s="2624"/>
      <c r="T30" s="2624"/>
      <c r="U30" s="2624"/>
      <c r="V30" s="2624"/>
      <c r="W30" s="2624"/>
      <c r="X30" s="2624"/>
      <c r="Y30" s="2624"/>
      <c r="Z30" s="2624"/>
      <c r="AA30" s="2624"/>
      <c r="AB30" s="2624"/>
      <c r="AC30" s="2624"/>
      <c r="AD30" s="2624"/>
      <c r="AE30" s="2624"/>
      <c r="AF30" s="2624"/>
      <c r="AG30" s="2624"/>
      <c r="AH30" s="2624"/>
      <c r="AI30" s="2624"/>
      <c r="AJ30" s="2625"/>
      <c r="AK30" s="540"/>
      <c r="AL30" s="540"/>
      <c r="AM30" s="540"/>
      <c r="AN30" s="535"/>
      <c r="AO30" s="549">
        <f>IF($B30="yes",9,0)</f>
        <v>0</v>
      </c>
    </row>
    <row r="31" spans="1:50" s="536" customFormat="1" ht="12.75" customHeight="1">
      <c r="A31" s="540"/>
      <c r="B31" s="540"/>
      <c r="C31" s="540"/>
      <c r="E31" s="2629"/>
      <c r="F31" s="2630"/>
      <c r="G31" s="2630"/>
      <c r="H31" s="2630"/>
      <c r="I31" s="2630"/>
      <c r="J31" s="2630"/>
      <c r="K31" s="2630"/>
      <c r="L31" s="2630"/>
      <c r="M31" s="2630"/>
      <c r="N31" s="2630"/>
      <c r="O31" s="2630"/>
      <c r="P31" s="2630"/>
      <c r="Q31" s="2630"/>
      <c r="R31" s="2630"/>
      <c r="S31" s="2630"/>
      <c r="T31" s="2630"/>
      <c r="U31" s="2630"/>
      <c r="V31" s="2630"/>
      <c r="W31" s="2630"/>
      <c r="X31" s="2630"/>
      <c r="Y31" s="2630"/>
      <c r="Z31" s="2630"/>
      <c r="AA31" s="2630"/>
      <c r="AB31" s="2630"/>
      <c r="AC31" s="2630"/>
      <c r="AD31" s="2630"/>
      <c r="AE31" s="2630"/>
      <c r="AF31" s="2630"/>
      <c r="AG31" s="2630"/>
      <c r="AH31" s="2630"/>
      <c r="AI31" s="2630"/>
      <c r="AJ31" s="2631"/>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90" t="s">
        <v>591</v>
      </c>
      <c r="C33" s="2590"/>
      <c r="D33" s="546"/>
      <c r="E33" s="2623" t="s">
        <v>2561</v>
      </c>
      <c r="F33" s="2624"/>
      <c r="G33" s="2624"/>
      <c r="H33" s="2624"/>
      <c r="I33" s="2624"/>
      <c r="J33" s="2624"/>
      <c r="K33" s="2624"/>
      <c r="L33" s="2624"/>
      <c r="M33" s="2624"/>
      <c r="N33" s="2624"/>
      <c r="O33" s="2624"/>
      <c r="P33" s="2624"/>
      <c r="Q33" s="2624"/>
      <c r="R33" s="2624"/>
      <c r="S33" s="2624"/>
      <c r="T33" s="2624"/>
      <c r="U33" s="2624"/>
      <c r="V33" s="2624"/>
      <c r="W33" s="2624"/>
      <c r="X33" s="2624"/>
      <c r="Y33" s="2624"/>
      <c r="Z33" s="2624"/>
      <c r="AA33" s="2624"/>
      <c r="AB33" s="2624"/>
      <c r="AC33" s="2624"/>
      <c r="AD33" s="2624"/>
      <c r="AE33" s="2624"/>
      <c r="AF33" s="2624"/>
      <c r="AG33" s="2624"/>
      <c r="AH33" s="2624"/>
      <c r="AI33" s="2624"/>
      <c r="AJ33" s="2625"/>
      <c r="AK33" s="540"/>
      <c r="AL33" s="540"/>
      <c r="AM33" s="540"/>
      <c r="AN33" s="535"/>
      <c r="AO33" s="549">
        <f>IF($B39="yes",9,0)</f>
        <v>0</v>
      </c>
    </row>
    <row r="34" spans="1:43" s="536" customFormat="1" ht="12.75" customHeight="1">
      <c r="A34" s="540"/>
      <c r="B34" s="540"/>
      <c r="C34" s="540"/>
      <c r="D34" s="546"/>
      <c r="E34" s="2626"/>
      <c r="F34" s="2627"/>
      <c r="G34" s="2627"/>
      <c r="H34" s="2627"/>
      <c r="I34" s="2627"/>
      <c r="J34" s="2627"/>
      <c r="K34" s="2627"/>
      <c r="L34" s="2627"/>
      <c r="M34" s="2627"/>
      <c r="N34" s="2627"/>
      <c r="O34" s="2627"/>
      <c r="P34" s="2627"/>
      <c r="Q34" s="2627"/>
      <c r="R34" s="2627"/>
      <c r="S34" s="2627"/>
      <c r="T34" s="2627"/>
      <c r="U34" s="2627"/>
      <c r="V34" s="2627"/>
      <c r="W34" s="2627"/>
      <c r="X34" s="2627"/>
      <c r="Y34" s="2627"/>
      <c r="Z34" s="2627"/>
      <c r="AA34" s="2627"/>
      <c r="AB34" s="2627"/>
      <c r="AC34" s="2627"/>
      <c r="AD34" s="2627"/>
      <c r="AE34" s="2627"/>
      <c r="AF34" s="2627"/>
      <c r="AG34" s="2627"/>
      <c r="AH34" s="2627"/>
      <c r="AI34" s="2627"/>
      <c r="AJ34" s="2628"/>
      <c r="AK34" s="540"/>
      <c r="AL34" s="540"/>
      <c r="AM34" s="540"/>
      <c r="AN34" s="535"/>
      <c r="AO34" s="536">
        <f>MAX(AO30,AO31,AO32,AO33)</f>
        <v>0</v>
      </c>
      <c r="AP34" s="536" t="s">
        <v>1305</v>
      </c>
    </row>
    <row r="35" spans="1:43" s="536" customFormat="1" ht="12.75" customHeight="1">
      <c r="A35" s="540"/>
      <c r="B35" s="540"/>
      <c r="C35" s="540"/>
      <c r="E35" s="2629"/>
      <c r="F35" s="2630"/>
      <c r="G35" s="2630"/>
      <c r="H35" s="2630"/>
      <c r="I35" s="2630"/>
      <c r="J35" s="2630"/>
      <c r="K35" s="2630"/>
      <c r="L35" s="2630"/>
      <c r="M35" s="2630"/>
      <c r="N35" s="2630"/>
      <c r="O35" s="2630"/>
      <c r="P35" s="2630"/>
      <c r="Q35" s="2630"/>
      <c r="R35" s="2630"/>
      <c r="S35" s="2630"/>
      <c r="T35" s="2630"/>
      <c r="U35" s="2630"/>
      <c r="V35" s="2630"/>
      <c r="W35" s="2630"/>
      <c r="X35" s="2630"/>
      <c r="Y35" s="2630"/>
      <c r="Z35" s="2630"/>
      <c r="AA35" s="2630"/>
      <c r="AB35" s="2630"/>
      <c r="AC35" s="2630"/>
      <c r="AD35" s="2630"/>
      <c r="AE35" s="2630"/>
      <c r="AF35" s="2630"/>
      <c r="AG35" s="2630"/>
      <c r="AH35" s="2630"/>
      <c r="AI35" s="2630"/>
      <c r="AJ35" s="2631"/>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90" t="s">
        <v>591</v>
      </c>
      <c r="C37" s="2590"/>
      <c r="D37" s="1136"/>
      <c r="E37" s="2616" t="s">
        <v>2565</v>
      </c>
      <c r="F37" s="2617"/>
      <c r="G37" s="2617"/>
      <c r="H37" s="2617"/>
      <c r="I37" s="2617"/>
      <c r="J37" s="2617"/>
      <c r="K37" s="2617"/>
      <c r="L37" s="2617"/>
      <c r="M37" s="2617"/>
      <c r="N37" s="2617"/>
      <c r="O37" s="2617"/>
      <c r="P37" s="2617"/>
      <c r="Q37" s="2617"/>
      <c r="R37" s="2617"/>
      <c r="S37" s="2617"/>
      <c r="T37" s="2617"/>
      <c r="U37" s="2617"/>
      <c r="V37" s="2617"/>
      <c r="W37" s="2617"/>
      <c r="X37" s="2617"/>
      <c r="Y37" s="2617"/>
      <c r="Z37" s="2617"/>
      <c r="AA37" s="2617"/>
      <c r="AB37" s="2617"/>
      <c r="AC37" s="2617"/>
      <c r="AD37" s="2617"/>
      <c r="AE37" s="2617"/>
      <c r="AF37" s="2617"/>
      <c r="AG37" s="2617"/>
      <c r="AH37" s="2617"/>
      <c r="AI37" s="2617"/>
      <c r="AJ37" s="2618"/>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90" t="s">
        <v>591</v>
      </c>
      <c r="C39" s="2590"/>
      <c r="D39" s="1136"/>
      <c r="E39" s="2616" t="s">
        <v>2562</v>
      </c>
      <c r="F39" s="2617"/>
      <c r="G39" s="2617"/>
      <c r="H39" s="2617"/>
      <c r="I39" s="2617"/>
      <c r="J39" s="2617"/>
      <c r="K39" s="2617"/>
      <c r="L39" s="2617"/>
      <c r="M39" s="2617"/>
      <c r="N39" s="2617"/>
      <c r="O39" s="2617"/>
      <c r="P39" s="2617"/>
      <c r="Q39" s="2617"/>
      <c r="R39" s="2617"/>
      <c r="S39" s="2617"/>
      <c r="T39" s="2617"/>
      <c r="U39" s="2617"/>
      <c r="V39" s="2617"/>
      <c r="W39" s="2617"/>
      <c r="X39" s="2617"/>
      <c r="Y39" s="2617"/>
      <c r="Z39" s="2617"/>
      <c r="AA39" s="2617"/>
      <c r="AB39" s="2617"/>
      <c r="AC39" s="2617"/>
      <c r="AD39" s="2617"/>
      <c r="AE39" s="2617"/>
      <c r="AF39" s="2617"/>
      <c r="AG39" s="2617"/>
      <c r="AH39" s="2617"/>
      <c r="AI39" s="2617"/>
      <c r="AJ39" s="2618"/>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2558</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90" t="s">
        <v>591</v>
      </c>
      <c r="C43" s="2590"/>
      <c r="D43" s="546"/>
      <c r="E43" s="2591" t="s">
        <v>2564</v>
      </c>
      <c r="F43" s="2592"/>
      <c r="G43" s="2592"/>
      <c r="H43" s="2592"/>
      <c r="I43" s="2592"/>
      <c r="J43" s="2592"/>
      <c r="K43" s="2592"/>
      <c r="L43" s="2592"/>
      <c r="M43" s="2592"/>
      <c r="N43" s="2592"/>
      <c r="O43" s="2592"/>
      <c r="P43" s="2592"/>
      <c r="Q43" s="2592"/>
      <c r="R43" s="2592"/>
      <c r="S43" s="2592"/>
      <c r="T43" s="2592"/>
      <c r="U43" s="2592"/>
      <c r="V43" s="2592"/>
      <c r="W43" s="2592"/>
      <c r="X43" s="2592"/>
      <c r="Y43" s="2592"/>
      <c r="Z43" s="2592"/>
      <c r="AA43" s="2592"/>
      <c r="AB43" s="2592"/>
      <c r="AC43" s="2592"/>
      <c r="AD43" s="2592"/>
      <c r="AE43" s="2592"/>
      <c r="AF43" s="2592"/>
      <c r="AG43" s="2592"/>
      <c r="AH43" s="2592"/>
      <c r="AI43" s="2592"/>
      <c r="AJ43" s="2593"/>
      <c r="AK43" s="540"/>
      <c r="AL43" s="540"/>
      <c r="AM43" s="540"/>
      <c r="AN43" s="535"/>
      <c r="AO43" s="549">
        <f>IF($B43="yes",8,0)</f>
        <v>0</v>
      </c>
      <c r="AP43" s="14"/>
    </row>
    <row r="44" spans="1:43" s="536" customFormat="1" ht="12.75" customHeight="1">
      <c r="A44" s="540"/>
      <c r="B44" s="540"/>
      <c r="C44" s="540"/>
      <c r="D44" s="550"/>
      <c r="E44" s="2632"/>
      <c r="F44" s="2633"/>
      <c r="G44" s="2633"/>
      <c r="H44" s="2633"/>
      <c r="I44" s="2633"/>
      <c r="J44" s="2633"/>
      <c r="K44" s="2633"/>
      <c r="L44" s="2633"/>
      <c r="M44" s="2633"/>
      <c r="N44" s="2633"/>
      <c r="O44" s="2633"/>
      <c r="P44" s="2633"/>
      <c r="Q44" s="2633"/>
      <c r="R44" s="2633"/>
      <c r="S44" s="2633"/>
      <c r="T44" s="2633"/>
      <c r="U44" s="2633"/>
      <c r="V44" s="2633"/>
      <c r="W44" s="2633"/>
      <c r="X44" s="2633"/>
      <c r="Y44" s="2633"/>
      <c r="Z44" s="2633"/>
      <c r="AA44" s="2633"/>
      <c r="AB44" s="2633"/>
      <c r="AC44" s="2633"/>
      <c r="AD44" s="2633"/>
      <c r="AE44" s="2633"/>
      <c r="AF44" s="2633"/>
      <c r="AG44" s="2633"/>
      <c r="AH44" s="2633"/>
      <c r="AI44" s="2633"/>
      <c r="AJ44" s="2634"/>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90" t="s">
        <v>591</v>
      </c>
      <c r="C46" s="2590"/>
      <c r="D46" s="546"/>
      <c r="E46" s="2623" t="s">
        <v>2563</v>
      </c>
      <c r="F46" s="2624"/>
      <c r="G46" s="2624"/>
      <c r="H46" s="2624"/>
      <c r="I46" s="2624"/>
      <c r="J46" s="2624"/>
      <c r="K46" s="2624"/>
      <c r="L46" s="2624"/>
      <c r="M46" s="2624"/>
      <c r="N46" s="2624"/>
      <c r="O46" s="2624"/>
      <c r="P46" s="2624"/>
      <c r="Q46" s="2624"/>
      <c r="R46" s="2624"/>
      <c r="S46" s="2624"/>
      <c r="T46" s="2624"/>
      <c r="U46" s="2624"/>
      <c r="V46" s="2624"/>
      <c r="W46" s="2624"/>
      <c r="X46" s="2624"/>
      <c r="Y46" s="2624"/>
      <c r="Z46" s="2624"/>
      <c r="AA46" s="2624"/>
      <c r="AB46" s="2624"/>
      <c r="AC46" s="2624"/>
      <c r="AD46" s="2624"/>
      <c r="AE46" s="2624"/>
      <c r="AF46" s="2624"/>
      <c r="AG46" s="2624"/>
      <c r="AH46" s="2624"/>
      <c r="AI46" s="2624"/>
      <c r="AJ46" s="2625"/>
      <c r="AK46" s="540"/>
      <c r="AL46" s="540"/>
      <c r="AM46" s="540"/>
      <c r="AN46" s="535"/>
      <c r="AO46" s="549">
        <f>IF($B52="yes",8,0)</f>
        <v>0</v>
      </c>
    </row>
    <row r="47" spans="1:43" s="536" customFormat="1" ht="12.75" customHeight="1">
      <c r="A47" s="540"/>
      <c r="B47" s="540"/>
      <c r="C47" s="540"/>
      <c r="D47" s="549"/>
      <c r="E47" s="2629"/>
      <c r="F47" s="2630"/>
      <c r="G47" s="2630"/>
      <c r="H47" s="2630"/>
      <c r="I47" s="2630"/>
      <c r="J47" s="2630"/>
      <c r="K47" s="2630"/>
      <c r="L47" s="2630"/>
      <c r="M47" s="2630"/>
      <c r="N47" s="2630"/>
      <c r="O47" s="2630"/>
      <c r="P47" s="2630"/>
      <c r="Q47" s="2630"/>
      <c r="R47" s="2630"/>
      <c r="S47" s="2630"/>
      <c r="T47" s="2630"/>
      <c r="U47" s="2630"/>
      <c r="V47" s="2630"/>
      <c r="W47" s="2630"/>
      <c r="X47" s="2630"/>
      <c r="Y47" s="2630"/>
      <c r="Z47" s="2630"/>
      <c r="AA47" s="2630"/>
      <c r="AB47" s="2630"/>
      <c r="AC47" s="2630"/>
      <c r="AD47" s="2630"/>
      <c r="AE47" s="2630"/>
      <c r="AF47" s="2630"/>
      <c r="AG47" s="2630"/>
      <c r="AH47" s="2630"/>
      <c r="AI47" s="2630"/>
      <c r="AJ47" s="2631"/>
      <c r="AK47" s="540"/>
      <c r="AL47" s="540"/>
      <c r="AM47" s="540"/>
      <c r="AN47" s="535"/>
      <c r="AO47" s="536">
        <f>MAX(AO43,AO44,AO45,AO46)</f>
        <v>0</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90" t="s">
        <v>591</v>
      </c>
      <c r="C49" s="2590"/>
      <c r="D49" s="546"/>
      <c r="E49" s="2451" t="s">
        <v>1994</v>
      </c>
      <c r="F49" s="2452"/>
      <c r="G49" s="2452"/>
      <c r="H49" s="2452"/>
      <c r="I49" s="2452"/>
      <c r="J49" s="2452"/>
      <c r="K49" s="2452"/>
      <c r="L49" s="2452"/>
      <c r="M49" s="2452"/>
      <c r="N49" s="2452"/>
      <c r="O49" s="2452"/>
      <c r="P49" s="2452"/>
      <c r="Q49" s="2452"/>
      <c r="R49" s="2452"/>
      <c r="S49" s="2452"/>
      <c r="T49" s="2452"/>
      <c r="U49" s="2452"/>
      <c r="V49" s="2452"/>
      <c r="W49" s="2452"/>
      <c r="X49" s="2452"/>
      <c r="Y49" s="2452"/>
      <c r="Z49" s="2452"/>
      <c r="AA49" s="2452"/>
      <c r="AB49" s="2452"/>
      <c r="AC49" s="2452"/>
      <c r="AD49" s="2452"/>
      <c r="AE49" s="2452"/>
      <c r="AF49" s="2452"/>
      <c r="AG49" s="2452"/>
      <c r="AH49" s="2452"/>
      <c r="AI49" s="2452"/>
      <c r="AJ49" s="2453"/>
      <c r="AK49" s="540"/>
      <c r="AL49" s="540"/>
      <c r="AM49" s="540"/>
      <c r="AN49" s="535"/>
      <c r="AO49" s="549"/>
    </row>
    <row r="50" spans="1:42" s="536" customFormat="1" ht="12.75" customHeight="1">
      <c r="A50" s="540"/>
      <c r="B50" s="540"/>
      <c r="C50" s="540"/>
      <c r="D50" s="549"/>
      <c r="E50" s="2607"/>
      <c r="F50" s="2608"/>
      <c r="G50" s="2608"/>
      <c r="H50" s="2608"/>
      <c r="I50" s="2608"/>
      <c r="J50" s="2608"/>
      <c r="K50" s="2608"/>
      <c r="L50" s="2608"/>
      <c r="M50" s="2608"/>
      <c r="N50" s="2608"/>
      <c r="O50" s="2608"/>
      <c r="P50" s="2608"/>
      <c r="Q50" s="2608"/>
      <c r="R50" s="2608"/>
      <c r="S50" s="2608"/>
      <c r="T50" s="2608"/>
      <c r="U50" s="2608"/>
      <c r="V50" s="2608"/>
      <c r="W50" s="2608"/>
      <c r="X50" s="2608"/>
      <c r="Y50" s="2608"/>
      <c r="Z50" s="2608"/>
      <c r="AA50" s="2608"/>
      <c r="AB50" s="2608"/>
      <c r="AC50" s="2608"/>
      <c r="AD50" s="2608"/>
      <c r="AE50" s="2608"/>
      <c r="AF50" s="2608"/>
      <c r="AG50" s="2608"/>
      <c r="AH50" s="2608"/>
      <c r="AI50" s="2608"/>
      <c r="AJ50" s="2609"/>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90" t="s">
        <v>591</v>
      </c>
      <c r="C52" s="2590"/>
      <c r="D52" s="546"/>
      <c r="E52" s="2616" t="s">
        <v>2203</v>
      </c>
      <c r="F52" s="2617"/>
      <c r="G52" s="2617"/>
      <c r="H52" s="2617"/>
      <c r="I52" s="2617"/>
      <c r="J52" s="2617"/>
      <c r="K52" s="2617"/>
      <c r="L52" s="2617"/>
      <c r="M52" s="2617"/>
      <c r="N52" s="2617"/>
      <c r="O52" s="2617"/>
      <c r="P52" s="2617"/>
      <c r="Q52" s="2617"/>
      <c r="R52" s="2617"/>
      <c r="S52" s="2617"/>
      <c r="T52" s="2617"/>
      <c r="U52" s="2617"/>
      <c r="V52" s="2617"/>
      <c r="W52" s="2617"/>
      <c r="X52" s="2617"/>
      <c r="Y52" s="2617"/>
      <c r="Z52" s="2617"/>
      <c r="AA52" s="2617"/>
      <c r="AB52" s="2617"/>
      <c r="AC52" s="2617"/>
      <c r="AD52" s="2617"/>
      <c r="AE52" s="2617"/>
      <c r="AF52" s="2617"/>
      <c r="AG52" s="2617"/>
      <c r="AH52" s="2617"/>
      <c r="AI52" s="2617"/>
      <c r="AJ52" s="2618"/>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2559</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90" t="s">
        <v>591</v>
      </c>
      <c r="C56" s="2590"/>
      <c r="D56" s="546"/>
      <c r="E56" s="2451" t="s">
        <v>2566</v>
      </c>
      <c r="F56" s="2452"/>
      <c r="G56" s="2452"/>
      <c r="H56" s="2452"/>
      <c r="I56" s="2452"/>
      <c r="J56" s="2452"/>
      <c r="K56" s="2452"/>
      <c r="L56" s="2452"/>
      <c r="M56" s="2452"/>
      <c r="N56" s="2452"/>
      <c r="O56" s="2452"/>
      <c r="P56" s="2452"/>
      <c r="Q56" s="2452"/>
      <c r="R56" s="2452"/>
      <c r="S56" s="2452"/>
      <c r="T56" s="2452"/>
      <c r="U56" s="2452"/>
      <c r="V56" s="2452"/>
      <c r="W56" s="2452"/>
      <c r="X56" s="2452"/>
      <c r="Y56" s="2452"/>
      <c r="Z56" s="2452"/>
      <c r="AA56" s="2452"/>
      <c r="AB56" s="2452"/>
      <c r="AC56" s="2452"/>
      <c r="AD56" s="2452"/>
      <c r="AE56" s="2452"/>
      <c r="AF56" s="2452"/>
      <c r="AG56" s="2452"/>
      <c r="AH56" s="2452"/>
      <c r="AI56" s="2452"/>
      <c r="AJ56" s="2453"/>
      <c r="AK56" s="540"/>
      <c r="AL56" s="540"/>
      <c r="AM56" s="540"/>
      <c r="AN56" s="535"/>
      <c r="AO56" s="549">
        <f>IF($B59="yes",7,0)</f>
        <v>0</v>
      </c>
    </row>
    <row r="57" spans="1:42" s="536" customFormat="1" ht="12.75" customHeight="1">
      <c r="A57" s="540"/>
      <c r="B57" s="540"/>
      <c r="C57" s="540"/>
      <c r="D57" s="549"/>
      <c r="E57" s="2607"/>
      <c r="F57" s="2608"/>
      <c r="G57" s="2608"/>
      <c r="H57" s="2608"/>
      <c r="I57" s="2608"/>
      <c r="J57" s="2608"/>
      <c r="K57" s="2608"/>
      <c r="L57" s="2608"/>
      <c r="M57" s="2608"/>
      <c r="N57" s="2608"/>
      <c r="O57" s="2608"/>
      <c r="P57" s="2608"/>
      <c r="Q57" s="2608"/>
      <c r="R57" s="2608"/>
      <c r="S57" s="2608"/>
      <c r="T57" s="2608"/>
      <c r="U57" s="2608"/>
      <c r="V57" s="2608"/>
      <c r="W57" s="2608"/>
      <c r="X57" s="2608"/>
      <c r="Y57" s="2608"/>
      <c r="Z57" s="2608"/>
      <c r="AA57" s="2608"/>
      <c r="AB57" s="2608"/>
      <c r="AC57" s="2608"/>
      <c r="AD57" s="2608"/>
      <c r="AE57" s="2608"/>
      <c r="AF57" s="2608"/>
      <c r="AG57" s="2608"/>
      <c r="AH57" s="2608"/>
      <c r="AI57" s="2608"/>
      <c r="AJ57" s="2609"/>
      <c r="AK57" s="540"/>
      <c r="AL57" s="540"/>
      <c r="AM57" s="540"/>
      <c r="AN57" s="535"/>
      <c r="AO57" s="536">
        <f>MAX(AO55:AO56)</f>
        <v>0</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90" t="s">
        <v>591</v>
      </c>
      <c r="C59" s="2590"/>
      <c r="D59" s="546"/>
      <c r="E59" s="2616" t="s">
        <v>2567</v>
      </c>
      <c r="F59" s="2617"/>
      <c r="G59" s="2617"/>
      <c r="H59" s="2617"/>
      <c r="I59" s="2617"/>
      <c r="J59" s="2617"/>
      <c r="K59" s="2617"/>
      <c r="L59" s="2617"/>
      <c r="M59" s="2617"/>
      <c r="N59" s="2617"/>
      <c r="O59" s="2617"/>
      <c r="P59" s="2617"/>
      <c r="Q59" s="2617"/>
      <c r="R59" s="2617"/>
      <c r="S59" s="2617"/>
      <c r="T59" s="2617"/>
      <c r="U59" s="2617"/>
      <c r="V59" s="2617"/>
      <c r="W59" s="2617"/>
      <c r="X59" s="2617"/>
      <c r="Y59" s="2617"/>
      <c r="Z59" s="2617"/>
      <c r="AA59" s="2617"/>
      <c r="AB59" s="2617"/>
      <c r="AC59" s="2617"/>
      <c r="AD59" s="2617"/>
      <c r="AE59" s="2617"/>
      <c r="AF59" s="2617"/>
      <c r="AG59" s="2617"/>
      <c r="AH59" s="2617"/>
      <c r="AI59" s="2617"/>
      <c r="AJ59" s="2618"/>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MAX(AO21,AO26,AO34,AO47,AO57)</f>
        <v>0</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2568</v>
      </c>
      <c r="AK61" s="2582">
        <f>AO60</f>
        <v>0</v>
      </c>
      <c r="AL61" s="2583"/>
      <c r="AM61" s="2584"/>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48" t="s">
        <v>1308</v>
      </c>
      <c r="AF64" s="2448"/>
      <c r="AG64" s="2448"/>
      <c r="AH64" s="2448"/>
      <c r="AI64" s="2448"/>
      <c r="AJ64" s="2448"/>
      <c r="AK64" s="2448"/>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90" t="s">
        <v>591</v>
      </c>
      <c r="C67" s="2590"/>
      <c r="D67" s="546" t="s">
        <v>1309</v>
      </c>
      <c r="E67" s="2591" t="s">
        <v>1981</v>
      </c>
      <c r="F67" s="2592"/>
      <c r="G67" s="2592"/>
      <c r="H67" s="2592"/>
      <c r="I67" s="2592"/>
      <c r="J67" s="2592"/>
      <c r="K67" s="2592"/>
      <c r="L67" s="2592"/>
      <c r="M67" s="2592"/>
      <c r="N67" s="2592"/>
      <c r="O67" s="2592"/>
      <c r="P67" s="2592"/>
      <c r="Q67" s="2592"/>
      <c r="R67" s="2592"/>
      <c r="S67" s="2592"/>
      <c r="T67" s="2592"/>
      <c r="U67" s="2592"/>
      <c r="V67" s="2592"/>
      <c r="W67" s="2592"/>
      <c r="X67" s="2592"/>
      <c r="Y67" s="2592"/>
      <c r="Z67" s="2592"/>
      <c r="AA67" s="2592"/>
      <c r="AB67" s="2592"/>
      <c r="AC67" s="2592"/>
      <c r="AD67" s="2592"/>
      <c r="AE67" s="2592"/>
      <c r="AF67" s="2592"/>
      <c r="AG67" s="2592"/>
      <c r="AH67" s="2592"/>
      <c r="AI67" s="2592"/>
      <c r="AJ67" s="2593"/>
      <c r="AK67" s="543"/>
      <c r="AL67" s="540"/>
      <c r="AM67" s="540"/>
      <c r="AN67" s="535"/>
      <c r="AO67" s="549">
        <f>IF($B67="yes",10,0)</f>
        <v>0</v>
      </c>
    </row>
    <row r="68" spans="1:42" s="536" customFormat="1" ht="12.75" customHeight="1">
      <c r="A68" s="538"/>
      <c r="B68" s="540"/>
      <c r="C68" s="540"/>
      <c r="D68" s="550"/>
      <c r="E68" s="2594"/>
      <c r="F68" s="2595"/>
      <c r="G68" s="2595"/>
      <c r="H68" s="2595"/>
      <c r="I68" s="2595"/>
      <c r="J68" s="2595"/>
      <c r="K68" s="2595"/>
      <c r="L68" s="2595"/>
      <c r="M68" s="2595"/>
      <c r="N68" s="2595"/>
      <c r="O68" s="2595"/>
      <c r="P68" s="2595"/>
      <c r="Q68" s="2595"/>
      <c r="R68" s="2595"/>
      <c r="S68" s="2595"/>
      <c r="T68" s="2595"/>
      <c r="U68" s="2595"/>
      <c r="V68" s="2595"/>
      <c r="W68" s="2595"/>
      <c r="X68" s="2595"/>
      <c r="Y68" s="2595"/>
      <c r="Z68" s="2595"/>
      <c r="AA68" s="2595"/>
      <c r="AB68" s="2595"/>
      <c r="AC68" s="2595"/>
      <c r="AD68" s="2595"/>
      <c r="AE68" s="2595"/>
      <c r="AF68" s="2595"/>
      <c r="AG68" s="2595"/>
      <c r="AH68" s="2595"/>
      <c r="AI68" s="2595"/>
      <c r="AJ68" s="2596"/>
      <c r="AK68" s="543"/>
      <c r="AL68" s="540"/>
      <c r="AM68" s="540"/>
      <c r="AN68" s="535"/>
      <c r="AO68" s="549">
        <f>IF(AND($B73="yes",OR(E74="Yes",E75="Yes",E76="Yes")),10,0)</f>
        <v>0</v>
      </c>
    </row>
    <row r="69" spans="1:42" s="536" customFormat="1" ht="12.75" customHeight="1">
      <c r="A69" s="538"/>
      <c r="B69" s="540"/>
      <c r="C69" s="540"/>
      <c r="D69" s="550"/>
      <c r="E69" s="2594"/>
      <c r="F69" s="2595"/>
      <c r="G69" s="2595"/>
      <c r="H69" s="2595"/>
      <c r="I69" s="2595"/>
      <c r="J69" s="2595"/>
      <c r="K69" s="2595"/>
      <c r="L69" s="2595"/>
      <c r="M69" s="2595"/>
      <c r="N69" s="2595"/>
      <c r="O69" s="2595"/>
      <c r="P69" s="2595"/>
      <c r="Q69" s="2595"/>
      <c r="R69" s="2595"/>
      <c r="S69" s="2595"/>
      <c r="T69" s="2595"/>
      <c r="U69" s="2595"/>
      <c r="V69" s="2595"/>
      <c r="W69" s="2595"/>
      <c r="X69" s="2595"/>
      <c r="Y69" s="2595"/>
      <c r="Z69" s="2595"/>
      <c r="AA69" s="2595"/>
      <c r="AB69" s="2595"/>
      <c r="AC69" s="2595"/>
      <c r="AD69" s="2595"/>
      <c r="AE69" s="2595"/>
      <c r="AF69" s="2595"/>
      <c r="AG69" s="2595"/>
      <c r="AH69" s="2595"/>
      <c r="AI69" s="2595"/>
      <c r="AJ69" s="2596"/>
      <c r="AK69" s="543"/>
      <c r="AL69" s="540"/>
      <c r="AM69" s="540"/>
      <c r="AN69" s="535"/>
      <c r="AO69" s="549">
        <f>IF($B78="yes",10,0)</f>
        <v>10</v>
      </c>
    </row>
    <row r="70" spans="1:42" s="536" customFormat="1" ht="12.75" customHeight="1">
      <c r="A70" s="538"/>
      <c r="B70" s="540"/>
      <c r="C70" s="540"/>
      <c r="D70" s="550"/>
      <c r="E70" s="2594"/>
      <c r="F70" s="2595"/>
      <c r="G70" s="2595"/>
      <c r="H70" s="2595"/>
      <c r="I70" s="2595"/>
      <c r="J70" s="2595"/>
      <c r="K70" s="2595"/>
      <c r="L70" s="2595"/>
      <c r="M70" s="2595"/>
      <c r="N70" s="2595"/>
      <c r="O70" s="2595"/>
      <c r="P70" s="2595"/>
      <c r="Q70" s="2595"/>
      <c r="R70" s="2595"/>
      <c r="S70" s="2595"/>
      <c r="T70" s="2595"/>
      <c r="U70" s="2595"/>
      <c r="V70" s="2595"/>
      <c r="W70" s="2595"/>
      <c r="X70" s="2595"/>
      <c r="Y70" s="2595"/>
      <c r="Z70" s="2595"/>
      <c r="AA70" s="2595"/>
      <c r="AB70" s="2595"/>
      <c r="AC70" s="2595"/>
      <c r="AD70" s="2595"/>
      <c r="AE70" s="2595"/>
      <c r="AF70" s="2595"/>
      <c r="AG70" s="2595"/>
      <c r="AH70" s="2595"/>
      <c r="AI70" s="2595"/>
      <c r="AJ70" s="2596"/>
      <c r="AK70" s="543"/>
      <c r="AL70" s="540"/>
      <c r="AM70" s="540"/>
      <c r="AN70" s="535"/>
      <c r="AO70" s="549">
        <f>IF($B81="yes",10,0)</f>
        <v>0</v>
      </c>
    </row>
    <row r="71" spans="1:42" s="536" customFormat="1" ht="12.75" customHeight="1">
      <c r="A71" s="538"/>
      <c r="B71" s="540"/>
      <c r="C71" s="540"/>
      <c r="D71" s="550"/>
      <c r="E71" s="2632"/>
      <c r="F71" s="2633"/>
      <c r="G71" s="2633"/>
      <c r="H71" s="2633"/>
      <c r="I71" s="2633"/>
      <c r="J71" s="2633"/>
      <c r="K71" s="2633"/>
      <c r="L71" s="2633"/>
      <c r="M71" s="2633"/>
      <c r="N71" s="2633"/>
      <c r="O71" s="2633"/>
      <c r="P71" s="2633"/>
      <c r="Q71" s="2633"/>
      <c r="R71" s="2633"/>
      <c r="S71" s="2633"/>
      <c r="T71" s="2633"/>
      <c r="U71" s="2633"/>
      <c r="V71" s="2633"/>
      <c r="W71" s="2633"/>
      <c r="X71" s="2633"/>
      <c r="Y71" s="2633"/>
      <c r="Z71" s="2633"/>
      <c r="AA71" s="2633"/>
      <c r="AB71" s="2633"/>
      <c r="AC71" s="2633"/>
      <c r="AD71" s="2633"/>
      <c r="AE71" s="2633"/>
      <c r="AF71" s="2633"/>
      <c r="AG71" s="2633"/>
      <c r="AH71" s="2633"/>
      <c r="AI71" s="2633"/>
      <c r="AJ71" s="2634"/>
      <c r="AK71" s="543"/>
      <c r="AL71" s="540"/>
      <c r="AM71" s="540"/>
      <c r="AN71" s="535"/>
      <c r="AO71" s="536">
        <f>IF(SUM(AO67:AO69)&gt;10,10,(SUM(AO67:AO69)))</f>
        <v>10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90" t="s">
        <v>591</v>
      </c>
      <c r="C73" s="2590"/>
      <c r="D73" s="546" t="s">
        <v>1311</v>
      </c>
      <c r="E73" s="967" t="s">
        <v>1713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38" t="s">
        <v>591</v>
      </c>
      <c r="F74" s="2590"/>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6" t="s">
        <v>591</v>
      </c>
      <c r="F75" s="2637"/>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6" t="s">
        <v>591</v>
      </c>
      <c r="F76" s="2637"/>
      <c r="G76" s="902"/>
      <c r="H76" s="1199" t="s">
        <v>1728</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90" t="s">
        <v>545</v>
      </c>
      <c r="C78" s="2590"/>
      <c r="D78" s="546" t="s">
        <v>1314</v>
      </c>
      <c r="E78" s="2451" t="s">
        <v>1729</v>
      </c>
      <c r="F78" s="2452"/>
      <c r="G78" s="2452"/>
      <c r="H78" s="2452"/>
      <c r="I78" s="2452"/>
      <c r="J78" s="2452"/>
      <c r="K78" s="2452"/>
      <c r="L78" s="2452"/>
      <c r="M78" s="2452"/>
      <c r="N78" s="2452"/>
      <c r="O78" s="2452"/>
      <c r="P78" s="2452"/>
      <c r="Q78" s="2452"/>
      <c r="R78" s="2452"/>
      <c r="S78" s="2452"/>
      <c r="T78" s="2452"/>
      <c r="U78" s="2452"/>
      <c r="V78" s="2452"/>
      <c r="W78" s="2452"/>
      <c r="X78" s="2452"/>
      <c r="Y78" s="2452"/>
      <c r="Z78" s="2452"/>
      <c r="AA78" s="2452"/>
      <c r="AB78" s="2452"/>
      <c r="AC78" s="2452"/>
      <c r="AD78" s="2452"/>
      <c r="AE78" s="2452"/>
      <c r="AF78" s="2452"/>
      <c r="AG78" s="2452"/>
      <c r="AH78" s="2452"/>
      <c r="AI78" s="2452"/>
      <c r="AJ78" s="2453"/>
      <c r="AK78" s="543"/>
      <c r="AL78" s="540"/>
      <c r="AM78" s="540"/>
      <c r="AN78" s="535"/>
    </row>
    <row r="79" spans="1:42" s="536" customFormat="1" ht="12.75" customHeight="1">
      <c r="A79" s="538"/>
      <c r="B79" s="540"/>
      <c r="C79" s="540"/>
      <c r="E79" s="2607"/>
      <c r="F79" s="2608"/>
      <c r="G79" s="2608"/>
      <c r="H79" s="2608"/>
      <c r="I79" s="2608"/>
      <c r="J79" s="2608"/>
      <c r="K79" s="2608"/>
      <c r="L79" s="2608"/>
      <c r="M79" s="2608"/>
      <c r="N79" s="2608"/>
      <c r="O79" s="2608"/>
      <c r="P79" s="2608"/>
      <c r="Q79" s="2608"/>
      <c r="R79" s="2608"/>
      <c r="S79" s="2608"/>
      <c r="T79" s="2608"/>
      <c r="U79" s="2608"/>
      <c r="V79" s="2608"/>
      <c r="W79" s="2608"/>
      <c r="X79" s="2608"/>
      <c r="Y79" s="2608"/>
      <c r="Z79" s="2608"/>
      <c r="AA79" s="2608"/>
      <c r="AB79" s="2608"/>
      <c r="AC79" s="2608"/>
      <c r="AD79" s="2608"/>
      <c r="AE79" s="2608"/>
      <c r="AF79" s="2608"/>
      <c r="AG79" s="2608"/>
      <c r="AH79" s="2608"/>
      <c r="AI79" s="2608"/>
      <c r="AJ79" s="2609"/>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90" t="s">
        <v>591</v>
      </c>
      <c r="C81" s="2590"/>
      <c r="D81" s="546" t="s">
        <v>1461</v>
      </c>
      <c r="E81" s="2616" t="s">
        <v>1727</v>
      </c>
      <c r="F81" s="2617"/>
      <c r="G81" s="2617"/>
      <c r="H81" s="2617"/>
      <c r="I81" s="2617"/>
      <c r="J81" s="2617"/>
      <c r="K81" s="2617"/>
      <c r="L81" s="2617"/>
      <c r="M81" s="2617"/>
      <c r="N81" s="2617"/>
      <c r="O81" s="2617"/>
      <c r="P81" s="2617"/>
      <c r="Q81" s="2617"/>
      <c r="R81" s="2617"/>
      <c r="S81" s="2617"/>
      <c r="T81" s="2617"/>
      <c r="U81" s="2617"/>
      <c r="V81" s="2617"/>
      <c r="W81" s="2617"/>
      <c r="X81" s="2617"/>
      <c r="Y81" s="2617"/>
      <c r="Z81" s="2617"/>
      <c r="AA81" s="2617"/>
      <c r="AB81" s="2617"/>
      <c r="AC81" s="2617"/>
      <c r="AD81" s="2617"/>
      <c r="AE81" s="2617"/>
      <c r="AF81" s="2617"/>
      <c r="AG81" s="2617"/>
      <c r="AH81" s="2617"/>
      <c r="AI81" s="2617"/>
      <c r="AJ81" s="2618"/>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2582">
        <f>IF(AK61&gt;0,0,AO71)</f>
        <v>10</v>
      </c>
      <c r="AL83" s="2583"/>
      <c r="AM83" s="2584"/>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48" t="s">
        <v>1303</v>
      </c>
      <c r="AF86" s="2448"/>
      <c r="AG86" s="2448"/>
      <c r="AH86" s="2448"/>
      <c r="AI86" s="2448"/>
      <c r="AJ86" s="2448"/>
      <c r="AK86" s="2448"/>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90" t="s">
        <v>591</v>
      </c>
      <c r="C89" s="2590"/>
      <c r="D89" s="546" t="s">
        <v>1309</v>
      </c>
      <c r="E89" s="2591" t="s">
        <v>1319</v>
      </c>
      <c r="F89" s="2592"/>
      <c r="G89" s="2592"/>
      <c r="H89" s="2592"/>
      <c r="I89" s="2592"/>
      <c r="J89" s="2592"/>
      <c r="K89" s="2592"/>
      <c r="L89" s="2592"/>
      <c r="M89" s="2592"/>
      <c r="N89" s="2592"/>
      <c r="O89" s="2592"/>
      <c r="P89" s="2592"/>
      <c r="Q89" s="2592"/>
      <c r="R89" s="2592"/>
      <c r="S89" s="2592"/>
      <c r="T89" s="2592"/>
      <c r="U89" s="2592"/>
      <c r="V89" s="2592"/>
      <c r="W89" s="2592"/>
      <c r="X89" s="2592"/>
      <c r="Y89" s="2592"/>
      <c r="Z89" s="2592"/>
      <c r="AA89" s="2592"/>
      <c r="AB89" s="2592"/>
      <c r="AC89" s="2592"/>
      <c r="AD89" s="2592"/>
      <c r="AE89" s="2592"/>
      <c r="AF89" s="2592"/>
      <c r="AG89" s="2592"/>
      <c r="AH89" s="2592"/>
      <c r="AI89" s="2592"/>
      <c r="AJ89" s="2593"/>
      <c r="AK89" s="543"/>
      <c r="AL89" s="540"/>
      <c r="AM89" s="540"/>
      <c r="AN89" s="535"/>
    </row>
    <row r="90" spans="1:43" s="536" customFormat="1" ht="12.75" customHeight="1">
      <c r="A90" s="538"/>
      <c r="B90" s="539"/>
      <c r="C90" s="539"/>
      <c r="D90" s="539"/>
      <c r="E90" s="2594"/>
      <c r="F90" s="2595"/>
      <c r="G90" s="2595"/>
      <c r="H90" s="2595"/>
      <c r="I90" s="2595"/>
      <c r="J90" s="2595"/>
      <c r="K90" s="2595"/>
      <c r="L90" s="2595"/>
      <c r="M90" s="2595"/>
      <c r="N90" s="2595"/>
      <c r="O90" s="2595"/>
      <c r="P90" s="2595"/>
      <c r="Q90" s="2595"/>
      <c r="R90" s="2595"/>
      <c r="S90" s="2595"/>
      <c r="T90" s="2595"/>
      <c r="U90" s="2595"/>
      <c r="V90" s="2595"/>
      <c r="W90" s="2595"/>
      <c r="X90" s="2595"/>
      <c r="Y90" s="2595"/>
      <c r="Z90" s="2595"/>
      <c r="AA90" s="2595"/>
      <c r="AB90" s="2595"/>
      <c r="AC90" s="2595"/>
      <c r="AD90" s="2595"/>
      <c r="AE90" s="2595"/>
      <c r="AF90" s="2595"/>
      <c r="AG90" s="2595"/>
      <c r="AH90" s="2595"/>
      <c r="AI90" s="2595"/>
      <c r="AJ90" s="2596"/>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3">
        <f>Application!AC761</f>
        <v>0.59946808510638294</v>
      </c>
      <c r="F92" s="2604"/>
      <c r="G92" s="2604"/>
      <c r="H92" s="2604"/>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5">
        <f>0.6-ROUNDUP(E92,2)</f>
        <v>0</v>
      </c>
      <c r="F93" s="2422"/>
      <c r="G93" s="2422"/>
      <c r="H93" s="2422"/>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4">
        <f>IF(E93*200&gt;20,20,E93*200)</f>
        <v>0</v>
      </c>
      <c r="F94" s="2615"/>
      <c r="G94" s="2615"/>
      <c r="H94" s="2615"/>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90" t="s">
        <v>545</v>
      </c>
      <c r="C97" s="2590"/>
      <c r="D97" s="546" t="s">
        <v>1311</v>
      </c>
      <c r="E97" s="2591" t="s">
        <v>1714</v>
      </c>
      <c r="F97" s="2592"/>
      <c r="G97" s="2592"/>
      <c r="H97" s="2592"/>
      <c r="I97" s="2592"/>
      <c r="J97" s="2592"/>
      <c r="K97" s="2592"/>
      <c r="L97" s="2592"/>
      <c r="M97" s="2592"/>
      <c r="N97" s="2592"/>
      <c r="O97" s="2592"/>
      <c r="P97" s="2592"/>
      <c r="Q97" s="2592"/>
      <c r="R97" s="2592"/>
      <c r="S97" s="2592"/>
      <c r="T97" s="2592"/>
      <c r="U97" s="2592"/>
      <c r="V97" s="2592"/>
      <c r="W97" s="2592"/>
      <c r="X97" s="2592"/>
      <c r="Y97" s="2592"/>
      <c r="Z97" s="2592"/>
      <c r="AA97" s="2592"/>
      <c r="AB97" s="2592"/>
      <c r="AC97" s="2592"/>
      <c r="AD97" s="2592"/>
      <c r="AE97" s="2592"/>
      <c r="AF97" s="2592"/>
      <c r="AG97" s="2592"/>
      <c r="AH97" s="2592"/>
      <c r="AI97" s="2592"/>
      <c r="AJ97" s="2593"/>
      <c r="AK97" s="543"/>
      <c r="AL97" s="540"/>
      <c r="AM97" s="540"/>
      <c r="AN97" s="535"/>
    </row>
    <row r="98" spans="1:47" s="536" customFormat="1" ht="12.75" customHeight="1">
      <c r="A98" s="538"/>
      <c r="B98" s="539"/>
      <c r="C98" s="539"/>
      <c r="D98" s="539"/>
      <c r="E98" s="2594"/>
      <c r="F98" s="2595"/>
      <c r="G98" s="2595"/>
      <c r="H98" s="2595"/>
      <c r="I98" s="2595"/>
      <c r="J98" s="2595"/>
      <c r="K98" s="2595"/>
      <c r="L98" s="2595"/>
      <c r="M98" s="2595"/>
      <c r="N98" s="2595"/>
      <c r="O98" s="2595"/>
      <c r="P98" s="2595"/>
      <c r="Q98" s="2595"/>
      <c r="R98" s="2595"/>
      <c r="S98" s="2595"/>
      <c r="T98" s="2595"/>
      <c r="U98" s="2595"/>
      <c r="V98" s="2595"/>
      <c r="W98" s="2595"/>
      <c r="X98" s="2595"/>
      <c r="Y98" s="2595"/>
      <c r="Z98" s="2595"/>
      <c r="AA98" s="2595"/>
      <c r="AB98" s="2595"/>
      <c r="AC98" s="2595"/>
      <c r="AD98" s="2595"/>
      <c r="AE98" s="2595"/>
      <c r="AF98" s="2595"/>
      <c r="AG98" s="2595"/>
      <c r="AH98" s="2595"/>
      <c r="AI98" s="2595"/>
      <c r="AJ98" s="2596"/>
      <c r="AK98" s="543"/>
      <c r="AL98" s="540"/>
      <c r="AM98" s="540"/>
      <c r="AN98" s="535"/>
    </row>
    <row r="99" spans="1:47" s="536" customFormat="1" ht="12.75" customHeight="1">
      <c r="A99" s="538"/>
      <c r="B99" s="539"/>
      <c r="C99" s="539"/>
      <c r="D99" s="539"/>
      <c r="E99" s="2594"/>
      <c r="F99" s="2595"/>
      <c r="G99" s="2595"/>
      <c r="H99" s="2595"/>
      <c r="I99" s="2595"/>
      <c r="J99" s="2595"/>
      <c r="K99" s="2595"/>
      <c r="L99" s="2595"/>
      <c r="M99" s="2595"/>
      <c r="N99" s="2595"/>
      <c r="O99" s="2595"/>
      <c r="P99" s="2595"/>
      <c r="Q99" s="2595"/>
      <c r="R99" s="2595"/>
      <c r="S99" s="2595"/>
      <c r="T99" s="2595"/>
      <c r="U99" s="2595"/>
      <c r="V99" s="2595"/>
      <c r="W99" s="2595"/>
      <c r="X99" s="2595"/>
      <c r="Y99" s="2595"/>
      <c r="Z99" s="2595"/>
      <c r="AA99" s="2595"/>
      <c r="AB99" s="2595"/>
      <c r="AC99" s="2595"/>
      <c r="AD99" s="2595"/>
      <c r="AE99" s="2595"/>
      <c r="AF99" s="2595"/>
      <c r="AG99" s="2595"/>
      <c r="AH99" s="2595"/>
      <c r="AI99" s="2595"/>
      <c r="AJ99" s="2596"/>
      <c r="AK99" s="543"/>
      <c r="AL99" s="540"/>
      <c r="AM99" s="540"/>
      <c r="AN99" s="535"/>
    </row>
    <row r="100" spans="1:47" s="536" customFormat="1" ht="12.75" customHeight="1">
      <c r="A100" s="538"/>
      <c r="B100" s="539"/>
      <c r="C100" s="539"/>
      <c r="D100" s="539"/>
      <c r="E100" s="2594"/>
      <c r="F100" s="2595"/>
      <c r="G100" s="2595"/>
      <c r="H100" s="2595"/>
      <c r="I100" s="2595"/>
      <c r="J100" s="2595"/>
      <c r="K100" s="2595"/>
      <c r="L100" s="2595"/>
      <c r="M100" s="2595"/>
      <c r="N100" s="2595"/>
      <c r="O100" s="2595"/>
      <c r="P100" s="2595"/>
      <c r="Q100" s="2595"/>
      <c r="R100" s="2595"/>
      <c r="S100" s="2595"/>
      <c r="T100" s="2595"/>
      <c r="U100" s="2595"/>
      <c r="V100" s="2595"/>
      <c r="W100" s="2595"/>
      <c r="X100" s="2595"/>
      <c r="Y100" s="2595"/>
      <c r="Z100" s="2595"/>
      <c r="AA100" s="2595"/>
      <c r="AB100" s="2595"/>
      <c r="AC100" s="2595"/>
      <c r="AD100" s="2595"/>
      <c r="AE100" s="2595"/>
      <c r="AF100" s="2595"/>
      <c r="AG100" s="2595"/>
      <c r="AH100" s="2595"/>
      <c r="AI100" s="2595"/>
      <c r="AJ100" s="2596"/>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3">
        <f>Application!AC761</f>
        <v>0.59946808510638294</v>
      </c>
      <c r="F102" s="2604"/>
      <c r="G102" s="2604"/>
      <c r="H102" s="2604"/>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3">
        <f ca="1">SUMIF(Application!AC726:AG760,0.2,Application!G726:J760)/Application!G761+SUMIF(Application!AC726:AG760,0.25,Application!G726:J760)/Application!G761+SUMIF(Application!AC726:AG760,0.3,Application!G726:J760)/Application!G761</f>
        <v>0.10638297872340426</v>
      </c>
      <c r="F103" s="2604"/>
      <c r="G103" s="2604"/>
      <c r="H103" s="2604"/>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3">
        <f ca="1">SUMIF(Application!AC726:AG760,0.35,Application!G726:J760)/Application!G761+SUMIF(Application!AC726:AG760,0.4,Application!G726:J760)/Application!G761+SUMIF(Application!AC726:AG760,0.45,Application!G726:J760)/Application!G761+SUMIF(Application!AC726:AG760,0.5,Application!G726:J760)/Application!G761</f>
        <v>0.10106382978723404</v>
      </c>
      <c r="F104" s="2604"/>
      <c r="G104" s="2604"/>
      <c r="H104" s="2604"/>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01">
        <f ca="1">IF(AND(E102&lt;=0.6,OR(AND(E103&gt;=0.1,E104&gt;=0.1),AND(E103&gt;0.1,(E103+E104)&gt;=0.2))),20,0)</f>
        <v>20</v>
      </c>
      <c r="F105" s="2602"/>
      <c r="G105" s="2602"/>
      <c r="H105" s="2602"/>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2582">
        <f ca="1">MAX(AP94,AP105)</f>
        <v>20</v>
      </c>
      <c r="AL108" s="2583"/>
      <c r="AM108" s="2584"/>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48" t="s">
        <v>1308</v>
      </c>
      <c r="AF111" s="2448"/>
      <c r="AG111" s="2448"/>
      <c r="AH111" s="2448"/>
      <c r="AI111" s="2448"/>
      <c r="AJ111" s="2448"/>
      <c r="AK111" s="2448"/>
      <c r="AL111" s="540"/>
      <c r="AM111" s="540"/>
      <c r="AN111" s="535"/>
      <c r="AO111" s="536" t="str">
        <f>Application!B726</f>
        <v>SRO/Studio</v>
      </c>
      <c r="AQ111" s="536">
        <f>Application!O726</f>
        <v>820.4</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SRO/Studio</v>
      </c>
      <c r="AQ112" s="536">
        <f>Application!O727</f>
        <v>1413.2</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SRO/Studio</v>
      </c>
      <c r="AQ113" s="536">
        <f>Application!O728</f>
        <v>1709.2</v>
      </c>
    </row>
    <row r="114" spans="1:52" s="536" customFormat="1" ht="12.75" customHeight="1">
      <c r="A114" s="540"/>
      <c r="B114" s="2590" t="s">
        <v>545</v>
      </c>
      <c r="C114" s="2590"/>
      <c r="D114" s="546" t="s">
        <v>1309</v>
      </c>
      <c r="E114" s="2591" t="s">
        <v>2569</v>
      </c>
      <c r="F114" s="2592"/>
      <c r="G114" s="2592"/>
      <c r="H114" s="2592"/>
      <c r="I114" s="2592"/>
      <c r="J114" s="2592"/>
      <c r="K114" s="2592"/>
      <c r="L114" s="2592"/>
      <c r="M114" s="2592"/>
      <c r="N114" s="2592"/>
      <c r="O114" s="2592"/>
      <c r="P114" s="2592"/>
      <c r="Q114" s="2592"/>
      <c r="R114" s="2592"/>
      <c r="S114" s="2592"/>
      <c r="T114" s="2592"/>
      <c r="U114" s="2592"/>
      <c r="V114" s="2592"/>
      <c r="W114" s="2592"/>
      <c r="X114" s="2592"/>
      <c r="Y114" s="2592"/>
      <c r="Z114" s="2592"/>
      <c r="AA114" s="2592"/>
      <c r="AB114" s="2592"/>
      <c r="AC114" s="2592"/>
      <c r="AD114" s="2592"/>
      <c r="AE114" s="2592"/>
      <c r="AF114" s="2592"/>
      <c r="AG114" s="2592"/>
      <c r="AH114" s="2592"/>
      <c r="AI114" s="2592"/>
      <c r="AJ114" s="2593"/>
      <c r="AK114" s="540"/>
      <c r="AL114" s="540"/>
      <c r="AM114" s="540"/>
      <c r="AN114" s="535"/>
      <c r="AO114" s="536" t="str">
        <f>Application!B729</f>
        <v>SRO/Studio</v>
      </c>
      <c r="AQ114" s="536">
        <f>Application!O729</f>
        <v>2005.4</v>
      </c>
      <c r="AU114" s="536" t="s">
        <v>1817</v>
      </c>
      <c r="AV114" s="593" t="s">
        <v>1818</v>
      </c>
      <c r="AW114" s="536" t="s">
        <v>1819</v>
      </c>
    </row>
    <row r="115" spans="1:52" s="536" customFormat="1" ht="12.75" customHeight="1">
      <c r="A115" s="540"/>
      <c r="B115" s="539"/>
      <c r="C115" s="539"/>
      <c r="D115" s="539"/>
      <c r="E115" s="2594"/>
      <c r="F115" s="2595"/>
      <c r="G115" s="2595"/>
      <c r="H115" s="2595"/>
      <c r="I115" s="2595"/>
      <c r="J115" s="2595"/>
      <c r="K115" s="2595"/>
      <c r="L115" s="2595"/>
      <c r="M115" s="2595"/>
      <c r="N115" s="2595"/>
      <c r="O115" s="2595"/>
      <c r="P115" s="2595"/>
      <c r="Q115" s="2595"/>
      <c r="R115" s="2595"/>
      <c r="S115" s="2595"/>
      <c r="T115" s="2595"/>
      <c r="U115" s="2595"/>
      <c r="V115" s="2595"/>
      <c r="W115" s="2595"/>
      <c r="X115" s="2595"/>
      <c r="Y115" s="2595"/>
      <c r="Z115" s="2595"/>
      <c r="AA115" s="2595"/>
      <c r="AB115" s="2595"/>
      <c r="AC115" s="2595"/>
      <c r="AD115" s="2595"/>
      <c r="AE115" s="2595"/>
      <c r="AF115" s="2595"/>
      <c r="AG115" s="2595"/>
      <c r="AH115" s="2595"/>
      <c r="AI115" s="2595"/>
      <c r="AJ115" s="2596"/>
      <c r="AK115" s="540"/>
      <c r="AL115" s="540"/>
      <c r="AM115" s="540"/>
      <c r="AN115" s="535"/>
      <c r="AO115" s="536" t="str">
        <f>Application!B730</f>
        <v>1 Bedroom</v>
      </c>
      <c r="AQ115" s="536">
        <f>Application!O730</f>
        <v>868.6</v>
      </c>
      <c r="AU115" s="852" t="str">
        <f>E123</f>
        <v>Studio/SRO</v>
      </c>
      <c r="AV115" s="536">
        <f t="array" ref="AV115">SUM(IF(Application!B726:F760="SRO/Studio",Application!G726:J760))</f>
        <v>16</v>
      </c>
      <c r="AW115" s="1006">
        <f>AV115/AV121</f>
        <v>8.5106382978723402E-2</v>
      </c>
    </row>
    <row r="116" spans="1:52" s="536" customFormat="1" ht="12.75" customHeight="1">
      <c r="A116" s="540"/>
      <c r="B116" s="539"/>
      <c r="C116" s="539"/>
      <c r="D116" s="539"/>
      <c r="E116" s="2594"/>
      <c r="F116" s="2595"/>
      <c r="G116" s="2595"/>
      <c r="H116" s="2595"/>
      <c r="I116" s="2595"/>
      <c r="J116" s="2595"/>
      <c r="K116" s="2595"/>
      <c r="L116" s="2595"/>
      <c r="M116" s="2595"/>
      <c r="N116" s="2595"/>
      <c r="O116" s="2595"/>
      <c r="P116" s="2595"/>
      <c r="Q116" s="2595"/>
      <c r="R116" s="2595"/>
      <c r="S116" s="2595"/>
      <c r="T116" s="2595"/>
      <c r="U116" s="2595"/>
      <c r="V116" s="2595"/>
      <c r="W116" s="2595"/>
      <c r="X116" s="2595"/>
      <c r="Y116" s="2595"/>
      <c r="Z116" s="2595"/>
      <c r="AA116" s="2595"/>
      <c r="AB116" s="2595"/>
      <c r="AC116" s="2595"/>
      <c r="AD116" s="2595"/>
      <c r="AE116" s="2595"/>
      <c r="AF116" s="2595"/>
      <c r="AG116" s="2595"/>
      <c r="AH116" s="2595"/>
      <c r="AI116" s="2595"/>
      <c r="AJ116" s="2596"/>
      <c r="AK116" s="540"/>
      <c r="AL116" s="540"/>
      <c r="AM116" s="540"/>
      <c r="AN116" s="535"/>
      <c r="AO116" s="536" t="str">
        <f>Application!B731</f>
        <v>1 Bedroom</v>
      </c>
      <c r="AQ116" s="536">
        <f>Application!O731</f>
        <v>1503</v>
      </c>
      <c r="AU116" s="852" t="str">
        <f>J123</f>
        <v>1-bedroom</v>
      </c>
      <c r="AV116" s="536">
        <f t="array" ref="AV116">SUM(IF(Application!B726:F760="1 Bedroom",Application!G726:J760))</f>
        <v>166</v>
      </c>
      <c r="AW116" s="1006">
        <f>AV116/AV121</f>
        <v>0.88297872340425532</v>
      </c>
    </row>
    <row r="117" spans="1:52" s="536" customFormat="1" ht="12.75" customHeight="1">
      <c r="A117" s="540"/>
      <c r="B117" s="539"/>
      <c r="C117" s="539"/>
      <c r="D117" s="539"/>
      <c r="E117" s="2594"/>
      <c r="F117" s="2595"/>
      <c r="G117" s="2595"/>
      <c r="H117" s="2595"/>
      <c r="I117" s="2595"/>
      <c r="J117" s="2595"/>
      <c r="K117" s="2595"/>
      <c r="L117" s="2595"/>
      <c r="M117" s="2595"/>
      <c r="N117" s="2595"/>
      <c r="O117" s="2595"/>
      <c r="P117" s="2595"/>
      <c r="Q117" s="2595"/>
      <c r="R117" s="2595"/>
      <c r="S117" s="2595"/>
      <c r="T117" s="2595"/>
      <c r="U117" s="2595"/>
      <c r="V117" s="2595"/>
      <c r="W117" s="2595"/>
      <c r="X117" s="2595"/>
      <c r="Y117" s="2595"/>
      <c r="Z117" s="2595"/>
      <c r="AA117" s="2595"/>
      <c r="AB117" s="2595"/>
      <c r="AC117" s="2595"/>
      <c r="AD117" s="2595"/>
      <c r="AE117" s="2595"/>
      <c r="AF117" s="2595"/>
      <c r="AG117" s="2595"/>
      <c r="AH117" s="2595"/>
      <c r="AI117" s="2595"/>
      <c r="AJ117" s="2596"/>
      <c r="AK117" s="540"/>
      <c r="AL117" s="540"/>
      <c r="AM117" s="540"/>
      <c r="AN117" s="535"/>
      <c r="AO117" s="536" t="str">
        <f>Application!B732</f>
        <v>1 Bedroom</v>
      </c>
      <c r="AQ117" s="536">
        <f>Application!O732</f>
        <v>1820.2</v>
      </c>
      <c r="AU117" s="852" t="str">
        <f>O123</f>
        <v>2-bedroom</v>
      </c>
      <c r="AV117" s="536">
        <f t="array" ref="AV117">SUM(IF(Application!B726:F760="2 Bedrooms",Application!G726:J760))</f>
        <v>6</v>
      </c>
      <c r="AW117" s="1006">
        <f>AV117/AV121</f>
        <v>3.1914893617021274E-2</v>
      </c>
    </row>
    <row r="118" spans="1:52" s="536" customFormat="1" ht="12.75" customHeight="1">
      <c r="A118" s="540"/>
      <c r="B118" s="539"/>
      <c r="C118" s="539"/>
      <c r="D118" s="539"/>
      <c r="E118" s="2594"/>
      <c r="F118" s="2595"/>
      <c r="G118" s="2595"/>
      <c r="H118" s="2595"/>
      <c r="I118" s="2595"/>
      <c r="J118" s="2595"/>
      <c r="K118" s="2595"/>
      <c r="L118" s="2595"/>
      <c r="M118" s="2595"/>
      <c r="N118" s="2595"/>
      <c r="O118" s="2595"/>
      <c r="P118" s="2595"/>
      <c r="Q118" s="2595"/>
      <c r="R118" s="2595"/>
      <c r="S118" s="2595"/>
      <c r="T118" s="2595"/>
      <c r="U118" s="2595"/>
      <c r="V118" s="2595"/>
      <c r="W118" s="2595"/>
      <c r="X118" s="2595"/>
      <c r="Y118" s="2595"/>
      <c r="Z118" s="2595"/>
      <c r="AA118" s="2595"/>
      <c r="AB118" s="2595"/>
      <c r="AC118" s="2595"/>
      <c r="AD118" s="2595"/>
      <c r="AE118" s="2595"/>
      <c r="AF118" s="2595"/>
      <c r="AG118" s="2595"/>
      <c r="AH118" s="2595"/>
      <c r="AI118" s="2595"/>
      <c r="AJ118" s="2596"/>
      <c r="AK118" s="540"/>
      <c r="AL118" s="540"/>
      <c r="AM118" s="540"/>
      <c r="AN118" s="535"/>
      <c r="AO118" s="536" t="str">
        <f>Application!B733</f>
        <v>1 Bedroom</v>
      </c>
      <c r="AQ118" s="536">
        <f>Application!O733</f>
        <v>2137.4</v>
      </c>
      <c r="AU118" s="852" t="str">
        <f>T123</f>
        <v>3-bedroom</v>
      </c>
      <c r="AV118" s="536">
        <f t="array" ref="AV118">SUM(IF(Application!B726:F760="3 Bedrooms",Application!G726:J760))</f>
        <v>0</v>
      </c>
      <c r="AW118" s="1006">
        <f>AV118/AV121</f>
        <v>0</v>
      </c>
    </row>
    <row r="119" spans="1:52" s="536" customFormat="1" ht="12.75" customHeight="1">
      <c r="A119" s="540"/>
      <c r="B119" s="539"/>
      <c r="C119" s="539"/>
      <c r="D119" s="539"/>
      <c r="E119" s="2594"/>
      <c r="F119" s="2595"/>
      <c r="G119" s="2595"/>
      <c r="H119" s="2595"/>
      <c r="I119" s="2595"/>
      <c r="J119" s="2595"/>
      <c r="K119" s="2595"/>
      <c r="L119" s="2595"/>
      <c r="M119" s="2595"/>
      <c r="N119" s="2595"/>
      <c r="O119" s="2595"/>
      <c r="P119" s="2595"/>
      <c r="Q119" s="2595"/>
      <c r="R119" s="2595"/>
      <c r="S119" s="2595"/>
      <c r="T119" s="2595"/>
      <c r="U119" s="2595"/>
      <c r="V119" s="2595"/>
      <c r="W119" s="2595"/>
      <c r="X119" s="2595"/>
      <c r="Y119" s="2595"/>
      <c r="Z119" s="2595"/>
      <c r="AA119" s="2595"/>
      <c r="AB119" s="2595"/>
      <c r="AC119" s="2595"/>
      <c r="AD119" s="2595"/>
      <c r="AE119" s="2595"/>
      <c r="AF119" s="2595"/>
      <c r="AG119" s="2595"/>
      <c r="AH119" s="2595"/>
      <c r="AI119" s="2595"/>
      <c r="AJ119" s="2596"/>
      <c r="AK119" s="540"/>
      <c r="AL119" s="540"/>
      <c r="AM119" s="540"/>
      <c r="AN119" s="535"/>
      <c r="AO119" s="536" t="str">
        <f>Application!B734</f>
        <v>2 Bedrooms</v>
      </c>
      <c r="AQ119" s="536">
        <f>Application!O734</f>
        <v>1025.8</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4"/>
      <c r="F120" s="2595"/>
      <c r="G120" s="2595"/>
      <c r="H120" s="2595"/>
      <c r="I120" s="2595"/>
      <c r="J120" s="2595"/>
      <c r="K120" s="2595"/>
      <c r="L120" s="2595"/>
      <c r="M120" s="2595"/>
      <c r="N120" s="2595"/>
      <c r="O120" s="2595"/>
      <c r="P120" s="2595"/>
      <c r="Q120" s="2595"/>
      <c r="R120" s="2595"/>
      <c r="S120" s="2595"/>
      <c r="T120" s="2595"/>
      <c r="U120" s="2595"/>
      <c r="V120" s="2595"/>
      <c r="W120" s="2595"/>
      <c r="X120" s="2595"/>
      <c r="Y120" s="2595"/>
      <c r="Z120" s="2595"/>
      <c r="AA120" s="2595"/>
      <c r="AB120" s="2595"/>
      <c r="AC120" s="2595"/>
      <c r="AD120" s="2595"/>
      <c r="AE120" s="2595"/>
      <c r="AF120" s="2595"/>
      <c r="AG120" s="2595"/>
      <c r="AH120" s="2595"/>
      <c r="AI120" s="2595"/>
      <c r="AJ120" s="2596"/>
      <c r="AK120" s="540"/>
      <c r="AL120" s="540"/>
      <c r="AM120" s="540"/>
      <c r="AN120" s="535"/>
      <c r="AO120" s="536" t="str">
        <f>Application!B735</f>
        <v>2 Bedrooms</v>
      </c>
      <c r="AQ120" s="536">
        <f>Application!O735</f>
        <v>2167.6</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4"/>
      <c r="F121" s="2595"/>
      <c r="G121" s="2595"/>
      <c r="H121" s="2595"/>
      <c r="I121" s="2595"/>
      <c r="J121" s="2595"/>
      <c r="K121" s="2595"/>
      <c r="L121" s="2595"/>
      <c r="M121" s="2595"/>
      <c r="N121" s="2595"/>
      <c r="O121" s="2595"/>
      <c r="P121" s="2595"/>
      <c r="Q121" s="2595"/>
      <c r="R121" s="2595"/>
      <c r="S121" s="2595"/>
      <c r="T121" s="2595"/>
      <c r="U121" s="2595"/>
      <c r="V121" s="2595"/>
      <c r="W121" s="2595"/>
      <c r="X121" s="2595"/>
      <c r="Y121" s="2595"/>
      <c r="Z121" s="2595"/>
      <c r="AA121" s="2595"/>
      <c r="AB121" s="2595"/>
      <c r="AC121" s="2595"/>
      <c r="AD121" s="2595"/>
      <c r="AE121" s="2595"/>
      <c r="AF121" s="2595"/>
      <c r="AG121" s="2595"/>
      <c r="AH121" s="2595"/>
      <c r="AI121" s="2595"/>
      <c r="AJ121" s="2596"/>
      <c r="AK121" s="540"/>
      <c r="AL121" s="540"/>
      <c r="AM121" s="540"/>
      <c r="AN121" s="535"/>
      <c r="AO121" s="536" t="str">
        <f>Application!B736</f>
        <v>2 Bedrooms</v>
      </c>
      <c r="AQ121" s="536">
        <f>Application!O736</f>
        <v>2548.1999999999998</v>
      </c>
      <c r="AV121" s="536">
        <f>SUM(AV115:AV120)</f>
        <v>188</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603" t="s">
        <v>1577</v>
      </c>
      <c r="F123" s="2604"/>
      <c r="G123" s="2604"/>
      <c r="H123" s="2604"/>
      <c r="I123" s="575"/>
      <c r="J123" s="2604" t="s">
        <v>1620</v>
      </c>
      <c r="K123" s="2604"/>
      <c r="L123" s="2604"/>
      <c r="M123" s="2604"/>
      <c r="N123" s="575"/>
      <c r="O123" s="2604" t="s">
        <v>1621</v>
      </c>
      <c r="P123" s="2604"/>
      <c r="Q123" s="2604"/>
      <c r="R123" s="2604"/>
      <c r="S123" s="575"/>
      <c r="T123" s="2604" t="s">
        <v>1328</v>
      </c>
      <c r="U123" s="2604"/>
      <c r="V123" s="2604"/>
      <c r="W123" s="2604"/>
      <c r="X123" s="575"/>
      <c r="Y123" s="2604" t="s">
        <v>1622</v>
      </c>
      <c r="Z123" s="2604"/>
      <c r="AA123" s="2604"/>
      <c r="AB123" s="2604"/>
      <c r="AC123" s="575"/>
      <c r="AD123" s="2604" t="s">
        <v>1623</v>
      </c>
      <c r="AE123" s="2604"/>
      <c r="AF123" s="2604"/>
      <c r="AG123" s="2604"/>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05">
        <v>2227</v>
      </c>
      <c r="F126" s="2606"/>
      <c r="G126" s="2606"/>
      <c r="H126" s="2606"/>
      <c r="I126" s="860"/>
      <c r="J126" s="2606">
        <v>2515</v>
      </c>
      <c r="K126" s="2606"/>
      <c r="L126" s="2606"/>
      <c r="M126" s="2606"/>
      <c r="N126" s="860"/>
      <c r="O126" s="2606">
        <v>2828</v>
      </c>
      <c r="P126" s="2606"/>
      <c r="Q126" s="2606"/>
      <c r="R126" s="2606"/>
      <c r="S126" s="860"/>
      <c r="T126" s="2606"/>
      <c r="U126" s="2606"/>
      <c r="V126" s="2606"/>
      <c r="W126" s="2606"/>
      <c r="X126" s="860"/>
      <c r="Y126" s="2606"/>
      <c r="Z126" s="2606"/>
      <c r="AA126" s="2606"/>
      <c r="AB126" s="2606"/>
      <c r="AC126" s="860"/>
      <c r="AD126" s="2606"/>
      <c r="AE126" s="2606"/>
      <c r="AF126" s="2606"/>
      <c r="AG126" s="2606"/>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1821</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39">
        <f>Application!DX678</f>
        <v>1672.1750000000002</v>
      </c>
      <c r="F129" s="2613"/>
      <c r="G129" s="2613"/>
      <c r="H129" s="2613"/>
      <c r="I129" s="860"/>
      <c r="J129" s="2613">
        <f>Application!EC678</f>
        <v>1822.1108433734939</v>
      </c>
      <c r="K129" s="2613"/>
      <c r="L129" s="2613"/>
      <c r="M129" s="2613"/>
      <c r="N129" s="860"/>
      <c r="O129" s="2613">
        <f>Application!EH678</f>
        <v>2167.6</v>
      </c>
      <c r="P129" s="2613"/>
      <c r="Q129" s="2613"/>
      <c r="R129" s="2613"/>
      <c r="S129" s="864"/>
      <c r="T129" s="2613">
        <f>Application!EM678</f>
        <v>0</v>
      </c>
      <c r="U129" s="2613"/>
      <c r="V129" s="2613"/>
      <c r="W129" s="2613"/>
      <c r="X129" s="864"/>
      <c r="Y129" s="2613">
        <f>Application!ER678</f>
        <v>0</v>
      </c>
      <c r="Z129" s="2613"/>
      <c r="AA129" s="2613"/>
      <c r="AB129" s="2613"/>
      <c r="AC129" s="864"/>
      <c r="AD129" s="2613">
        <f>Application!EW678</f>
        <v>0</v>
      </c>
      <c r="AE129" s="2613"/>
      <c r="AF129" s="2613"/>
      <c r="AG129" s="2613"/>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1822</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21">
        <f>(E126-E129)/E126</f>
        <v>0.24913560844184995</v>
      </c>
      <c r="F132" s="2422"/>
      <c r="G132" s="2422"/>
      <c r="H132" s="2423"/>
      <c r="I132" s="575"/>
      <c r="J132" s="2421">
        <f>(J126-J129)/J126</f>
        <v>0.27550264676998254</v>
      </c>
      <c r="K132" s="2422"/>
      <c r="L132" s="2422"/>
      <c r="M132" s="2423"/>
      <c r="N132" s="575"/>
      <c r="O132" s="2421">
        <f>(O126-O129)/O126</f>
        <v>0.23352192362093355</v>
      </c>
      <c r="P132" s="2422"/>
      <c r="Q132" s="2422"/>
      <c r="R132" s="2423"/>
      <c r="S132" s="575"/>
      <c r="T132" s="2421" t="e">
        <f>(T126-T129)/T126</f>
        <v>#DIV/0!</v>
      </c>
      <c r="U132" s="2422"/>
      <c r="V132" s="2422"/>
      <c r="W132" s="2423"/>
      <c r="X132" s="575"/>
      <c r="Y132" s="2421" t="e">
        <f>(Y126-Y129)/Y126</f>
        <v>#DIV/0!</v>
      </c>
      <c r="Z132" s="2422"/>
      <c r="AA132" s="2422"/>
      <c r="AB132" s="2423"/>
      <c r="AC132" s="575"/>
      <c r="AD132" s="2421" t="e">
        <f>(AD126-AD129)/AD126</f>
        <v>#DIV/0!</v>
      </c>
      <c r="AE132" s="2422"/>
      <c r="AF132" s="2422"/>
      <c r="AG132" s="2423"/>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1823</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10">
        <f>IF(((E132-0.1)*AW115)&gt;0,((E132-0.1)*AW115),0)</f>
        <v>1.2692392207817017E-2</v>
      </c>
      <c r="F135" s="2611"/>
      <c r="G135" s="2611"/>
      <c r="H135" s="2612"/>
      <c r="I135" s="575"/>
      <c r="J135" s="2610">
        <f>IF(((J132-0.1)*AW116)&gt;0,((J132-0.1)*AW116),0)</f>
        <v>0.15496510299902713</v>
      </c>
      <c r="K135" s="2611"/>
      <c r="L135" s="2611"/>
      <c r="M135" s="2612"/>
      <c r="N135" s="575"/>
      <c r="O135" s="2610">
        <f>IF(((O132-0.1)*AW117)&gt;0,((O132-0.1)*AW117),0)</f>
        <v>4.2613379879021338E-3</v>
      </c>
      <c r="P135" s="2611"/>
      <c r="Q135" s="2611"/>
      <c r="R135" s="2612"/>
      <c r="S135" s="575"/>
      <c r="T135" s="2610" t="e">
        <f>IF(((T132-0.1)*AW118)&gt;0,((T132-0.1)*AW118),0)</f>
        <v>#DIV/0!</v>
      </c>
      <c r="U135" s="2611"/>
      <c r="V135" s="2611"/>
      <c r="W135" s="2612"/>
      <c r="X135" s="575"/>
      <c r="Y135" s="2610" t="e">
        <f>IF(((Y132-0.1)*AW119)&gt;0,((Y132-0.1)*AW119),0)</f>
        <v>#DIV/0!</v>
      </c>
      <c r="Z135" s="2611"/>
      <c r="AA135" s="2611"/>
      <c r="AB135" s="2612"/>
      <c r="AC135" s="575"/>
      <c r="AD135" s="2610" t="e">
        <f>IF(((AD132-0.1)*AW120)&gt;0,((AD132-0.1)*AW120),0)</f>
        <v>#DIV/0!</v>
      </c>
      <c r="AE135" s="2611"/>
      <c r="AF135" s="2611"/>
      <c r="AG135" s="2612"/>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21">
        <f>ROUNDDOWN(SUMIF(E135:AG135,"&gt;0"),2)</f>
        <v>0.17</v>
      </c>
      <c r="F137" s="2422"/>
      <c r="G137" s="2422"/>
      <c r="H137" s="2423"/>
      <c r="I137" s="575"/>
      <c r="J137" s="578" t="s">
        <v>1824</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2">
        <f>IF((E137*100)&gt;10,10,E137*100)</f>
        <v>10</v>
      </c>
      <c r="F138" s="2583"/>
      <c r="G138" s="2583"/>
      <c r="H138" s="2584"/>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2582">
        <f>E138</f>
        <v>10</v>
      </c>
      <c r="AL142" s="2583"/>
      <c r="AM142" s="2584"/>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2448" t="s">
        <v>1308</v>
      </c>
      <c r="AF145" s="2448"/>
      <c r="AG145" s="2448"/>
      <c r="AH145" s="2448"/>
      <c r="AI145" s="2448"/>
      <c r="AJ145" s="2448"/>
      <c r="AK145" s="2448"/>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89" t="s">
        <v>1332</v>
      </c>
      <c r="AG147" s="2389"/>
      <c r="AH147" s="2389"/>
      <c r="AI147" s="2389"/>
      <c r="AJ147" s="2389"/>
      <c r="AK147" s="2389"/>
      <c r="AL147" s="2389"/>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6" t="s">
        <v>2658</v>
      </c>
      <c r="C149" s="2586"/>
      <c r="D149" s="2586"/>
      <c r="E149" s="2586"/>
      <c r="F149" s="2586"/>
      <c r="G149" s="2586"/>
      <c r="H149" s="2586"/>
      <c r="I149" s="2586"/>
      <c r="J149" s="2586"/>
      <c r="K149" s="2586"/>
      <c r="L149" s="2586"/>
      <c r="M149" s="2586"/>
      <c r="N149" s="2586"/>
      <c r="O149" s="2586"/>
      <c r="P149" s="2586"/>
      <c r="Q149" s="2586"/>
      <c r="R149" s="2586"/>
      <c r="S149" s="2586"/>
      <c r="T149" s="2586"/>
      <c r="U149" s="2586"/>
      <c r="V149" s="2586"/>
      <c r="W149" s="2586"/>
      <c r="X149" s="2586"/>
      <c r="Y149" s="2586"/>
      <c r="Z149" s="2586"/>
      <c r="AA149" s="2586"/>
      <c r="AB149" s="2586"/>
      <c r="AC149" s="2586"/>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2587" t="s">
        <v>1335</v>
      </c>
      <c r="C152" s="2587"/>
      <c r="D152" s="2587"/>
      <c r="E152" s="2587"/>
      <c r="F152" s="2587"/>
      <c r="G152" s="2587"/>
      <c r="H152" s="2587"/>
      <c r="I152" s="2587"/>
      <c r="J152" s="2587"/>
      <c r="K152" s="2587"/>
      <c r="L152" s="2587"/>
      <c r="M152" s="2587"/>
      <c r="N152" s="2587"/>
      <c r="O152" s="2587"/>
      <c r="P152" s="2587"/>
      <c r="Q152" s="2587"/>
      <c r="R152" s="2587"/>
      <c r="S152" s="2587"/>
      <c r="T152" s="2587"/>
      <c r="U152" s="2587"/>
      <c r="V152" s="2587"/>
      <c r="W152" s="2587"/>
      <c r="X152" s="2587"/>
      <c r="Y152" s="2587"/>
      <c r="Z152" s="2587"/>
      <c r="AA152" s="2587"/>
      <c r="AB152" s="2587"/>
      <c r="AC152" s="2587"/>
      <c r="AD152" s="2587"/>
      <c r="AE152" s="2587"/>
      <c r="AF152" s="2587"/>
      <c r="AG152" s="2587"/>
      <c r="AH152" s="2587"/>
      <c r="AI152" s="2587"/>
      <c r="AM152" s="539"/>
      <c r="AN152" s="535"/>
      <c r="AO152" s="476" t="s">
        <v>1335</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2628</v>
      </c>
      <c r="AP153" s="489">
        <v>7</v>
      </c>
    </row>
    <row r="154" spans="1:42" s="536" customFormat="1" ht="12.75" customHeight="1">
      <c r="A154" s="538"/>
      <c r="B154" s="539" t="s">
        <v>1336</v>
      </c>
      <c r="AB154" s="2396" t="s">
        <v>591</v>
      </c>
      <c r="AC154" s="2396"/>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2587" t="s">
        <v>1337</v>
      </c>
      <c r="C157" s="2587"/>
      <c r="D157" s="2587"/>
      <c r="E157" s="2587"/>
      <c r="F157" s="2587"/>
      <c r="G157" s="2587"/>
      <c r="H157" s="2587"/>
      <c r="I157" s="2587"/>
      <c r="J157" s="2587"/>
      <c r="K157" s="2587"/>
      <c r="L157" s="2587"/>
      <c r="M157" s="2587"/>
      <c r="N157" s="2587"/>
      <c r="O157" s="2587"/>
      <c r="P157" s="2587"/>
      <c r="Q157" s="2587"/>
      <c r="R157" s="2587"/>
      <c r="S157" s="2587"/>
      <c r="T157" s="2587"/>
      <c r="U157" s="2587"/>
      <c r="V157" s="2587"/>
      <c r="W157" s="2587"/>
      <c r="X157" s="2587"/>
      <c r="Y157" s="2587"/>
      <c r="Z157" s="2587"/>
      <c r="AA157" s="2587"/>
      <c r="AB157" s="2587"/>
      <c r="AC157" s="2587"/>
      <c r="AD157" s="2587"/>
      <c r="AE157" s="2587"/>
      <c r="AF157" s="2587"/>
      <c r="AG157" s="2587"/>
      <c r="AH157" s="2587"/>
      <c r="AI157" s="2587"/>
      <c r="AJ157" s="2587"/>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3" t="s">
        <v>2408</v>
      </c>
      <c r="C160" s="2393"/>
      <c r="D160" s="2393"/>
      <c r="E160" s="2393"/>
      <c r="F160" s="2393"/>
      <c r="G160" s="2393"/>
      <c r="H160" s="2393"/>
      <c r="I160" s="2393"/>
      <c r="J160" s="2393"/>
      <c r="K160" s="2393"/>
      <c r="L160" s="2393"/>
      <c r="M160" s="2393"/>
      <c r="N160" s="2393"/>
      <c r="O160" s="2393"/>
      <c r="P160" s="2393"/>
      <c r="Q160" s="2393"/>
      <c r="R160" s="2393"/>
      <c r="S160" s="2393"/>
      <c r="T160" s="2393"/>
      <c r="U160" s="2393"/>
      <c r="V160" s="2393"/>
      <c r="W160" s="2393"/>
      <c r="X160" s="2393"/>
      <c r="Y160" s="2393"/>
      <c r="Z160" s="2393"/>
      <c r="AA160" s="2393"/>
      <c r="AB160" s="2393"/>
      <c r="AC160" s="2393"/>
      <c r="AD160" s="2393"/>
      <c r="AE160" s="2393"/>
      <c r="AF160" s="2393"/>
      <c r="AG160" s="2393"/>
      <c r="AH160" s="2393"/>
      <c r="AI160" s="2393"/>
      <c r="AJ160" s="2393"/>
      <c r="AK160" s="1173"/>
      <c r="AM160" s="539"/>
      <c r="AN160" s="535"/>
      <c r="AO160" s="476"/>
      <c r="AP160" s="489"/>
    </row>
    <row r="161" spans="1:42" s="536" customFormat="1" ht="12.75" customHeight="1">
      <c r="B161" s="2393"/>
      <c r="C161" s="2393"/>
      <c r="D161" s="2393"/>
      <c r="E161" s="2393"/>
      <c r="F161" s="2393"/>
      <c r="G161" s="2393"/>
      <c r="H161" s="2393"/>
      <c r="I161" s="2393"/>
      <c r="J161" s="2393"/>
      <c r="K161" s="2393"/>
      <c r="L161" s="2393"/>
      <c r="M161" s="2393"/>
      <c r="N161" s="2393"/>
      <c r="O161" s="2393"/>
      <c r="P161" s="2393"/>
      <c r="Q161" s="2393"/>
      <c r="R161" s="2393"/>
      <c r="S161" s="2393"/>
      <c r="T161" s="2393"/>
      <c r="U161" s="2393"/>
      <c r="V161" s="2393"/>
      <c r="W161" s="2393"/>
      <c r="X161" s="2393"/>
      <c r="Y161" s="2393"/>
      <c r="Z161" s="2393"/>
      <c r="AA161" s="2393"/>
      <c r="AB161" s="2393"/>
      <c r="AC161" s="2393"/>
      <c r="AD161" s="2393"/>
      <c r="AE161" s="2393"/>
      <c r="AF161" s="2393"/>
      <c r="AG161" s="2393"/>
      <c r="AH161" s="2393"/>
      <c r="AI161" s="2393"/>
      <c r="AJ161" s="2393"/>
      <c r="AK161" s="1173"/>
      <c r="AM161" s="539"/>
      <c r="AN161" s="535"/>
      <c r="AO161" s="476"/>
      <c r="AP161" s="489"/>
    </row>
    <row r="162" spans="1:42" s="536" customFormat="1" ht="12.75" customHeight="1">
      <c r="C162" s="2394" t="s">
        <v>2409</v>
      </c>
      <c r="D162" s="2394"/>
      <c r="E162" s="2394"/>
      <c r="F162" s="2394"/>
      <c r="G162" s="2394"/>
      <c r="H162" s="2394"/>
      <c r="I162" s="2394"/>
      <c r="J162" s="2394"/>
      <c r="K162" s="2394"/>
      <c r="L162" s="2394"/>
      <c r="M162" s="2394"/>
      <c r="N162" s="2394"/>
      <c r="O162" s="2394"/>
      <c r="P162" s="2394"/>
      <c r="Q162" s="2394"/>
      <c r="R162" s="2394"/>
      <c r="S162" s="2394"/>
      <c r="T162" s="2394"/>
      <c r="U162" s="2394"/>
      <c r="V162" s="2394"/>
      <c r="W162" s="2394"/>
      <c r="X162" s="2394"/>
      <c r="Y162" s="2394"/>
      <c r="Z162" s="2394"/>
      <c r="AA162" s="2394"/>
      <c r="AB162" s="2394"/>
      <c r="AC162" s="2394"/>
      <c r="AD162" s="2394"/>
      <c r="AE162" s="2394"/>
      <c r="AF162" s="2394"/>
      <c r="AG162" s="2394"/>
      <c r="AH162" s="2394"/>
      <c r="AI162" s="2394"/>
      <c r="AJ162" s="2394"/>
      <c r="AK162" s="1173"/>
      <c r="AM162" s="539"/>
      <c r="AN162" s="535"/>
      <c r="AO162" s="476"/>
      <c r="AP162" s="489"/>
    </row>
    <row r="163" spans="1:42" s="536" customFormat="1" ht="12.75" customHeight="1">
      <c r="B163" s="1173"/>
      <c r="C163" s="2395" t="s">
        <v>2407</v>
      </c>
      <c r="D163" s="2395"/>
      <c r="E163" s="2395"/>
      <c r="F163" s="2395"/>
      <c r="G163" s="2395"/>
      <c r="H163" s="2395"/>
      <c r="I163" s="2395"/>
      <c r="J163" s="2395"/>
      <c r="K163" s="2395"/>
      <c r="L163" s="2395"/>
      <c r="M163" s="2395"/>
      <c r="N163" s="2395"/>
      <c r="O163" s="2395"/>
      <c r="P163" s="2395"/>
      <c r="Q163" s="2395"/>
      <c r="R163" s="2395"/>
      <c r="S163" s="2395"/>
      <c r="T163" s="2395"/>
      <c r="U163" s="2395"/>
      <c r="V163" s="2395"/>
      <c r="W163" s="2395"/>
      <c r="X163" s="2395"/>
      <c r="Y163" s="2395"/>
      <c r="Z163" s="2395"/>
      <c r="AA163" s="1163"/>
      <c r="AB163" s="1163"/>
      <c r="AC163" s="1163"/>
      <c r="AD163" s="1163"/>
      <c r="AE163" s="1163"/>
      <c r="AF163" s="1163"/>
      <c r="AG163" s="1163"/>
      <c r="AH163" s="1163"/>
      <c r="AJ163" s="2396" t="s">
        <v>591</v>
      </c>
      <c r="AK163" s="2396"/>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2488">
        <f>IF($AB$154="N/A",VLOOKUP($B$152,$AO$150:$AP$153,2,FALSE),VLOOKUP($B$157,$AO$155:$AP$157,2,FALSE))</f>
        <v>7</v>
      </c>
      <c r="AK165" s="2488"/>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89" t="s">
        <v>1346</v>
      </c>
      <c r="AG167" s="2389"/>
      <c r="AH167" s="2389"/>
      <c r="AI167" s="2389"/>
      <c r="AJ167" s="2389"/>
      <c r="AK167" s="2389"/>
      <c r="AL167" s="2389"/>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87" t="s">
        <v>1344</v>
      </c>
      <c r="D169" s="2587"/>
      <c r="E169" s="2587"/>
      <c r="F169" s="2587"/>
      <c r="G169" s="2587"/>
      <c r="H169" s="2587"/>
      <c r="I169" s="2587"/>
      <c r="J169" s="2587"/>
      <c r="K169" s="2587"/>
      <c r="L169" s="2587"/>
      <c r="M169" s="2587"/>
      <c r="N169" s="2587"/>
      <c r="O169" s="2587"/>
      <c r="P169" s="2587"/>
      <c r="Q169" s="2587"/>
      <c r="R169" s="2587"/>
      <c r="S169" s="2587"/>
      <c r="T169" s="2587"/>
      <c r="U169" s="2587"/>
      <c r="V169" s="2587"/>
      <c r="W169" s="2587"/>
      <c r="X169" s="2587"/>
      <c r="Y169" s="2587"/>
      <c r="Z169" s="2587"/>
      <c r="AA169" s="2587"/>
      <c r="AB169" s="2587"/>
      <c r="AC169" s="2587"/>
      <c r="AD169" s="2587"/>
      <c r="AE169" s="2587"/>
      <c r="AF169" s="2587"/>
      <c r="AG169" s="2587"/>
      <c r="AH169" s="2587"/>
      <c r="AI169" s="2587"/>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6" t="s">
        <v>591</v>
      </c>
      <c r="AG171" s="2396"/>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2124</v>
      </c>
      <c r="AP172" s="597">
        <v>3</v>
      </c>
    </row>
    <row r="173" spans="1:42" s="549" customFormat="1" ht="12.75" customHeight="1">
      <c r="A173" s="536"/>
      <c r="B173" s="536"/>
      <c r="C173" s="2587" t="s">
        <v>1337</v>
      </c>
      <c r="D173" s="2587"/>
      <c r="E173" s="2587"/>
      <c r="F173" s="2587"/>
      <c r="G173" s="2587"/>
      <c r="H173" s="2587"/>
      <c r="I173" s="2587"/>
      <c r="J173" s="2587"/>
      <c r="K173" s="2587"/>
      <c r="L173" s="2587"/>
      <c r="M173" s="2587"/>
      <c r="N173" s="2587"/>
      <c r="O173" s="2587"/>
      <c r="P173" s="2587"/>
      <c r="Q173" s="2587"/>
      <c r="R173" s="2587"/>
      <c r="S173" s="2587"/>
      <c r="T173" s="2587"/>
      <c r="U173" s="2587"/>
      <c r="V173" s="2587"/>
      <c r="W173" s="2587"/>
      <c r="X173" s="2587"/>
      <c r="Y173" s="2587"/>
      <c r="Z173" s="2587"/>
      <c r="AA173" s="2587"/>
      <c r="AB173" s="2587"/>
      <c r="AC173" s="2587"/>
      <c r="AD173" s="2587"/>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2588" t="str">
        <f>Application!AA344</f>
        <v>Aperto Property Management, Inc.</v>
      </c>
      <c r="D177" s="2588"/>
      <c r="E177" s="2588"/>
      <c r="F177" s="2588"/>
      <c r="G177" s="2588"/>
      <c r="H177" s="2588"/>
      <c r="I177" s="2588"/>
      <c r="J177" s="2588"/>
      <c r="K177" s="2588"/>
      <c r="L177" s="2588"/>
      <c r="M177" s="2588"/>
      <c r="N177" s="2588"/>
      <c r="O177" s="2588"/>
      <c r="P177" s="2588"/>
      <c r="Q177" s="2588"/>
      <c r="R177" s="2588"/>
      <c r="S177" s="2588"/>
      <c r="T177" s="2588"/>
      <c r="U177" s="2588"/>
      <c r="V177" s="2588"/>
      <c r="W177" s="2588"/>
      <c r="X177" s="2588"/>
      <c r="Y177" s="2588"/>
      <c r="Z177" s="2588"/>
      <c r="AA177" s="2588"/>
      <c r="AB177" s="2588"/>
      <c r="AC177" s="2588"/>
      <c r="AD177" s="2588"/>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2487">
        <f>IF($AF$171="N/A",VLOOKUP($C$169,$AO$169:$AP$172,2,FALSE),VLOOKUP($C$173,$AO$176:$AP$178,2,FALSE))</f>
        <v>3</v>
      </c>
      <c r="AK179" s="2487"/>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2582">
        <f>$AJ$165+$AJ$179</f>
        <v>10</v>
      </c>
      <c r="AL182" s="2583"/>
      <c r="AM182" s="2584"/>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48" t="s">
        <v>1308</v>
      </c>
      <c r="AF185" s="2448"/>
      <c r="AG185" s="2448"/>
      <c r="AH185" s="2448"/>
      <c r="AI185" s="2448"/>
      <c r="AJ185" s="2448"/>
      <c r="AK185" s="2448"/>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2585" t="s">
        <v>2629</v>
      </c>
      <c r="C187" s="2585"/>
      <c r="D187" s="2585"/>
      <c r="E187" s="2585"/>
      <c r="F187" s="2585"/>
      <c r="G187" s="2585"/>
      <c r="H187" s="2585"/>
      <c r="I187" s="2585"/>
      <c r="J187" s="2585"/>
      <c r="K187" s="2585"/>
      <c r="L187" s="2585"/>
      <c r="M187" s="2585"/>
      <c r="N187" s="2585"/>
      <c r="O187" s="2585"/>
      <c r="P187" s="2585"/>
      <c r="Q187" s="2585"/>
      <c r="R187" s="2585"/>
      <c r="S187" s="2585"/>
      <c r="T187" s="2585"/>
      <c r="U187" s="2585"/>
      <c r="V187" s="2585"/>
      <c r="W187" s="2585"/>
      <c r="X187" s="2585"/>
      <c r="Y187" s="2585"/>
      <c r="Z187" s="2585"/>
      <c r="AA187" s="2585"/>
      <c r="AB187" s="2585"/>
      <c r="AC187" s="2585"/>
      <c r="AD187" s="536"/>
      <c r="AE187" s="536"/>
      <c r="AF187" s="2389" t="s">
        <v>1357</v>
      </c>
      <c r="AG187" s="2389"/>
      <c r="AH187" s="2389"/>
      <c r="AI187" s="2389"/>
      <c r="AJ187" s="2389"/>
      <c r="AK187" s="2389"/>
      <c r="AL187" s="2389"/>
      <c r="AN187" s="595"/>
      <c r="AP187" s="549" t="s">
        <v>1043</v>
      </c>
      <c r="AQ187" s="549">
        <v>10</v>
      </c>
    </row>
    <row r="188" spans="1:73" s="549" customFormat="1" ht="12.75" customHeight="1">
      <c r="A188" s="536"/>
      <c r="B188" s="2395" t="s">
        <v>1715</v>
      </c>
      <c r="C188" s="2395"/>
      <c r="D188" s="2395"/>
      <c r="E188" s="2395"/>
      <c r="F188" s="2395"/>
      <c r="G188" s="2395"/>
      <c r="H188" s="2395"/>
      <c r="I188" s="2395"/>
      <c r="J188" s="2395"/>
      <c r="K188" s="2395"/>
      <c r="L188" s="2395"/>
      <c r="M188" s="2395"/>
      <c r="N188" s="2395"/>
      <c r="O188" s="2395"/>
      <c r="P188" s="2395"/>
      <c r="Q188" s="2395"/>
      <c r="R188" s="2395"/>
      <c r="S188" s="2395"/>
      <c r="T188" s="2586" t="s">
        <v>591</v>
      </c>
      <c r="U188" s="2586"/>
      <c r="V188" s="2586"/>
      <c r="W188" s="2586"/>
      <c r="X188" s="2586"/>
      <c r="Y188" s="2586"/>
      <c r="Z188" s="2586"/>
      <c r="AA188" s="2586"/>
      <c r="AB188" s="2586"/>
      <c r="AC188" s="2586"/>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2629</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2391">
        <f>IF(AK83&gt;0,VLOOKUP($B$187,AP184:AQ190,2,FALSE),0)</f>
        <v>10</v>
      </c>
      <c r="AL190" s="2437"/>
      <c r="AM190" s="2392"/>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48" t="s">
        <v>1365</v>
      </c>
      <c r="AF193" s="2448"/>
      <c r="AG193" s="2448"/>
      <c r="AH193" s="2448"/>
      <c r="AI193" s="2448"/>
      <c r="AJ193" s="2448"/>
      <c r="AK193" s="2448"/>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6"/>
      <c r="C198" s="2556"/>
      <c r="D198" s="2556"/>
      <c r="E198" s="2556"/>
      <c r="F198" s="2556"/>
      <c r="G198" s="2556"/>
      <c r="H198" s="2556"/>
      <c r="I198" s="2556"/>
      <c r="J198" s="2556"/>
      <c r="K198" s="2556"/>
      <c r="L198" s="2556"/>
      <c r="M198" s="2556"/>
      <c r="N198" s="2556"/>
      <c r="O198" s="2556"/>
      <c r="P198" s="2556"/>
      <c r="Q198" s="2556"/>
      <c r="R198" s="2556"/>
      <c r="S198" s="2556"/>
      <c r="T198" s="2556"/>
      <c r="U198" s="2556"/>
      <c r="V198" s="2556"/>
      <c r="W198" s="2556"/>
      <c r="X198" s="2556"/>
      <c r="Y198" s="2556"/>
      <c r="Z198" s="2556"/>
      <c r="AA198" s="2556"/>
      <c r="AB198" s="2556"/>
      <c r="AC198" s="842"/>
      <c r="AD198" s="2572"/>
      <c r="AE198" s="2572"/>
      <c r="AF198" s="2572"/>
      <c r="AG198" s="2572"/>
      <c r="AH198" s="2572"/>
      <c r="AI198" s="2572"/>
      <c r="AJ198" s="2572"/>
      <c r="AK198" s="608"/>
    </row>
    <row r="199" spans="1:37" hidden="1">
      <c r="A199" s="603"/>
      <c r="B199" s="2556"/>
      <c r="C199" s="2556"/>
      <c r="D199" s="2556"/>
      <c r="E199" s="2556"/>
      <c r="F199" s="2556"/>
      <c r="G199" s="2556"/>
      <c r="H199" s="2556"/>
      <c r="I199" s="2556"/>
      <c r="J199" s="2556"/>
      <c r="K199" s="2556"/>
      <c r="L199" s="2556"/>
      <c r="M199" s="2556"/>
      <c r="N199" s="2556"/>
      <c r="O199" s="2556"/>
      <c r="P199" s="2556"/>
      <c r="Q199" s="2556"/>
      <c r="R199" s="2556"/>
      <c r="S199" s="2556"/>
      <c r="T199" s="2556"/>
      <c r="U199" s="2556"/>
      <c r="V199" s="2556"/>
      <c r="W199" s="2556"/>
      <c r="X199" s="2556"/>
      <c r="Y199" s="2556"/>
      <c r="Z199" s="2556"/>
      <c r="AA199" s="2556"/>
      <c r="AB199" s="2556"/>
      <c r="AC199" s="842"/>
      <c r="AD199" s="2572"/>
      <c r="AE199" s="2572"/>
      <c r="AF199" s="2572"/>
      <c r="AG199" s="2572"/>
      <c r="AH199" s="2572"/>
      <c r="AI199" s="2572"/>
      <c r="AJ199" s="2572"/>
      <c r="AK199" s="608"/>
    </row>
    <row r="200" spans="1:37" hidden="1">
      <c r="A200" s="603"/>
      <c r="B200" s="2556"/>
      <c r="C200" s="2556"/>
      <c r="D200" s="2556"/>
      <c r="E200" s="2556"/>
      <c r="F200" s="2556"/>
      <c r="G200" s="2556"/>
      <c r="H200" s="2556"/>
      <c r="I200" s="2556"/>
      <c r="J200" s="2556"/>
      <c r="K200" s="2556"/>
      <c r="L200" s="2556"/>
      <c r="M200" s="2556"/>
      <c r="N200" s="2556"/>
      <c r="O200" s="2556"/>
      <c r="P200" s="2556"/>
      <c r="Q200" s="2556"/>
      <c r="R200" s="2556"/>
      <c r="S200" s="2556"/>
      <c r="T200" s="2556"/>
      <c r="U200" s="2556"/>
      <c r="V200" s="2556"/>
      <c r="W200" s="2556"/>
      <c r="X200" s="2556"/>
      <c r="Y200" s="2556"/>
      <c r="Z200" s="2556"/>
      <c r="AA200" s="2556"/>
      <c r="AB200" s="2556"/>
      <c r="AC200" s="842"/>
      <c r="AD200" s="2572"/>
      <c r="AE200" s="2572"/>
      <c r="AF200" s="2572"/>
      <c r="AG200" s="2572"/>
      <c r="AH200" s="2572"/>
      <c r="AI200" s="2572"/>
      <c r="AJ200" s="2572"/>
      <c r="AK200" s="608"/>
    </row>
    <row r="201" spans="1:37" hidden="1">
      <c r="A201" s="603"/>
      <c r="B201" s="2556"/>
      <c r="C201" s="2556"/>
      <c r="D201" s="2556"/>
      <c r="E201" s="2556"/>
      <c r="F201" s="2556"/>
      <c r="G201" s="2556"/>
      <c r="H201" s="2556"/>
      <c r="I201" s="2556"/>
      <c r="J201" s="2556"/>
      <c r="K201" s="2556"/>
      <c r="L201" s="2556"/>
      <c r="M201" s="2556"/>
      <c r="N201" s="2556"/>
      <c r="O201" s="2556"/>
      <c r="P201" s="2556"/>
      <c r="Q201" s="2556"/>
      <c r="R201" s="2556"/>
      <c r="S201" s="2556"/>
      <c r="T201" s="2556"/>
      <c r="U201" s="2556"/>
      <c r="V201" s="2556"/>
      <c r="W201" s="2556"/>
      <c r="X201" s="2556"/>
      <c r="Y201" s="2556"/>
      <c r="Z201" s="2556"/>
      <c r="AA201" s="2556"/>
      <c r="AB201" s="2556"/>
      <c r="AC201" s="842"/>
      <c r="AD201" s="2572"/>
      <c r="AE201" s="2572"/>
      <c r="AF201" s="2572"/>
      <c r="AG201" s="2572"/>
      <c r="AH201" s="2572"/>
      <c r="AI201" s="2572"/>
      <c r="AJ201" s="2572"/>
      <c r="AK201" s="608"/>
    </row>
    <row r="202" spans="1:37" hidden="1">
      <c r="A202" s="603"/>
      <c r="B202" s="2556"/>
      <c r="C202" s="2556"/>
      <c r="D202" s="2556"/>
      <c r="E202" s="2556"/>
      <c r="F202" s="2556"/>
      <c r="G202" s="2556"/>
      <c r="H202" s="2556"/>
      <c r="I202" s="2556"/>
      <c r="J202" s="2556"/>
      <c r="K202" s="2556"/>
      <c r="L202" s="2556"/>
      <c r="M202" s="2556"/>
      <c r="N202" s="2556"/>
      <c r="O202" s="2556"/>
      <c r="P202" s="2556"/>
      <c r="Q202" s="2556"/>
      <c r="R202" s="2556"/>
      <c r="S202" s="2556"/>
      <c r="T202" s="2556"/>
      <c r="U202" s="2556"/>
      <c r="V202" s="2556"/>
      <c r="W202" s="2556"/>
      <c r="X202" s="2556"/>
      <c r="Y202" s="2556"/>
      <c r="Z202" s="2556"/>
      <c r="AA202" s="2556"/>
      <c r="AB202" s="2556"/>
      <c r="AC202" s="842"/>
      <c r="AD202" s="2572"/>
      <c r="AE202" s="2572"/>
      <c r="AF202" s="2572"/>
      <c r="AG202" s="2572"/>
      <c r="AH202" s="2572"/>
      <c r="AI202" s="2572"/>
      <c r="AJ202" s="2572"/>
      <c r="AK202" s="608"/>
    </row>
    <row r="203" spans="1:37" hidden="1">
      <c r="A203" s="603"/>
      <c r="B203" s="2556"/>
      <c r="C203" s="2556"/>
      <c r="D203" s="2556"/>
      <c r="E203" s="2556"/>
      <c r="F203" s="2556"/>
      <c r="G203" s="2556"/>
      <c r="H203" s="2556"/>
      <c r="I203" s="2556"/>
      <c r="J203" s="2556"/>
      <c r="K203" s="2556"/>
      <c r="L203" s="2556"/>
      <c r="M203" s="2556"/>
      <c r="N203" s="2556"/>
      <c r="O203" s="2556"/>
      <c r="P203" s="2556"/>
      <c r="Q203" s="2556"/>
      <c r="R203" s="2556"/>
      <c r="S203" s="2556"/>
      <c r="T203" s="2556"/>
      <c r="U203" s="2556"/>
      <c r="V203" s="2556"/>
      <c r="W203" s="2556"/>
      <c r="X203" s="2556"/>
      <c r="Y203" s="2556"/>
      <c r="Z203" s="2556"/>
      <c r="AA203" s="2556"/>
      <c r="AB203" s="2556"/>
      <c r="AC203" s="842"/>
      <c r="AD203" s="2572"/>
      <c r="AE203" s="2572"/>
      <c r="AF203" s="2572"/>
      <c r="AG203" s="2572"/>
      <c r="AH203" s="2572"/>
      <c r="AI203" s="2572"/>
      <c r="AJ203" s="2572"/>
      <c r="AK203" s="608"/>
    </row>
    <row r="204" spans="1:37" hidden="1">
      <c r="A204" s="603"/>
      <c r="B204" s="2556"/>
      <c r="C204" s="2556"/>
      <c r="D204" s="2556"/>
      <c r="E204" s="2556"/>
      <c r="F204" s="2556"/>
      <c r="G204" s="2556"/>
      <c r="H204" s="2556"/>
      <c r="I204" s="2556"/>
      <c r="J204" s="2556"/>
      <c r="K204" s="2556"/>
      <c r="L204" s="2556"/>
      <c r="M204" s="2556"/>
      <c r="N204" s="2556"/>
      <c r="O204" s="2556"/>
      <c r="P204" s="2556"/>
      <c r="Q204" s="2556"/>
      <c r="R204" s="2556"/>
      <c r="S204" s="2556"/>
      <c r="T204" s="2556"/>
      <c r="U204" s="2556"/>
      <c r="V204" s="2556"/>
      <c r="W204" s="2556"/>
      <c r="X204" s="2556"/>
      <c r="Y204" s="2556"/>
      <c r="Z204" s="2556"/>
      <c r="AA204" s="2556"/>
      <c r="AB204" s="2556"/>
      <c r="AC204" s="842"/>
      <c r="AD204" s="2572"/>
      <c r="AE204" s="2572"/>
      <c r="AF204" s="2572"/>
      <c r="AG204" s="2572"/>
      <c r="AH204" s="2572"/>
      <c r="AI204" s="2572"/>
      <c r="AJ204" s="2572"/>
      <c r="AK204" s="608"/>
    </row>
    <row r="205" spans="1:37" hidden="1">
      <c r="A205" s="603"/>
      <c r="B205" s="2556"/>
      <c r="C205" s="2556"/>
      <c r="D205" s="2556"/>
      <c r="E205" s="2556"/>
      <c r="F205" s="2556"/>
      <c r="G205" s="2556"/>
      <c r="H205" s="2556"/>
      <c r="I205" s="2556"/>
      <c r="J205" s="2556"/>
      <c r="K205" s="2556"/>
      <c r="L205" s="2556"/>
      <c r="M205" s="2556"/>
      <c r="N205" s="2556"/>
      <c r="O205" s="2556"/>
      <c r="P205" s="2556"/>
      <c r="Q205" s="2556"/>
      <c r="R205" s="2556"/>
      <c r="S205" s="2556"/>
      <c r="T205" s="2556"/>
      <c r="U205" s="2556"/>
      <c r="V205" s="2556"/>
      <c r="W205" s="2556"/>
      <c r="X205" s="2556"/>
      <c r="Y205" s="2556"/>
      <c r="Z205" s="2556"/>
      <c r="AA205" s="2556"/>
      <c r="AB205" s="2556"/>
      <c r="AC205" s="842"/>
      <c r="AD205" s="2572"/>
      <c r="AE205" s="2572"/>
      <c r="AF205" s="2572"/>
      <c r="AG205" s="2572"/>
      <c r="AH205" s="2572"/>
      <c r="AI205" s="2572"/>
      <c r="AJ205" s="2572"/>
      <c r="AK205" s="608"/>
    </row>
    <row r="206" spans="1:37" hidden="1">
      <c r="A206" s="603"/>
      <c r="B206" s="2556"/>
      <c r="C206" s="2556"/>
      <c r="D206" s="2556"/>
      <c r="E206" s="2556"/>
      <c r="F206" s="2556"/>
      <c r="G206" s="2556"/>
      <c r="H206" s="2556"/>
      <c r="I206" s="2556"/>
      <c r="J206" s="2556"/>
      <c r="K206" s="2556"/>
      <c r="L206" s="2556"/>
      <c r="M206" s="2556"/>
      <c r="N206" s="2556"/>
      <c r="O206" s="2556"/>
      <c r="P206" s="2556"/>
      <c r="Q206" s="2556"/>
      <c r="R206" s="2556"/>
      <c r="S206" s="2556"/>
      <c r="T206" s="2556"/>
      <c r="U206" s="2556"/>
      <c r="V206" s="2556"/>
      <c r="W206" s="2556"/>
      <c r="X206" s="2556"/>
      <c r="Y206" s="2556"/>
      <c r="Z206" s="2556"/>
      <c r="AA206" s="2556"/>
      <c r="AB206" s="2556"/>
      <c r="AC206" s="842"/>
      <c r="AD206" s="2572"/>
      <c r="AE206" s="2572"/>
      <c r="AF206" s="2572"/>
      <c r="AG206" s="2572"/>
      <c r="AH206" s="2572"/>
      <c r="AI206" s="2572"/>
      <c r="AJ206" s="2572"/>
      <c r="AK206" s="608"/>
    </row>
    <row r="207" spans="1:37" hidden="1">
      <c r="A207" s="603"/>
      <c r="B207" s="2556"/>
      <c r="C207" s="2556"/>
      <c r="D207" s="2556"/>
      <c r="E207" s="2556"/>
      <c r="F207" s="2556"/>
      <c r="G207" s="2556"/>
      <c r="H207" s="2556"/>
      <c r="I207" s="2556"/>
      <c r="J207" s="2556"/>
      <c r="K207" s="2556"/>
      <c r="L207" s="2556"/>
      <c r="M207" s="2556"/>
      <c r="N207" s="2556"/>
      <c r="O207" s="2556"/>
      <c r="P207" s="2556"/>
      <c r="Q207" s="2556"/>
      <c r="R207" s="2556"/>
      <c r="S207" s="2556"/>
      <c r="T207" s="2556"/>
      <c r="U207" s="2556"/>
      <c r="V207" s="2556"/>
      <c r="W207" s="2556"/>
      <c r="X207" s="2556"/>
      <c r="Y207" s="2556"/>
      <c r="Z207" s="2556"/>
      <c r="AA207" s="2556"/>
      <c r="AB207" s="2556"/>
      <c r="AC207" s="842"/>
      <c r="AD207" s="2572"/>
      <c r="AE207" s="2572"/>
      <c r="AF207" s="2572"/>
      <c r="AG207" s="2572"/>
      <c r="AH207" s="2572"/>
      <c r="AI207" s="2572"/>
      <c r="AJ207" s="2572"/>
      <c r="AK207" s="608"/>
    </row>
    <row r="208" spans="1:37" hidden="1">
      <c r="A208" s="603"/>
      <c r="B208" s="2565" t="s">
        <v>1616</v>
      </c>
      <c r="C208" s="2565"/>
      <c r="D208" s="2565"/>
      <c r="E208" s="2565"/>
      <c r="F208" s="2565"/>
      <c r="G208" s="2565"/>
      <c r="H208" s="2565"/>
      <c r="I208" s="2565"/>
      <c r="J208" s="2565"/>
      <c r="K208" s="2565"/>
      <c r="L208" s="2565"/>
      <c r="M208" s="2565"/>
      <c r="N208" s="2565"/>
      <c r="O208" s="2565"/>
      <c r="P208" s="2565"/>
      <c r="Q208" s="2565"/>
      <c r="R208" s="2565"/>
      <c r="S208" s="2565"/>
      <c r="T208" s="2565"/>
      <c r="U208" s="2565"/>
      <c r="V208" s="2565"/>
      <c r="W208" s="2565"/>
      <c r="X208" s="2565"/>
      <c r="Y208" s="2565"/>
      <c r="Z208" s="2565"/>
      <c r="AA208" s="2565"/>
      <c r="AB208" s="2565"/>
      <c r="AC208" s="536"/>
      <c r="AD208" s="2570">
        <f>AB259</f>
        <v>0</v>
      </c>
      <c r="AE208" s="2570"/>
      <c r="AF208" s="2570"/>
      <c r="AG208" s="2570"/>
      <c r="AH208" s="2570"/>
      <c r="AI208" s="2570"/>
      <c r="AJ208" s="2570"/>
      <c r="AK208" s="608"/>
    </row>
    <row r="209" spans="1:37" hidden="1">
      <c r="A209" s="603"/>
      <c r="B209" s="2411" t="s">
        <v>1579</v>
      </c>
      <c r="C209" s="2411"/>
      <c r="D209" s="2411"/>
      <c r="E209" s="2411"/>
      <c r="F209" s="2411"/>
      <c r="G209" s="2411"/>
      <c r="H209" s="2411"/>
      <c r="I209" s="2411"/>
      <c r="J209" s="2411"/>
      <c r="K209" s="2411"/>
      <c r="L209" s="2411"/>
      <c r="M209" s="2411"/>
      <c r="N209" s="2411"/>
      <c r="O209" s="2411"/>
      <c r="P209" s="2411"/>
      <c r="Q209" s="2411"/>
      <c r="R209" s="2411"/>
      <c r="S209" s="2411"/>
      <c r="T209" s="2411"/>
      <c r="U209" s="2411"/>
      <c r="V209" s="2411"/>
      <c r="W209" s="2411"/>
      <c r="X209" s="2411"/>
      <c r="Y209" s="2411"/>
      <c r="Z209" s="2411"/>
      <c r="AA209" s="2411"/>
      <c r="AB209" s="2411"/>
      <c r="AC209" s="842"/>
      <c r="AD209" s="2571">
        <f>'Sources and Uses Budget'!B15</f>
        <v>0</v>
      </c>
      <c r="AE209" s="2571"/>
      <c r="AF209" s="2571"/>
      <c r="AG209" s="2571"/>
      <c r="AH209" s="2571"/>
      <c r="AI209" s="2571"/>
      <c r="AJ209" s="2571"/>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576">
        <f>SUM(AD198:AJ208)-AD209</f>
        <v>0</v>
      </c>
      <c r="AE210" s="2576"/>
      <c r="AF210" s="2576"/>
      <c r="AG210" s="2576"/>
      <c r="AH210" s="2576"/>
      <c r="AI210" s="2576"/>
      <c r="AJ210" s="2576"/>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1986</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599" t="s">
        <v>1596</v>
      </c>
      <c r="J221" s="2599"/>
      <c r="K221" s="2599"/>
      <c r="L221" s="536"/>
      <c r="M221" s="536"/>
      <c r="N221" s="536"/>
      <c r="O221" s="536"/>
      <c r="P221" s="536"/>
      <c r="Q221" s="536"/>
      <c r="R221" s="536"/>
      <c r="S221" s="536"/>
      <c r="T221" s="2425" t="s">
        <v>1590</v>
      </c>
      <c r="U221" s="2425"/>
      <c r="V221" s="2425"/>
      <c r="W221" s="2425"/>
      <c r="X221" s="2425"/>
      <c r="Y221" s="2425"/>
      <c r="Z221" s="845"/>
      <c r="AA221" s="489"/>
      <c r="AB221" s="2589" t="s">
        <v>1591</v>
      </c>
      <c r="AC221" s="2589"/>
      <c r="AD221" s="2589"/>
      <c r="AE221" s="2589"/>
      <c r="AF221" s="2589"/>
      <c r="AG221" s="2589"/>
      <c r="AH221" s="823"/>
      <c r="AI221" s="823"/>
      <c r="AJ221" s="823"/>
      <c r="AK221" s="608"/>
    </row>
    <row r="222" spans="1:37" hidden="1">
      <c r="A222" s="603"/>
      <c r="B222" s="2597" t="s">
        <v>1576</v>
      </c>
      <c r="C222" s="2597"/>
      <c r="D222" s="2597"/>
      <c r="E222" s="2597"/>
      <c r="F222" s="2597"/>
      <c r="G222" s="2597"/>
      <c r="I222" s="2598" t="s">
        <v>1597</v>
      </c>
      <c r="J222" s="2598"/>
      <c r="K222" s="2598"/>
      <c r="L222" s="1003"/>
      <c r="N222" s="2412" t="s">
        <v>1592</v>
      </c>
      <c r="O222" s="2412"/>
      <c r="P222" s="2412"/>
      <c r="Q222" s="2412"/>
      <c r="R222" s="2412"/>
      <c r="T222" s="2412" t="s">
        <v>1593</v>
      </c>
      <c r="U222" s="2412"/>
      <c r="V222" s="2412"/>
      <c r="W222" s="2412"/>
      <c r="X222" s="2412"/>
      <c r="Y222" s="2412"/>
      <c r="Z222" s="846"/>
      <c r="AA222" s="489"/>
      <c r="AB222" s="2468" t="s">
        <v>1594</v>
      </c>
      <c r="AC222" s="2468"/>
      <c r="AD222" s="2468"/>
      <c r="AE222" s="2468"/>
      <c r="AF222" s="2468"/>
      <c r="AG222" s="2468"/>
      <c r="AH222" s="823"/>
      <c r="AI222" s="823"/>
      <c r="AJ222" s="823"/>
      <c r="AK222" s="608"/>
    </row>
    <row r="223" spans="1:37" hidden="1">
      <c r="A223" s="603"/>
      <c r="B223" s="2469" t="s">
        <v>1184</v>
      </c>
      <c r="C223" s="2469"/>
      <c r="D223" s="2469"/>
      <c r="E223" s="2469"/>
      <c r="F223" s="2469"/>
      <c r="G223" s="2469"/>
      <c r="H223" s="848"/>
      <c r="I223" s="2428"/>
      <c r="J223" s="2428"/>
      <c r="K223" s="2428"/>
      <c r="L223" s="1003"/>
      <c r="N223" s="2426"/>
      <c r="O223" s="2426"/>
      <c r="P223" s="2426"/>
      <c r="Q223" s="2426"/>
      <c r="R223" s="2426"/>
      <c r="T223" s="2408"/>
      <c r="U223" s="2408"/>
      <c r="V223" s="2408"/>
      <c r="W223" s="2408"/>
      <c r="X223" s="2408"/>
      <c r="Y223" s="2408"/>
      <c r="Z223" s="847"/>
      <c r="AA223" s="847"/>
      <c r="AB223" s="2406">
        <f t="shared" ref="AB223:AB232" si="0">MAX(($T223-$N223)*$I223*12,0)</f>
        <v>0</v>
      </c>
      <c r="AC223" s="2406"/>
      <c r="AD223" s="2406"/>
      <c r="AE223" s="2406"/>
      <c r="AF223" s="2406"/>
      <c r="AG223" s="2406"/>
      <c r="AH223" s="823"/>
      <c r="AI223" s="823"/>
      <c r="AJ223" s="823"/>
      <c r="AK223" s="608"/>
    </row>
    <row r="224" spans="1:37" hidden="1">
      <c r="A224" s="603"/>
      <c r="B224" s="2469" t="s">
        <v>1184</v>
      </c>
      <c r="C224" s="2469"/>
      <c r="D224" s="2469"/>
      <c r="E224" s="2469"/>
      <c r="F224" s="2469"/>
      <c r="G224" s="2469"/>
      <c r="I224" s="2428"/>
      <c r="J224" s="2428"/>
      <c r="K224" s="2428"/>
      <c r="L224" s="1003"/>
      <c r="N224" s="2426"/>
      <c r="O224" s="2426"/>
      <c r="P224" s="2426"/>
      <c r="Q224" s="2426"/>
      <c r="R224" s="2426"/>
      <c r="T224" s="2408"/>
      <c r="U224" s="2408"/>
      <c r="V224" s="2408"/>
      <c r="W224" s="2408"/>
      <c r="X224" s="2408"/>
      <c r="Y224" s="2408"/>
      <c r="Z224" s="847"/>
      <c r="AA224" s="847"/>
      <c r="AB224" s="2406">
        <f t="shared" si="0"/>
        <v>0</v>
      </c>
      <c r="AC224" s="2406"/>
      <c r="AD224" s="2406"/>
      <c r="AE224" s="2406"/>
      <c r="AF224" s="2406"/>
      <c r="AG224" s="2406"/>
      <c r="AH224" s="823"/>
      <c r="AI224" s="823"/>
      <c r="AJ224" s="823"/>
      <c r="AK224" s="608"/>
    </row>
    <row r="225" spans="1:37" hidden="1">
      <c r="A225" s="603"/>
      <c r="B225" s="2469" t="s">
        <v>1184</v>
      </c>
      <c r="C225" s="2469"/>
      <c r="D225" s="2469"/>
      <c r="E225" s="2469"/>
      <c r="F225" s="2469"/>
      <c r="G225" s="2469"/>
      <c r="I225" s="2428"/>
      <c r="J225" s="2428"/>
      <c r="K225" s="2428"/>
      <c r="L225" s="1003"/>
      <c r="N225" s="2426"/>
      <c r="O225" s="2426"/>
      <c r="P225" s="2426"/>
      <c r="Q225" s="2426"/>
      <c r="R225" s="2426"/>
      <c r="T225" s="2408"/>
      <c r="U225" s="2408"/>
      <c r="V225" s="2408"/>
      <c r="W225" s="2408"/>
      <c r="X225" s="2408"/>
      <c r="Y225" s="2408"/>
      <c r="Z225" s="847"/>
      <c r="AA225" s="847"/>
      <c r="AB225" s="2406">
        <f t="shared" si="0"/>
        <v>0</v>
      </c>
      <c r="AC225" s="2406"/>
      <c r="AD225" s="2406"/>
      <c r="AE225" s="2406"/>
      <c r="AF225" s="2406"/>
      <c r="AG225" s="2406"/>
      <c r="AH225" s="823"/>
      <c r="AI225" s="823"/>
      <c r="AJ225" s="823"/>
      <c r="AK225" s="608"/>
    </row>
    <row r="226" spans="1:37" hidden="1">
      <c r="A226" s="603"/>
      <c r="B226" s="2469" t="s">
        <v>1184</v>
      </c>
      <c r="C226" s="2469"/>
      <c r="D226" s="2469"/>
      <c r="E226" s="2469"/>
      <c r="F226" s="2469"/>
      <c r="G226" s="2469"/>
      <c r="I226" s="2428"/>
      <c r="J226" s="2428"/>
      <c r="K226" s="2428"/>
      <c r="L226" s="1003"/>
      <c r="N226" s="2426"/>
      <c r="O226" s="2426"/>
      <c r="P226" s="2426"/>
      <c r="Q226" s="2426"/>
      <c r="R226" s="2426"/>
      <c r="T226" s="2408"/>
      <c r="U226" s="2408"/>
      <c r="V226" s="2408"/>
      <c r="W226" s="2408"/>
      <c r="X226" s="2408"/>
      <c r="Y226" s="2408"/>
      <c r="Z226" s="847"/>
      <c r="AA226" s="847"/>
      <c r="AB226" s="2406">
        <f t="shared" si="0"/>
        <v>0</v>
      </c>
      <c r="AC226" s="2406"/>
      <c r="AD226" s="2406"/>
      <c r="AE226" s="2406"/>
      <c r="AF226" s="2406"/>
      <c r="AG226" s="2406"/>
      <c r="AH226" s="823"/>
      <c r="AI226" s="823"/>
      <c r="AJ226" s="823"/>
      <c r="AK226" s="608"/>
    </row>
    <row r="227" spans="1:37" hidden="1">
      <c r="A227" s="603"/>
      <c r="B227" s="2469" t="s">
        <v>1184</v>
      </c>
      <c r="C227" s="2469"/>
      <c r="D227" s="2469"/>
      <c r="E227" s="2469"/>
      <c r="F227" s="2469"/>
      <c r="G227" s="2469"/>
      <c r="I227" s="2428"/>
      <c r="J227" s="2428"/>
      <c r="K227" s="2428"/>
      <c r="L227" s="1010"/>
      <c r="N227" s="2426"/>
      <c r="O227" s="2426"/>
      <c r="P227" s="2426"/>
      <c r="Q227" s="2426"/>
      <c r="R227" s="2426"/>
      <c r="T227" s="2408"/>
      <c r="U227" s="2408"/>
      <c r="V227" s="2408"/>
      <c r="W227" s="2408"/>
      <c r="X227" s="2408"/>
      <c r="Y227" s="2408"/>
      <c r="Z227" s="847"/>
      <c r="AA227" s="847"/>
      <c r="AB227" s="2406">
        <f t="shared" si="0"/>
        <v>0</v>
      </c>
      <c r="AC227" s="2406"/>
      <c r="AD227" s="2406"/>
      <c r="AE227" s="2406"/>
      <c r="AF227" s="2406"/>
      <c r="AG227" s="2406"/>
      <c r="AH227" s="823"/>
      <c r="AI227" s="823"/>
      <c r="AJ227" s="823"/>
      <c r="AK227" s="608"/>
    </row>
    <row r="228" spans="1:37" hidden="1">
      <c r="A228" s="603"/>
      <c r="B228" s="2469" t="s">
        <v>1184</v>
      </c>
      <c r="C228" s="2469"/>
      <c r="D228" s="2469"/>
      <c r="E228" s="2469"/>
      <c r="F228" s="2469"/>
      <c r="G228" s="2469"/>
      <c r="I228" s="2428"/>
      <c r="J228" s="2428"/>
      <c r="K228" s="2428"/>
      <c r="L228" s="1010"/>
      <c r="N228" s="2426"/>
      <c r="O228" s="2426"/>
      <c r="P228" s="2426"/>
      <c r="Q228" s="2426"/>
      <c r="R228" s="2426"/>
      <c r="T228" s="2408"/>
      <c r="U228" s="2408"/>
      <c r="V228" s="2408"/>
      <c r="W228" s="2408"/>
      <c r="X228" s="2408"/>
      <c r="Y228" s="2408"/>
      <c r="Z228" s="847"/>
      <c r="AA228" s="847"/>
      <c r="AB228" s="2406">
        <f t="shared" si="0"/>
        <v>0</v>
      </c>
      <c r="AC228" s="2406"/>
      <c r="AD228" s="2406"/>
      <c r="AE228" s="2406"/>
      <c r="AF228" s="2406"/>
      <c r="AG228" s="2406"/>
      <c r="AH228" s="823"/>
      <c r="AI228" s="823"/>
      <c r="AJ228" s="823"/>
      <c r="AK228" s="608"/>
    </row>
    <row r="229" spans="1:37" hidden="1">
      <c r="A229" s="603"/>
      <c r="B229" s="2469" t="s">
        <v>1184</v>
      </c>
      <c r="C229" s="2469"/>
      <c r="D229" s="2469"/>
      <c r="E229" s="2469"/>
      <c r="F229" s="2469"/>
      <c r="G229" s="2469"/>
      <c r="I229" s="2428"/>
      <c r="J229" s="2428"/>
      <c r="K229" s="2428"/>
      <c r="L229" s="1010"/>
      <c r="N229" s="2426"/>
      <c r="O229" s="2426"/>
      <c r="P229" s="2426"/>
      <c r="Q229" s="2426"/>
      <c r="R229" s="2426"/>
      <c r="T229" s="2408"/>
      <c r="U229" s="2408"/>
      <c r="V229" s="2408"/>
      <c r="W229" s="2408"/>
      <c r="X229" s="2408"/>
      <c r="Y229" s="2408"/>
      <c r="Z229" s="847"/>
      <c r="AA229" s="847"/>
      <c r="AB229" s="2406">
        <f t="shared" si="0"/>
        <v>0</v>
      </c>
      <c r="AC229" s="2406"/>
      <c r="AD229" s="2406"/>
      <c r="AE229" s="2406"/>
      <c r="AF229" s="2406"/>
      <c r="AG229" s="2406"/>
      <c r="AH229" s="823"/>
      <c r="AI229" s="823"/>
      <c r="AJ229" s="823"/>
      <c r="AK229" s="608"/>
    </row>
    <row r="230" spans="1:37" hidden="1">
      <c r="A230" s="603"/>
      <c r="B230" s="2469" t="s">
        <v>1184</v>
      </c>
      <c r="C230" s="2469"/>
      <c r="D230" s="2469"/>
      <c r="E230" s="2469"/>
      <c r="F230" s="2469"/>
      <c r="G230" s="2469"/>
      <c r="I230" s="2428"/>
      <c r="J230" s="2428"/>
      <c r="K230" s="2428"/>
      <c r="L230" s="1010"/>
      <c r="N230" s="2426"/>
      <c r="O230" s="2426"/>
      <c r="P230" s="2426"/>
      <c r="Q230" s="2426"/>
      <c r="R230" s="2426"/>
      <c r="T230" s="2408"/>
      <c r="U230" s="2408"/>
      <c r="V230" s="2408"/>
      <c r="W230" s="2408"/>
      <c r="X230" s="2408"/>
      <c r="Y230" s="2408"/>
      <c r="Z230" s="847"/>
      <c r="AA230" s="847"/>
      <c r="AB230" s="2406">
        <f t="shared" si="0"/>
        <v>0</v>
      </c>
      <c r="AC230" s="2406"/>
      <c r="AD230" s="2406"/>
      <c r="AE230" s="2406"/>
      <c r="AF230" s="2406"/>
      <c r="AG230" s="2406"/>
      <c r="AH230" s="823"/>
      <c r="AI230" s="823"/>
      <c r="AJ230" s="823"/>
      <c r="AK230" s="608"/>
    </row>
    <row r="231" spans="1:37" hidden="1">
      <c r="A231" s="603"/>
      <c r="B231" s="2469" t="s">
        <v>1184</v>
      </c>
      <c r="C231" s="2469"/>
      <c r="D231" s="2469"/>
      <c r="E231" s="2469"/>
      <c r="F231" s="2469"/>
      <c r="G231" s="2469"/>
      <c r="I231" s="2428"/>
      <c r="J231" s="2428"/>
      <c r="K231" s="2428"/>
      <c r="L231" s="1010"/>
      <c r="N231" s="2426"/>
      <c r="O231" s="2426"/>
      <c r="P231" s="2426"/>
      <c r="Q231" s="2426"/>
      <c r="R231" s="2426"/>
      <c r="T231" s="2408"/>
      <c r="U231" s="2408"/>
      <c r="V231" s="2408"/>
      <c r="W231" s="2408"/>
      <c r="X231" s="2408"/>
      <c r="Y231" s="2408"/>
      <c r="Z231" s="847"/>
      <c r="AA231" s="847"/>
      <c r="AB231" s="2406">
        <f t="shared" si="0"/>
        <v>0</v>
      </c>
      <c r="AC231" s="2406"/>
      <c r="AD231" s="2406"/>
      <c r="AE231" s="2406"/>
      <c r="AF231" s="2406"/>
      <c r="AG231" s="2406"/>
      <c r="AH231" s="823"/>
      <c r="AI231" s="823"/>
      <c r="AJ231" s="823"/>
      <c r="AK231" s="608"/>
    </row>
    <row r="232" spans="1:37" hidden="1">
      <c r="A232" s="603"/>
      <c r="B232" s="2469" t="s">
        <v>1184</v>
      </c>
      <c r="C232" s="2469"/>
      <c r="D232" s="2469"/>
      <c r="E232" s="2469"/>
      <c r="F232" s="2469"/>
      <c r="G232" s="2469"/>
      <c r="I232" s="2600"/>
      <c r="J232" s="2600"/>
      <c r="K232" s="2600"/>
      <c r="L232" s="1010"/>
      <c r="N232" s="2426"/>
      <c r="O232" s="2426"/>
      <c r="P232" s="2426"/>
      <c r="Q232" s="2426"/>
      <c r="R232" s="2426"/>
      <c r="T232" s="2408"/>
      <c r="U232" s="2408"/>
      <c r="V232" s="2408"/>
      <c r="W232" s="2408"/>
      <c r="X232" s="2408"/>
      <c r="Y232" s="2408"/>
      <c r="Z232" s="847"/>
      <c r="AA232" s="847"/>
      <c r="AB232" s="2407">
        <f t="shared" si="0"/>
        <v>0</v>
      </c>
      <c r="AC232" s="2407"/>
      <c r="AD232" s="2407"/>
      <c r="AE232" s="2407"/>
      <c r="AF232" s="2407"/>
      <c r="AG232" s="2407"/>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2406">
        <f>SUM(AB223:AB232)</f>
        <v>0</v>
      </c>
      <c r="AC233" s="2406"/>
      <c r="AD233" s="2406"/>
      <c r="AE233" s="2406"/>
      <c r="AF233" s="2406"/>
      <c r="AG233" s="2406"/>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41"/>
      <c r="AC239" s="2441"/>
      <c r="AD239" s="2441"/>
      <c r="AE239" s="2441"/>
      <c r="AF239" s="2441"/>
      <c r="AG239" s="2441"/>
      <c r="AH239" s="608"/>
      <c r="AI239" s="608"/>
      <c r="AJ239" s="608"/>
      <c r="AK239" s="608"/>
    </row>
    <row r="240" spans="1:37"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41"/>
      <c r="AC242" s="2441"/>
      <c r="AD242" s="2441"/>
      <c r="AE242" s="2441"/>
      <c r="AF242" s="2441"/>
      <c r="AG242" s="2441"/>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4"/>
      <c r="AC243" s="2424"/>
      <c r="AD243" s="2424"/>
      <c r="AE243" s="2424"/>
      <c r="AF243" s="2424"/>
      <c r="AG243" s="2424"/>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09">
        <f>IFERROR(AB242/AB243,0)</f>
        <v>0</v>
      </c>
      <c r="AC244" s="2409"/>
      <c r="AD244" s="2409"/>
      <c r="AE244" s="2409"/>
      <c r="AF244" s="2409"/>
      <c r="AG244" s="2409"/>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07">
        <f>MAX(AB239,AB244)</f>
        <v>0</v>
      </c>
      <c r="AC246" s="2407"/>
      <c r="AD246" s="2407"/>
      <c r="AE246" s="2407"/>
      <c r="AF246" s="2407"/>
      <c r="AG246" s="2407"/>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6">
        <f>AB233+AB246</f>
        <v>0</v>
      </c>
      <c r="AC249" s="2406"/>
      <c r="AD249" s="2406"/>
      <c r="AE249" s="2406"/>
      <c r="AF249" s="2406"/>
      <c r="AG249" s="2406"/>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80">
        <v>0.05</v>
      </c>
      <c r="AC250" s="2580"/>
      <c r="AD250" s="2580"/>
      <c r="AE250" s="2580"/>
      <c r="AF250" s="2580"/>
      <c r="AG250" s="2580"/>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81">
        <f>AB249-(AB249*AB250)</f>
        <v>0</v>
      </c>
      <c r="AC251" s="2581"/>
      <c r="AD251" s="2581"/>
      <c r="AE251" s="2581"/>
      <c r="AF251" s="2581"/>
      <c r="AG251" s="2581"/>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6">
        <f>AB251/AB257</f>
        <v>0</v>
      </c>
      <c r="AC253" s="2406"/>
      <c r="AD253" s="2406"/>
      <c r="AE253" s="2406"/>
      <c r="AF253" s="2406"/>
      <c r="AG253" s="2406"/>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89">
        <v>15</v>
      </c>
      <c r="AC255" s="2589"/>
      <c r="AD255" s="2589"/>
      <c r="AE255" s="2589"/>
      <c r="AF255" s="2589"/>
      <c r="AG255" s="2589"/>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57">
        <v>0.04</v>
      </c>
      <c r="AC256" s="2557"/>
      <c r="AD256" s="2557"/>
      <c r="AE256" s="2557"/>
      <c r="AF256" s="2557"/>
      <c r="AG256" s="2557"/>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6">
        <v>1.1499999999999999</v>
      </c>
      <c r="AC257" s="2566"/>
      <c r="AD257" s="2566"/>
      <c r="AE257" s="2566"/>
      <c r="AF257" s="2566"/>
      <c r="AG257" s="2566"/>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3">
        <f>PV(AB256/12,AB255*12,-AB253/12, ,0)</f>
        <v>0</v>
      </c>
      <c r="AC259" s="2574"/>
      <c r="AD259" s="2574"/>
      <c r="AE259" s="2574"/>
      <c r="AF259" s="2574"/>
      <c r="AG259" s="2575"/>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77">
        <f>IFERROR(('Sources and Uses Budget'!D105/'Sources and Uses Budget'!B105),0)</f>
        <v>0</v>
      </c>
      <c r="AC265" s="2578"/>
      <c r="AD265" s="2578"/>
      <c r="AE265" s="2578"/>
      <c r="AF265" s="2578"/>
      <c r="AG265" s="2579"/>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4">
        <f>AD210*(1-AB265)</f>
        <v>0</v>
      </c>
      <c r="AH267" s="2434"/>
      <c r="AI267" s="2434"/>
      <c r="AJ267" s="2434"/>
      <c r="AK267" s="2434"/>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4">
        <f>'Sources and Uses Budget'!C105</f>
        <v>71303707</v>
      </c>
      <c r="AH268" s="2434"/>
      <c r="AI268" s="2434"/>
      <c r="AJ268" s="2434"/>
      <c r="AK268" s="2434"/>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69">
        <f>ROUNDDOWN(IF(AND(C305="Yes",AK83=10),((AG267*2)/AG268),AG267/AG268),2)</f>
        <v>0</v>
      </c>
      <c r="AH269" s="2569"/>
      <c r="AI269" s="2569"/>
      <c r="AJ269" s="2569"/>
      <c r="AK269" s="2569"/>
    </row>
    <row r="270" spans="1:39" hidden="1">
      <c r="A270" s="620"/>
      <c r="B270" s="973" t="s">
        <v>1730</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2559">
        <f>IFERROR(IF(AG269=0,0,IF((AG269*100)&gt;8,8,(AG269*100))),0)</f>
        <v>0</v>
      </c>
      <c r="AL272" s="2559"/>
      <c r="AM272" s="2560"/>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2578</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10" t="s">
        <v>545</v>
      </c>
      <c r="D279" s="2410"/>
      <c r="E279" s="546"/>
      <c r="F279" s="2397" t="s">
        <v>2570</v>
      </c>
      <c r="G279" s="2398"/>
      <c r="H279" s="2398"/>
      <c r="I279" s="2398"/>
      <c r="J279" s="2398"/>
      <c r="K279" s="2398"/>
      <c r="L279" s="2398"/>
      <c r="M279" s="2398"/>
      <c r="N279" s="2398"/>
      <c r="O279" s="2398"/>
      <c r="P279" s="2398"/>
      <c r="Q279" s="2398"/>
      <c r="R279" s="2398"/>
      <c r="S279" s="2398"/>
      <c r="T279" s="2398"/>
      <c r="U279" s="2398"/>
      <c r="V279" s="2398"/>
      <c r="W279" s="2398"/>
      <c r="X279" s="2398"/>
      <c r="Y279" s="2398"/>
      <c r="Z279" s="2398"/>
      <c r="AA279" s="2398"/>
      <c r="AB279" s="2398"/>
      <c r="AC279" s="2398"/>
      <c r="AD279" s="2399"/>
      <c r="AE279" s="549"/>
      <c r="AF279" s="633"/>
      <c r="AG279" s="2567" t="s">
        <v>1357</v>
      </c>
      <c r="AH279" s="2567"/>
      <c r="AI279" s="2567"/>
      <c r="AJ279" s="2567"/>
      <c r="AK279" s="549"/>
      <c r="AL279" s="549"/>
      <c r="AM279" s="549"/>
      <c r="AO279" s="549"/>
    </row>
    <row r="280" spans="1:52" ht="13.7" customHeight="1">
      <c r="A280" s="549"/>
      <c r="B280" s="594"/>
      <c r="C280" s="634"/>
      <c r="D280" s="549"/>
      <c r="E280" s="546"/>
      <c r="F280" s="2400"/>
      <c r="G280" s="2401"/>
      <c r="H280" s="2401"/>
      <c r="I280" s="2401"/>
      <c r="J280" s="2401"/>
      <c r="K280" s="2401"/>
      <c r="L280" s="2401"/>
      <c r="M280" s="2401"/>
      <c r="N280" s="2401"/>
      <c r="O280" s="2401"/>
      <c r="P280" s="2401"/>
      <c r="Q280" s="2401"/>
      <c r="R280" s="2401"/>
      <c r="S280" s="2401"/>
      <c r="T280" s="2401"/>
      <c r="U280" s="2401"/>
      <c r="V280" s="2401"/>
      <c r="W280" s="2401"/>
      <c r="X280" s="2401"/>
      <c r="Y280" s="2401"/>
      <c r="Z280" s="2401"/>
      <c r="AA280" s="2401"/>
      <c r="AB280" s="2401"/>
      <c r="AC280" s="2401"/>
      <c r="AD280" s="2402"/>
      <c r="AE280" s="549"/>
      <c r="AF280" s="633"/>
      <c r="AG280" s="633"/>
      <c r="AH280" s="633"/>
      <c r="AI280" s="633"/>
      <c r="AJ280" s="549"/>
      <c r="AK280" s="549"/>
      <c r="AL280" s="549"/>
      <c r="AM280" s="549"/>
      <c r="AO280" s="549"/>
    </row>
    <row r="281" spans="1:52" ht="13.7" customHeight="1">
      <c r="A281" s="549"/>
      <c r="B281" s="594"/>
      <c r="C281" s="634"/>
      <c r="D281" s="549"/>
      <c r="E281" s="546"/>
      <c r="F281" s="2400"/>
      <c r="G281" s="2401"/>
      <c r="H281" s="2401"/>
      <c r="I281" s="2401"/>
      <c r="J281" s="2401"/>
      <c r="K281" s="2401"/>
      <c r="L281" s="2401"/>
      <c r="M281" s="2401"/>
      <c r="N281" s="2401"/>
      <c r="O281" s="2401"/>
      <c r="P281" s="2401"/>
      <c r="Q281" s="2401"/>
      <c r="R281" s="2401"/>
      <c r="S281" s="2401"/>
      <c r="T281" s="2401"/>
      <c r="U281" s="2401"/>
      <c r="V281" s="2401"/>
      <c r="W281" s="2401"/>
      <c r="X281" s="2401"/>
      <c r="Y281" s="2401"/>
      <c r="Z281" s="2401"/>
      <c r="AA281" s="2401"/>
      <c r="AB281" s="2401"/>
      <c r="AC281" s="2401"/>
      <c r="AD281" s="2402"/>
      <c r="AE281" s="549"/>
      <c r="AF281" s="633"/>
      <c r="AG281" s="633"/>
      <c r="AH281" s="633"/>
      <c r="AI281" s="633"/>
      <c r="AJ281" s="549"/>
      <c r="AK281" s="549"/>
      <c r="AL281" s="549"/>
      <c r="AM281" s="549"/>
      <c r="AO281" s="549"/>
    </row>
    <row r="282" spans="1:52" ht="13.7" customHeight="1">
      <c r="A282" s="549"/>
      <c r="B282" s="594"/>
      <c r="C282" s="634"/>
      <c r="D282" s="549"/>
      <c r="E282" s="546"/>
      <c r="F282" s="2400"/>
      <c r="G282" s="2401"/>
      <c r="H282" s="2401"/>
      <c r="I282" s="2401"/>
      <c r="J282" s="2401"/>
      <c r="K282" s="2401"/>
      <c r="L282" s="2401"/>
      <c r="M282" s="2401"/>
      <c r="N282" s="2401"/>
      <c r="O282" s="2401"/>
      <c r="P282" s="2401"/>
      <c r="Q282" s="2401"/>
      <c r="R282" s="2401"/>
      <c r="S282" s="2401"/>
      <c r="T282" s="2401"/>
      <c r="U282" s="2401"/>
      <c r="V282" s="2401"/>
      <c r="W282" s="2401"/>
      <c r="X282" s="2401"/>
      <c r="Y282" s="2401"/>
      <c r="Z282" s="2401"/>
      <c r="AA282" s="2401"/>
      <c r="AB282" s="2401"/>
      <c r="AC282" s="2401"/>
      <c r="AD282" s="2402"/>
      <c r="AE282" s="549"/>
      <c r="AF282" s="633"/>
      <c r="AG282" s="633"/>
      <c r="AH282" s="633"/>
      <c r="AI282" s="633"/>
      <c r="AJ282" s="549"/>
      <c r="AK282" s="549"/>
      <c r="AL282" s="549"/>
      <c r="AM282" s="549"/>
      <c r="AO282" s="549"/>
    </row>
    <row r="283" spans="1:52" ht="13.7" customHeight="1">
      <c r="A283" s="549"/>
      <c r="B283" s="594"/>
      <c r="C283" s="634"/>
      <c r="D283" s="549"/>
      <c r="E283" s="546"/>
      <c r="F283" s="2400"/>
      <c r="G283" s="2401"/>
      <c r="H283" s="2401"/>
      <c r="I283" s="2401"/>
      <c r="J283" s="2401"/>
      <c r="K283" s="2401"/>
      <c r="L283" s="2401"/>
      <c r="M283" s="2401"/>
      <c r="N283" s="2401"/>
      <c r="O283" s="2401"/>
      <c r="P283" s="2401"/>
      <c r="Q283" s="2401"/>
      <c r="R283" s="2401"/>
      <c r="S283" s="2401"/>
      <c r="T283" s="2401"/>
      <c r="U283" s="2401"/>
      <c r="V283" s="2401"/>
      <c r="W283" s="2401"/>
      <c r="X283" s="2401"/>
      <c r="Y283" s="2401"/>
      <c r="Z283" s="2401"/>
      <c r="AA283" s="2401"/>
      <c r="AB283" s="2401"/>
      <c r="AC283" s="2401"/>
      <c r="AD283" s="2402"/>
      <c r="AE283" s="549"/>
      <c r="AF283" s="633"/>
      <c r="AG283" s="633"/>
      <c r="AH283" s="633"/>
      <c r="AI283" s="633"/>
      <c r="AJ283" s="549"/>
      <c r="AK283" s="549"/>
      <c r="AL283" s="549"/>
      <c r="AM283" s="549"/>
      <c r="AO283" s="549"/>
    </row>
    <row r="284" spans="1:52">
      <c r="A284" s="549"/>
      <c r="B284" s="594"/>
      <c r="C284" s="634"/>
      <c r="D284" s="549"/>
      <c r="E284" s="546"/>
      <c r="F284" s="2400"/>
      <c r="G284" s="2401"/>
      <c r="H284" s="2401"/>
      <c r="I284" s="2401"/>
      <c r="J284" s="2401"/>
      <c r="K284" s="2401"/>
      <c r="L284" s="2401"/>
      <c r="M284" s="2401"/>
      <c r="N284" s="2401"/>
      <c r="O284" s="2401"/>
      <c r="P284" s="2401"/>
      <c r="Q284" s="2401"/>
      <c r="R284" s="2401"/>
      <c r="S284" s="2401"/>
      <c r="T284" s="2401"/>
      <c r="U284" s="2401"/>
      <c r="V284" s="2401"/>
      <c r="W284" s="2401"/>
      <c r="X284" s="2401"/>
      <c r="Y284" s="2401"/>
      <c r="Z284" s="2401"/>
      <c r="AA284" s="2401"/>
      <c r="AB284" s="2401"/>
      <c r="AC284" s="2401"/>
      <c r="AD284" s="2402"/>
      <c r="AE284" s="549"/>
      <c r="AF284" s="633"/>
      <c r="AG284" s="633"/>
      <c r="AH284" s="633"/>
      <c r="AI284" s="633"/>
      <c r="AJ284" s="549"/>
      <c r="AK284" s="549"/>
      <c r="AL284" s="549"/>
      <c r="AM284" s="549"/>
      <c r="AO284" s="549"/>
      <c r="AP284" s="635"/>
    </row>
    <row r="285" spans="1:52">
      <c r="A285" s="549"/>
      <c r="B285" s="594"/>
      <c r="C285" s="634"/>
      <c r="D285" s="549"/>
      <c r="E285" s="546"/>
      <c r="F285" s="2400"/>
      <c r="G285" s="2401"/>
      <c r="H285" s="2401"/>
      <c r="I285" s="2401"/>
      <c r="J285" s="2401"/>
      <c r="K285" s="2401"/>
      <c r="L285" s="2401"/>
      <c r="M285" s="2401"/>
      <c r="N285" s="2401"/>
      <c r="O285" s="2401"/>
      <c r="P285" s="2401"/>
      <c r="Q285" s="2401"/>
      <c r="R285" s="2401"/>
      <c r="S285" s="2401"/>
      <c r="T285" s="2401"/>
      <c r="U285" s="2401"/>
      <c r="V285" s="2401"/>
      <c r="W285" s="2401"/>
      <c r="X285" s="2401"/>
      <c r="Y285" s="2401"/>
      <c r="Z285" s="2401"/>
      <c r="AA285" s="2401"/>
      <c r="AB285" s="2401"/>
      <c r="AC285" s="2401"/>
      <c r="AD285" s="2402"/>
      <c r="AE285" s="549"/>
      <c r="AF285" s="633"/>
      <c r="AG285" s="633"/>
      <c r="AH285" s="633"/>
      <c r="AI285" s="633"/>
      <c r="AJ285" s="549"/>
      <c r="AK285" s="549"/>
      <c r="AL285" s="549"/>
      <c r="AM285" s="549"/>
      <c r="AO285" s="549"/>
      <c r="AP285" s="635"/>
    </row>
    <row r="286" spans="1:52" ht="13.7" customHeight="1">
      <c r="A286" s="549"/>
      <c r="B286" s="594"/>
      <c r="C286" s="2568"/>
      <c r="D286" s="2568"/>
      <c r="E286" s="546"/>
      <c r="F286" s="2403"/>
      <c r="G286" s="2404"/>
      <c r="H286" s="2404"/>
      <c r="I286" s="2404"/>
      <c r="J286" s="2404"/>
      <c r="K286" s="2404"/>
      <c r="L286" s="2404"/>
      <c r="M286" s="2404"/>
      <c r="N286" s="2404"/>
      <c r="O286" s="2404"/>
      <c r="P286" s="2404"/>
      <c r="Q286" s="2404"/>
      <c r="R286" s="2404"/>
      <c r="S286" s="2404"/>
      <c r="T286" s="2404"/>
      <c r="U286" s="2404"/>
      <c r="V286" s="2404"/>
      <c r="W286" s="2404"/>
      <c r="X286" s="2404"/>
      <c r="Y286" s="2404"/>
      <c r="Z286" s="2404"/>
      <c r="AA286" s="2404"/>
      <c r="AB286" s="2404"/>
      <c r="AC286" s="2404"/>
      <c r="AD286" s="2405"/>
      <c r="AE286" s="549"/>
      <c r="AF286" s="633"/>
      <c r="AG286" s="2567"/>
      <c r="AH286" s="2567"/>
      <c r="AI286" s="2567"/>
      <c r="AJ286" s="2567"/>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39" t="s">
        <v>2577</v>
      </c>
      <c r="C289" s="2439"/>
      <c r="D289" s="2439"/>
      <c r="E289" s="2439"/>
      <c r="F289" s="2439"/>
      <c r="G289" s="2439"/>
      <c r="H289" s="2439"/>
      <c r="I289" s="2439"/>
      <c r="J289" s="2439"/>
      <c r="K289" s="2439"/>
      <c r="L289" s="2439"/>
      <c r="M289" s="2439"/>
      <c r="N289" s="2439"/>
      <c r="O289" s="2439"/>
      <c r="P289" s="2439"/>
      <c r="Q289" s="2439"/>
      <c r="R289" s="2439"/>
      <c r="S289" s="2439"/>
      <c r="T289" s="2439"/>
      <c r="U289" s="2439"/>
      <c r="V289" s="2439"/>
      <c r="W289" s="2439"/>
      <c r="X289" s="2439"/>
      <c r="Y289" s="2439"/>
      <c r="Z289" s="2439"/>
      <c r="AA289" s="2439"/>
      <c r="AB289" s="2439"/>
      <c r="AC289" s="2439"/>
      <c r="AD289" s="2439"/>
      <c r="AE289" s="2439"/>
      <c r="AF289" s="2439"/>
      <c r="AG289" s="2439"/>
      <c r="AH289" s="2439"/>
      <c r="AI289" s="2439"/>
      <c r="AJ289" s="2439"/>
      <c r="AK289" s="2439"/>
      <c r="AL289" s="2439"/>
      <c r="AM289" s="549"/>
      <c r="AN289" s="73"/>
    </row>
    <row r="290" spans="1:49">
      <c r="A290" s="549"/>
      <c r="B290" s="2439"/>
      <c r="C290" s="2439"/>
      <c r="D290" s="2439"/>
      <c r="E290" s="2439"/>
      <c r="F290" s="2439"/>
      <c r="G290" s="2439"/>
      <c r="H290" s="2439"/>
      <c r="I290" s="2439"/>
      <c r="J290" s="2439"/>
      <c r="K290" s="2439"/>
      <c r="L290" s="2439"/>
      <c r="M290" s="2439"/>
      <c r="N290" s="2439"/>
      <c r="O290" s="2439"/>
      <c r="P290" s="2439"/>
      <c r="Q290" s="2439"/>
      <c r="R290" s="2439"/>
      <c r="S290" s="2439"/>
      <c r="T290" s="2439"/>
      <c r="U290" s="2439"/>
      <c r="V290" s="2439"/>
      <c r="W290" s="2439"/>
      <c r="X290" s="2439"/>
      <c r="Y290" s="2439"/>
      <c r="Z290" s="2439"/>
      <c r="AA290" s="2439"/>
      <c r="AB290" s="2439"/>
      <c r="AC290" s="2439"/>
      <c r="AD290" s="2439"/>
      <c r="AE290" s="2439"/>
      <c r="AF290" s="2439"/>
      <c r="AG290" s="2439"/>
      <c r="AH290" s="2439"/>
      <c r="AI290" s="2439"/>
      <c r="AJ290" s="2439"/>
      <c r="AK290" s="2439"/>
      <c r="AL290" s="2439"/>
      <c r="AM290" s="549"/>
      <c r="AN290" s="73"/>
    </row>
    <row r="291" spans="1:49">
      <c r="A291" s="549"/>
      <c r="B291" s="2439"/>
      <c r="C291" s="2439"/>
      <c r="D291" s="2439"/>
      <c r="E291" s="2439"/>
      <c r="F291" s="2439"/>
      <c r="G291" s="2439"/>
      <c r="H291" s="2439"/>
      <c r="I291" s="2439"/>
      <c r="J291" s="2439"/>
      <c r="K291" s="2439"/>
      <c r="L291" s="2439"/>
      <c r="M291" s="2439"/>
      <c r="N291" s="2439"/>
      <c r="O291" s="2439"/>
      <c r="P291" s="2439"/>
      <c r="Q291" s="2439"/>
      <c r="R291" s="2439"/>
      <c r="S291" s="2439"/>
      <c r="T291" s="2439"/>
      <c r="U291" s="2439"/>
      <c r="V291" s="2439"/>
      <c r="W291" s="2439"/>
      <c r="X291" s="2439"/>
      <c r="Y291" s="2439"/>
      <c r="Z291" s="2439"/>
      <c r="AA291" s="2439"/>
      <c r="AB291" s="2439"/>
      <c r="AC291" s="2439"/>
      <c r="AD291" s="2439"/>
      <c r="AE291" s="2439"/>
      <c r="AF291" s="2439"/>
      <c r="AG291" s="2439"/>
      <c r="AH291" s="2439"/>
      <c r="AI291" s="2439"/>
      <c r="AJ291" s="2439"/>
      <c r="AK291" s="2439"/>
      <c r="AL291" s="2439"/>
      <c r="AM291" s="549"/>
      <c r="AN291" s="73"/>
    </row>
    <row r="292" spans="1:49">
      <c r="A292" s="549"/>
      <c r="B292" s="2439"/>
      <c r="C292" s="2439"/>
      <c r="D292" s="2439"/>
      <c r="E292" s="2439"/>
      <c r="F292" s="2439"/>
      <c r="G292" s="2439"/>
      <c r="H292" s="2439"/>
      <c r="I292" s="2439"/>
      <c r="J292" s="2439"/>
      <c r="K292" s="2439"/>
      <c r="L292" s="2439"/>
      <c r="M292" s="2439"/>
      <c r="N292" s="2439"/>
      <c r="O292" s="2439"/>
      <c r="P292" s="2439"/>
      <c r="Q292" s="2439"/>
      <c r="R292" s="2439"/>
      <c r="S292" s="2439"/>
      <c r="T292" s="2439"/>
      <c r="U292" s="2439"/>
      <c r="V292" s="2439"/>
      <c r="W292" s="2439"/>
      <c r="X292" s="2439"/>
      <c r="Y292" s="2439"/>
      <c r="Z292" s="2439"/>
      <c r="AA292" s="2439"/>
      <c r="AB292" s="2439"/>
      <c r="AC292" s="2439"/>
      <c r="AD292" s="2439"/>
      <c r="AE292" s="2439"/>
      <c r="AF292" s="2439"/>
      <c r="AG292" s="2439"/>
      <c r="AH292" s="2439"/>
      <c r="AI292" s="2439"/>
      <c r="AJ292" s="2439"/>
      <c r="AK292" s="2439"/>
      <c r="AL292" s="2439"/>
      <c r="AM292" s="549"/>
      <c r="AN292" s="73"/>
    </row>
    <row r="293" spans="1:49">
      <c r="A293" s="549"/>
      <c r="B293" s="2439"/>
      <c r="C293" s="2439"/>
      <c r="D293" s="2439"/>
      <c r="E293" s="2439"/>
      <c r="F293" s="2439"/>
      <c r="G293" s="2439"/>
      <c r="H293" s="2439"/>
      <c r="I293" s="2439"/>
      <c r="J293" s="2439"/>
      <c r="K293" s="2439"/>
      <c r="L293" s="2439"/>
      <c r="M293" s="2439"/>
      <c r="N293" s="2439"/>
      <c r="O293" s="2439"/>
      <c r="P293" s="2439"/>
      <c r="Q293" s="2439"/>
      <c r="R293" s="2439"/>
      <c r="S293" s="2439"/>
      <c r="T293" s="2439"/>
      <c r="U293" s="2439"/>
      <c r="V293" s="2439"/>
      <c r="W293" s="2439"/>
      <c r="X293" s="2439"/>
      <c r="Y293" s="2439"/>
      <c r="Z293" s="2439"/>
      <c r="AA293" s="2439"/>
      <c r="AB293" s="2439"/>
      <c r="AC293" s="2439"/>
      <c r="AD293" s="2439"/>
      <c r="AE293" s="2439"/>
      <c r="AF293" s="2439"/>
      <c r="AG293" s="2439"/>
      <c r="AH293" s="2439"/>
      <c r="AI293" s="2439"/>
      <c r="AJ293" s="2439"/>
      <c r="AK293" s="2439"/>
      <c r="AL293" s="2439"/>
      <c r="AM293" s="549"/>
      <c r="AN293" s="73"/>
    </row>
    <row r="294" spans="1:49">
      <c r="A294" s="549"/>
      <c r="B294" s="2439"/>
      <c r="C294" s="2439"/>
      <c r="D294" s="2439"/>
      <c r="E294" s="2439"/>
      <c r="F294" s="2439"/>
      <c r="G294" s="2439"/>
      <c r="H294" s="2439"/>
      <c r="I294" s="2439"/>
      <c r="J294" s="2439"/>
      <c r="K294" s="2439"/>
      <c r="L294" s="2439"/>
      <c r="M294" s="2439"/>
      <c r="N294" s="2439"/>
      <c r="O294" s="2439"/>
      <c r="P294" s="2439"/>
      <c r="Q294" s="2439"/>
      <c r="R294" s="2439"/>
      <c r="S294" s="2439"/>
      <c r="T294" s="2439"/>
      <c r="U294" s="2439"/>
      <c r="V294" s="2439"/>
      <c r="W294" s="2439"/>
      <c r="X294" s="2439"/>
      <c r="Y294" s="2439"/>
      <c r="Z294" s="2439"/>
      <c r="AA294" s="2439"/>
      <c r="AB294" s="2439"/>
      <c r="AC294" s="2439"/>
      <c r="AD294" s="2439"/>
      <c r="AE294" s="2439"/>
      <c r="AF294" s="2439"/>
      <c r="AG294" s="2439"/>
      <c r="AH294" s="2439"/>
      <c r="AI294" s="2439"/>
      <c r="AJ294" s="2439"/>
      <c r="AK294" s="2439"/>
      <c r="AL294" s="2439"/>
      <c r="AM294" s="549"/>
      <c r="AN294" s="73"/>
    </row>
    <row r="295" spans="1:49">
      <c r="A295" s="549"/>
      <c r="B295" s="2439"/>
      <c r="C295" s="2439"/>
      <c r="D295" s="2439"/>
      <c r="E295" s="2439"/>
      <c r="F295" s="2439"/>
      <c r="G295" s="2439"/>
      <c r="H295" s="2439"/>
      <c r="I295" s="2439"/>
      <c r="J295" s="2439"/>
      <c r="K295" s="2439"/>
      <c r="L295" s="2439"/>
      <c r="M295" s="2439"/>
      <c r="N295" s="2439"/>
      <c r="O295" s="2439"/>
      <c r="P295" s="2439"/>
      <c r="Q295" s="2439"/>
      <c r="R295" s="2439"/>
      <c r="S295" s="2439"/>
      <c r="T295" s="2439"/>
      <c r="U295" s="2439"/>
      <c r="V295" s="2439"/>
      <c r="W295" s="2439"/>
      <c r="X295" s="2439"/>
      <c r="Y295" s="2439"/>
      <c r="Z295" s="2439"/>
      <c r="AA295" s="2439"/>
      <c r="AB295" s="2439"/>
      <c r="AC295" s="2439"/>
      <c r="AD295" s="2439"/>
      <c r="AE295" s="2439"/>
      <c r="AF295" s="2439"/>
      <c r="AG295" s="2439"/>
      <c r="AH295" s="2439"/>
      <c r="AI295" s="2439"/>
      <c r="AJ295" s="2439"/>
      <c r="AK295" s="2439"/>
      <c r="AL295" s="2439"/>
      <c r="AM295" s="549"/>
      <c r="AN295" s="73"/>
    </row>
    <row r="296" spans="1:49">
      <c r="A296" s="549"/>
      <c r="B296" s="2439"/>
      <c r="C296" s="2439"/>
      <c r="D296" s="2439"/>
      <c r="E296" s="2439"/>
      <c r="F296" s="2439"/>
      <c r="G296" s="2439"/>
      <c r="H296" s="2439"/>
      <c r="I296" s="2439"/>
      <c r="J296" s="2439"/>
      <c r="K296" s="2439"/>
      <c r="L296" s="2439"/>
      <c r="M296" s="2439"/>
      <c r="N296" s="2439"/>
      <c r="O296" s="2439"/>
      <c r="P296" s="2439"/>
      <c r="Q296" s="2439"/>
      <c r="R296" s="2439"/>
      <c r="S296" s="2439"/>
      <c r="T296" s="2439"/>
      <c r="U296" s="2439"/>
      <c r="V296" s="2439"/>
      <c r="W296" s="2439"/>
      <c r="X296" s="2439"/>
      <c r="Y296" s="2439"/>
      <c r="Z296" s="2439"/>
      <c r="AA296" s="2439"/>
      <c r="AB296" s="2439"/>
      <c r="AC296" s="2439"/>
      <c r="AD296" s="2439"/>
      <c r="AE296" s="2439"/>
      <c r="AF296" s="2439"/>
      <c r="AG296" s="2439"/>
      <c r="AH296" s="2439"/>
      <c r="AI296" s="2439"/>
      <c r="AJ296" s="2439"/>
      <c r="AK296" s="2439"/>
      <c r="AL296" s="2439"/>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2559">
        <f>IF($C$279="yes",10,0)</f>
        <v>10</v>
      </c>
      <c r="AL298" s="2559"/>
      <c r="AM298" s="2560"/>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1369</v>
      </c>
      <c r="B301" s="538" t="s">
        <v>2571</v>
      </c>
      <c r="AH301" s="589" t="s">
        <v>1308</v>
      </c>
    </row>
    <row r="302" spans="1:49" ht="15" customHeight="1">
      <c r="B302" s="539"/>
    </row>
    <row r="303" spans="1:49" ht="15" customHeight="1">
      <c r="B303" s="539" t="s">
        <v>1717</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32" t="s">
        <v>1374</v>
      </c>
      <c r="B305" s="1632"/>
      <c r="C305" s="2396" t="s">
        <v>591</v>
      </c>
      <c r="D305" s="2410"/>
      <c r="E305" s="546"/>
      <c r="F305" s="2561" t="s">
        <v>1375</v>
      </c>
      <c r="G305" s="2562"/>
      <c r="H305" s="2562"/>
      <c r="I305" s="2562"/>
      <c r="J305" s="2562"/>
      <c r="K305" s="2562"/>
      <c r="L305" s="2562"/>
      <c r="M305" s="2562"/>
      <c r="N305" s="2562"/>
      <c r="O305" s="2562"/>
      <c r="P305" s="2562"/>
      <c r="Q305" s="2562"/>
      <c r="R305" s="2562"/>
      <c r="S305" s="2562"/>
      <c r="T305" s="2562"/>
      <c r="U305" s="2562"/>
      <c r="V305" s="2562"/>
      <c r="W305" s="2562"/>
      <c r="X305" s="2562"/>
      <c r="Y305" s="2562"/>
      <c r="Z305" s="2562"/>
      <c r="AA305" s="2562"/>
      <c r="AB305" s="2562"/>
      <c r="AC305" s="2562"/>
      <c r="AD305" s="2563"/>
      <c r="AE305" s="640"/>
      <c r="AF305" s="549"/>
      <c r="AG305" s="2564" t="s">
        <v>1982</v>
      </c>
      <c r="AH305" s="2564"/>
      <c r="AI305" s="2564"/>
      <c r="AJ305" s="2564"/>
      <c r="AK305" s="2564"/>
      <c r="AL305" s="549"/>
      <c r="AM305" s="549"/>
      <c r="AN305" s="73"/>
      <c r="AO305" s="14"/>
      <c r="AP305" s="30"/>
      <c r="AS305" s="568"/>
      <c r="AT305" s="568"/>
      <c r="AU305" s="568"/>
      <c r="AV305" s="32"/>
      <c r="AW305" s="32"/>
    </row>
    <row r="306" spans="1:49">
      <c r="A306" s="638"/>
      <c r="B306" s="594"/>
      <c r="F306" s="2430"/>
      <c r="G306" s="2388"/>
      <c r="H306" s="2388"/>
      <c r="I306" s="2388"/>
      <c r="J306" s="2388"/>
      <c r="K306" s="2388"/>
      <c r="L306" s="2388"/>
      <c r="M306" s="2388"/>
      <c r="N306" s="2388"/>
      <c r="O306" s="2388"/>
      <c r="P306" s="2388"/>
      <c r="Q306" s="2388"/>
      <c r="R306" s="2388"/>
      <c r="S306" s="2388"/>
      <c r="T306" s="2388"/>
      <c r="U306" s="2388"/>
      <c r="V306" s="2388"/>
      <c r="W306" s="2388"/>
      <c r="X306" s="2388"/>
      <c r="Y306" s="2388"/>
      <c r="Z306" s="2388"/>
      <c r="AA306" s="2388"/>
      <c r="AB306" s="2388"/>
      <c r="AC306" s="2388"/>
      <c r="AD306" s="2431"/>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30"/>
      <c r="G307" s="2388"/>
      <c r="H307" s="2388"/>
      <c r="I307" s="2388"/>
      <c r="J307" s="2388"/>
      <c r="K307" s="2388"/>
      <c r="L307" s="2388"/>
      <c r="M307" s="2388"/>
      <c r="N307" s="2388"/>
      <c r="O307" s="2388"/>
      <c r="P307" s="2388"/>
      <c r="Q307" s="2388"/>
      <c r="R307" s="2388"/>
      <c r="S307" s="2388"/>
      <c r="T307" s="2388"/>
      <c r="U307" s="2388"/>
      <c r="V307" s="2388"/>
      <c r="W307" s="2388"/>
      <c r="X307" s="2388"/>
      <c r="Y307" s="2388"/>
      <c r="Z307" s="2388"/>
      <c r="AA307" s="2388"/>
      <c r="AB307" s="2388"/>
      <c r="AC307" s="2388"/>
      <c r="AD307" s="2431"/>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30" t="s">
        <v>1987</v>
      </c>
      <c r="G308" s="2388"/>
      <c r="H308" s="2388"/>
      <c r="I308" s="2388"/>
      <c r="J308" s="2388"/>
      <c r="K308" s="2388"/>
      <c r="L308" s="2388"/>
      <c r="M308" s="2388"/>
      <c r="N308" s="2388"/>
      <c r="O308" s="2388"/>
      <c r="P308" s="2388"/>
      <c r="Q308" s="2388"/>
      <c r="R308" s="2388"/>
      <c r="S308" s="2388"/>
      <c r="T308" s="2388"/>
      <c r="U308" s="2388"/>
      <c r="V308" s="2388"/>
      <c r="W308" s="2388"/>
      <c r="X308" s="2388"/>
      <c r="Y308" s="2388"/>
      <c r="Z308" s="2388"/>
      <c r="AA308" s="2388"/>
      <c r="AB308" s="2388"/>
      <c r="AC308" s="2388"/>
      <c r="AD308" s="2431"/>
      <c r="AE308" s="640"/>
      <c r="AF308" s="550"/>
      <c r="AH308" s="550"/>
      <c r="AI308" s="550"/>
      <c r="AJ308" s="549"/>
      <c r="AK308" s="549"/>
      <c r="AL308" s="549"/>
      <c r="AM308" s="549"/>
      <c r="AN308" s="73"/>
      <c r="AO308" s="14"/>
      <c r="AP308" s="609">
        <f>MAX(AP306,AP307)</f>
        <v>9</v>
      </c>
      <c r="AQ308" s="572" t="s">
        <v>1310</v>
      </c>
      <c r="AS308" s="568"/>
      <c r="AT308" s="568"/>
      <c r="AU308" s="568"/>
      <c r="AV308" s="32"/>
      <c r="AW308" s="32"/>
    </row>
    <row r="309" spans="1:49">
      <c r="A309" s="638"/>
      <c r="B309" s="594"/>
      <c r="F309" s="2430"/>
      <c r="G309" s="2388"/>
      <c r="H309" s="2388"/>
      <c r="I309" s="2388"/>
      <c r="J309" s="2388"/>
      <c r="K309" s="2388"/>
      <c r="L309" s="2388"/>
      <c r="M309" s="2388"/>
      <c r="N309" s="2388"/>
      <c r="O309" s="2388"/>
      <c r="P309" s="2388"/>
      <c r="Q309" s="2388"/>
      <c r="R309" s="2388"/>
      <c r="S309" s="2388"/>
      <c r="T309" s="2388"/>
      <c r="U309" s="2388"/>
      <c r="V309" s="2388"/>
      <c r="W309" s="2388"/>
      <c r="X309" s="2388"/>
      <c r="Y309" s="2388"/>
      <c r="Z309" s="2388"/>
      <c r="AA309" s="2388"/>
      <c r="AB309" s="2388"/>
      <c r="AC309" s="2388"/>
      <c r="AD309" s="2431"/>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30" t="s">
        <v>1376</v>
      </c>
      <c r="G310" s="2388"/>
      <c r="H310" s="2388"/>
      <c r="I310" s="2388"/>
      <c r="J310" s="2388"/>
      <c r="K310" s="2388"/>
      <c r="L310" s="2388"/>
      <c r="M310" s="2388"/>
      <c r="N310" s="2388"/>
      <c r="O310" s="2388"/>
      <c r="P310" s="2388"/>
      <c r="Q310" s="2388"/>
      <c r="R310" s="2388"/>
      <c r="S310" s="2388"/>
      <c r="T310" s="2388"/>
      <c r="U310" s="2388"/>
      <c r="V310" s="2388"/>
      <c r="W310" s="2388"/>
      <c r="X310" s="2388"/>
      <c r="Y310" s="2388"/>
      <c r="Z310" s="2388"/>
      <c r="AA310" s="2388"/>
      <c r="AB310" s="2388"/>
      <c r="AC310" s="2388"/>
      <c r="AD310" s="2431"/>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30"/>
      <c r="G311" s="2388"/>
      <c r="H311" s="2388"/>
      <c r="I311" s="2388"/>
      <c r="J311" s="2388"/>
      <c r="K311" s="2388"/>
      <c r="L311" s="2388"/>
      <c r="M311" s="2388"/>
      <c r="N311" s="2388"/>
      <c r="O311" s="2388"/>
      <c r="P311" s="2388"/>
      <c r="Q311" s="2388"/>
      <c r="R311" s="2388"/>
      <c r="S311" s="2388"/>
      <c r="T311" s="2388"/>
      <c r="U311" s="2388"/>
      <c r="V311" s="2388"/>
      <c r="W311" s="2388"/>
      <c r="X311" s="2388"/>
      <c r="Y311" s="2388"/>
      <c r="Z311" s="2388"/>
      <c r="AA311" s="2388"/>
      <c r="AB311" s="2388"/>
      <c r="AC311" s="2388"/>
      <c r="AD311" s="2431"/>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30" t="s">
        <v>1377</v>
      </c>
      <c r="G312" s="2388"/>
      <c r="H312" s="2388"/>
      <c r="I312" s="2388"/>
      <c r="J312" s="2388"/>
      <c r="K312" s="2388"/>
      <c r="L312" s="2388"/>
      <c r="M312" s="2388"/>
      <c r="N312" s="2388"/>
      <c r="O312" s="2388"/>
      <c r="P312" s="2388"/>
      <c r="Q312" s="2388"/>
      <c r="R312" s="2388"/>
      <c r="S312" s="2388"/>
      <c r="T312" s="2388"/>
      <c r="U312" s="2388"/>
      <c r="V312" s="2388"/>
      <c r="W312" s="2388"/>
      <c r="X312" s="2388"/>
      <c r="Y312" s="2388"/>
      <c r="Z312" s="2388"/>
      <c r="AA312" s="2388"/>
      <c r="AB312" s="2388"/>
      <c r="AC312" s="2388"/>
      <c r="AD312" s="2431"/>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2"/>
      <c r="G313" s="2433"/>
      <c r="H313" s="2433"/>
      <c r="I313" s="2433"/>
      <c r="J313" s="2433"/>
      <c r="K313" s="2433"/>
      <c r="L313" s="2433"/>
      <c r="M313" s="2433"/>
      <c r="N313" s="2433"/>
      <c r="O313" s="2433"/>
      <c r="P313" s="2433"/>
      <c r="Q313" s="2433"/>
      <c r="R313" s="2433"/>
      <c r="S313" s="2433"/>
      <c r="T313" s="2433"/>
      <c r="U313" s="2433"/>
      <c r="V313" s="2433"/>
      <c r="W313" s="2433"/>
      <c r="X313" s="2433"/>
      <c r="Y313" s="2433"/>
      <c r="Z313" s="2433"/>
      <c r="AA313" s="2433"/>
      <c r="AB313" s="2433"/>
      <c r="AC313" s="2433"/>
      <c r="AD313" s="2558"/>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32" t="s">
        <v>1378</v>
      </c>
      <c r="B315" s="1632"/>
      <c r="C315" s="2410" t="s">
        <v>545</v>
      </c>
      <c r="D315" s="2410"/>
      <c r="E315" s="546"/>
      <c r="F315" s="967" t="s">
        <v>2572</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1380</v>
      </c>
      <c r="AH315" s="550"/>
      <c r="AI315" s="550"/>
      <c r="AJ315" s="549"/>
      <c r="AK315" s="549"/>
      <c r="AL315" s="549"/>
      <c r="AM315" s="549"/>
      <c r="AN315" s="643"/>
      <c r="AO315" s="14"/>
    </row>
    <row r="316" spans="1:49">
      <c r="A316" s="549"/>
      <c r="B316" s="550"/>
      <c r="C316" s="549"/>
      <c r="D316" s="550"/>
      <c r="E316" s="549"/>
      <c r="F316" s="2430" t="s">
        <v>1983</v>
      </c>
      <c r="G316" s="2388"/>
      <c r="H316" s="2388"/>
      <c r="I316" s="2388"/>
      <c r="J316" s="2388"/>
      <c r="K316" s="2388"/>
      <c r="L316" s="2388"/>
      <c r="M316" s="2388"/>
      <c r="N316" s="2388"/>
      <c r="O316" s="2388"/>
      <c r="P316" s="2388"/>
      <c r="Q316" s="2388"/>
      <c r="R316" s="2388"/>
      <c r="S316" s="2388"/>
      <c r="T316" s="2388"/>
      <c r="U316" s="2388"/>
      <c r="V316" s="2388"/>
      <c r="W316" s="2388"/>
      <c r="X316" s="2388"/>
      <c r="Y316" s="2388"/>
      <c r="Z316" s="2388"/>
      <c r="AA316" s="2388"/>
      <c r="AB316" s="2388"/>
      <c r="AC316" s="2388"/>
      <c r="AD316" s="2431"/>
      <c r="AE316" s="550"/>
      <c r="AF316" s="550"/>
      <c r="AG316" s="550"/>
      <c r="AH316" s="550"/>
      <c r="AI316" s="550"/>
      <c r="AJ316" s="549"/>
      <c r="AK316" s="549"/>
      <c r="AL316" s="549"/>
      <c r="AM316" s="549"/>
      <c r="AR316" s="644"/>
    </row>
    <row r="317" spans="1:49" ht="15" customHeight="1">
      <c r="A317" s="549"/>
      <c r="B317" s="550"/>
      <c r="C317" s="549"/>
      <c r="D317" s="550"/>
      <c r="E317" s="549"/>
      <c r="F317" s="2430"/>
      <c r="G317" s="2388"/>
      <c r="H317" s="2388"/>
      <c r="I317" s="2388"/>
      <c r="J317" s="2388"/>
      <c r="K317" s="2388"/>
      <c r="L317" s="2388"/>
      <c r="M317" s="2388"/>
      <c r="N317" s="2388"/>
      <c r="O317" s="2388"/>
      <c r="P317" s="2388"/>
      <c r="Q317" s="2388"/>
      <c r="R317" s="2388"/>
      <c r="S317" s="2388"/>
      <c r="T317" s="2388"/>
      <c r="U317" s="2388"/>
      <c r="V317" s="2388"/>
      <c r="W317" s="2388"/>
      <c r="X317" s="2388"/>
      <c r="Y317" s="2388"/>
      <c r="Z317" s="2388"/>
      <c r="AA317" s="2388"/>
      <c r="AB317" s="2388"/>
      <c r="AC317" s="2388"/>
      <c r="AD317" s="2431"/>
      <c r="AE317" s="550"/>
      <c r="AF317" s="550"/>
      <c r="AG317" s="550"/>
      <c r="AH317" s="550"/>
      <c r="AI317" s="550"/>
      <c r="AJ317" s="549"/>
      <c r="AK317" s="549"/>
      <c r="AL317" s="549"/>
      <c r="AM317" s="549"/>
      <c r="AR317" s="644"/>
    </row>
    <row r="318" spans="1:49">
      <c r="A318" s="549"/>
      <c r="B318" s="550"/>
      <c r="C318" s="549"/>
      <c r="D318" s="550"/>
      <c r="E318" s="549"/>
      <c r="F318" s="2430"/>
      <c r="G318" s="2388"/>
      <c r="H318" s="2388"/>
      <c r="I318" s="2388"/>
      <c r="J318" s="2388"/>
      <c r="K318" s="2388"/>
      <c r="L318" s="2388"/>
      <c r="M318" s="2388"/>
      <c r="N318" s="2388"/>
      <c r="O318" s="2388"/>
      <c r="P318" s="2388"/>
      <c r="Q318" s="2388"/>
      <c r="R318" s="2388"/>
      <c r="S318" s="2388"/>
      <c r="T318" s="2388"/>
      <c r="U318" s="2388"/>
      <c r="V318" s="2388"/>
      <c r="W318" s="2388"/>
      <c r="X318" s="2388"/>
      <c r="Y318" s="2388"/>
      <c r="Z318" s="2388"/>
      <c r="AA318" s="2388"/>
      <c r="AB318" s="2388"/>
      <c r="AC318" s="2388"/>
      <c r="AD318" s="2431"/>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2"/>
      <c r="G319" s="2433"/>
      <c r="H319" s="2433"/>
      <c r="I319" s="2433"/>
      <c r="J319" s="2433"/>
      <c r="K319" s="2433"/>
      <c r="L319" s="2433"/>
      <c r="M319" s="2433"/>
      <c r="N319" s="2433"/>
      <c r="O319" s="2433"/>
      <c r="P319" s="2433"/>
      <c r="Q319" s="2433"/>
      <c r="R319" s="2433"/>
      <c r="S319" s="2433"/>
      <c r="T319" s="2433"/>
      <c r="U319" s="2433"/>
      <c r="V319" s="2433"/>
      <c r="W319" s="2433"/>
      <c r="X319" s="2433"/>
      <c r="Y319" s="2433"/>
      <c r="Z319" s="2433"/>
      <c r="AA319" s="2433"/>
      <c r="AB319" s="2433"/>
      <c r="AC319" s="2433"/>
      <c r="AD319" s="2558"/>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32" t="s">
        <v>1381</v>
      </c>
      <c r="B323" s="1632"/>
      <c r="C323" s="2410" t="s">
        <v>591</v>
      </c>
      <c r="D323" s="2410"/>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idden="1">
      <c r="A324" s="89"/>
      <c r="B324" s="89"/>
      <c r="C324" s="726"/>
      <c r="D324" s="726"/>
      <c r="E324" s="546"/>
      <c r="F324" s="2430" t="s">
        <v>1988</v>
      </c>
      <c r="G324" s="2388"/>
      <c r="H324" s="2388"/>
      <c r="I324" s="2388"/>
      <c r="J324" s="2388"/>
      <c r="K324" s="2388"/>
      <c r="L324" s="2388"/>
      <c r="M324" s="2388"/>
      <c r="N324" s="2388"/>
      <c r="O324" s="2388"/>
      <c r="P324" s="2388"/>
      <c r="Q324" s="2388"/>
      <c r="R324" s="2388"/>
      <c r="S324" s="2388"/>
      <c r="T324" s="2388"/>
      <c r="U324" s="2388"/>
      <c r="V324" s="2388"/>
      <c r="W324" s="2388"/>
      <c r="X324" s="2388"/>
      <c r="Y324" s="2388"/>
      <c r="Z324" s="2388"/>
      <c r="AA324" s="2388"/>
      <c r="AB324" s="2388"/>
      <c r="AC324" s="2388"/>
      <c r="AD324" s="2431"/>
      <c r="AE324" s="550"/>
      <c r="AF324" s="550"/>
      <c r="AG324" s="539"/>
      <c r="AH324" s="550"/>
      <c r="AI324" s="550"/>
      <c r="AJ324" s="549"/>
      <c r="AK324" s="549"/>
      <c r="AL324" s="549"/>
      <c r="AM324" s="549"/>
      <c r="AN324" s="73"/>
      <c r="AO324" s="14"/>
      <c r="AP324" s="555" t="s">
        <v>1184</v>
      </c>
    </row>
    <row r="325" spans="1:44" hidden="1">
      <c r="F325" s="2430"/>
      <c r="G325" s="2388"/>
      <c r="H325" s="2388"/>
      <c r="I325" s="2388"/>
      <c r="J325" s="2388"/>
      <c r="K325" s="2388"/>
      <c r="L325" s="2388"/>
      <c r="M325" s="2388"/>
      <c r="N325" s="2388"/>
      <c r="O325" s="2388"/>
      <c r="P325" s="2388"/>
      <c r="Q325" s="2388"/>
      <c r="R325" s="2388"/>
      <c r="S325" s="2388"/>
      <c r="T325" s="2388"/>
      <c r="U325" s="2388"/>
      <c r="V325" s="2388"/>
      <c r="W325" s="2388"/>
      <c r="X325" s="2388"/>
      <c r="Y325" s="2388"/>
      <c r="Z325" s="2388"/>
      <c r="AA325" s="2388"/>
      <c r="AB325" s="2388"/>
      <c r="AC325" s="2388"/>
      <c r="AD325" s="2431"/>
      <c r="AE325" s="550"/>
      <c r="AF325" s="550"/>
      <c r="AH325" s="550"/>
      <c r="AI325" s="550"/>
      <c r="AJ325" s="549"/>
      <c r="AK325" s="549"/>
      <c r="AL325" s="549"/>
      <c r="AM325" s="549"/>
      <c r="AN325" s="73"/>
      <c r="AO325" s="14"/>
      <c r="AP325" s="555" t="s">
        <v>1719</v>
      </c>
    </row>
    <row r="326" spans="1:44"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1721</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1831</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38" t="s">
        <v>1184</v>
      </c>
      <c r="G329" s="2539"/>
      <c r="H329" s="2539"/>
      <c r="I329" s="2539"/>
      <c r="J329" s="2539"/>
      <c r="K329" s="2539"/>
      <c r="L329" s="2539"/>
      <c r="M329" s="2539"/>
      <c r="N329" s="2539"/>
      <c r="O329" s="2539"/>
      <c r="P329" s="2539"/>
      <c r="Q329" s="2539"/>
      <c r="R329" s="2539"/>
      <c r="S329" s="2539"/>
      <c r="T329" s="2539"/>
      <c r="U329" s="2539"/>
      <c r="V329" s="2539"/>
      <c r="W329" s="2539"/>
      <c r="X329" s="2539"/>
      <c r="Y329" s="2539"/>
      <c r="Z329" s="2539"/>
      <c r="AA329" s="2539"/>
      <c r="AB329" s="2539"/>
      <c r="AC329" s="2539"/>
      <c r="AD329" s="2540"/>
      <c r="AE329" s="640"/>
      <c r="AF329" s="640"/>
      <c r="AG329" s="640"/>
      <c r="AH329" s="640"/>
      <c r="AI329" s="640"/>
      <c r="AJ329" s="640"/>
      <c r="AK329" s="640"/>
      <c r="AL329" s="549"/>
      <c r="AM329" s="549"/>
      <c r="AN329" s="73"/>
      <c r="AO329" s="14"/>
      <c r="AP329" s="30"/>
    </row>
    <row r="330" spans="1:44" hidden="1">
      <c r="A330" s="549"/>
      <c r="B330" s="550"/>
      <c r="C330" s="726"/>
      <c r="D330" s="726"/>
      <c r="E330" s="546"/>
      <c r="F330" s="2538"/>
      <c r="G330" s="2539"/>
      <c r="H330" s="2539"/>
      <c r="I330" s="2539"/>
      <c r="J330" s="2539"/>
      <c r="K330" s="2539"/>
      <c r="L330" s="2539"/>
      <c r="M330" s="2539"/>
      <c r="N330" s="2539"/>
      <c r="O330" s="2539"/>
      <c r="P330" s="2539"/>
      <c r="Q330" s="2539"/>
      <c r="R330" s="2539"/>
      <c r="S330" s="2539"/>
      <c r="T330" s="2539"/>
      <c r="U330" s="2539"/>
      <c r="V330" s="2539"/>
      <c r="W330" s="2539"/>
      <c r="X330" s="2539"/>
      <c r="Y330" s="2539"/>
      <c r="Z330" s="2539"/>
      <c r="AA330" s="2539"/>
      <c r="AB330" s="2539"/>
      <c r="AC330" s="2539"/>
      <c r="AD330" s="2540"/>
      <c r="AE330" s="550"/>
      <c r="AF330" s="550"/>
      <c r="AG330" s="539"/>
      <c r="AH330" s="550"/>
      <c r="AI330" s="550"/>
      <c r="AJ330" s="549"/>
      <c r="AK330" s="549"/>
      <c r="AL330" s="549"/>
      <c r="AM330" s="549"/>
      <c r="AN330" s="73"/>
      <c r="AO330" s="14"/>
      <c r="AP330" s="30"/>
    </row>
    <row r="331" spans="1:44" hidden="1">
      <c r="A331" s="549"/>
      <c r="B331" s="550"/>
      <c r="C331" s="726"/>
      <c r="D331" s="726"/>
      <c r="E331" s="546"/>
      <c r="F331" s="2538"/>
      <c r="G331" s="2539"/>
      <c r="H331" s="2539"/>
      <c r="I331" s="2539"/>
      <c r="J331" s="2539"/>
      <c r="K331" s="2539"/>
      <c r="L331" s="2539"/>
      <c r="M331" s="2539"/>
      <c r="N331" s="2539"/>
      <c r="O331" s="2539"/>
      <c r="P331" s="2539"/>
      <c r="Q331" s="2539"/>
      <c r="R331" s="2539"/>
      <c r="S331" s="2539"/>
      <c r="T331" s="2539"/>
      <c r="U331" s="2539"/>
      <c r="V331" s="2539"/>
      <c r="W331" s="2539"/>
      <c r="X331" s="2539"/>
      <c r="Y331" s="2539"/>
      <c r="Z331" s="2539"/>
      <c r="AA331" s="2539"/>
      <c r="AB331" s="2539"/>
      <c r="AC331" s="2539"/>
      <c r="AD331" s="2540"/>
      <c r="AE331" s="550"/>
      <c r="AF331" s="550"/>
      <c r="AG331" s="539"/>
      <c r="AH331" s="550"/>
      <c r="AI331" s="550"/>
      <c r="AJ331" s="549"/>
      <c r="AK331" s="549"/>
      <c r="AL331" s="549"/>
      <c r="AM331" s="549"/>
      <c r="AN331" s="73"/>
      <c r="AO331" s="14"/>
      <c r="AP331" s="30"/>
    </row>
    <row r="332" spans="1:44" hidden="1">
      <c r="A332" s="549"/>
      <c r="B332" s="550"/>
      <c r="C332" s="726"/>
      <c r="D332" s="726"/>
      <c r="E332" s="546"/>
      <c r="F332" s="2538"/>
      <c r="G332" s="2539"/>
      <c r="H332" s="2539"/>
      <c r="I332" s="2539"/>
      <c r="J332" s="2539"/>
      <c r="K332" s="2539"/>
      <c r="L332" s="2539"/>
      <c r="M332" s="2539"/>
      <c r="N332" s="2539"/>
      <c r="O332" s="2539"/>
      <c r="P332" s="2539"/>
      <c r="Q332" s="2539"/>
      <c r="R332" s="2539"/>
      <c r="S332" s="2539"/>
      <c r="T332" s="2539"/>
      <c r="U332" s="2539"/>
      <c r="V332" s="2539"/>
      <c r="W332" s="2539"/>
      <c r="X332" s="2539"/>
      <c r="Y332" s="2539"/>
      <c r="Z332" s="2539"/>
      <c r="AA332" s="2539"/>
      <c r="AB332" s="2539"/>
      <c r="AC332" s="2539"/>
      <c r="AD332" s="2540"/>
      <c r="AE332" s="550"/>
      <c r="AF332" s="550"/>
      <c r="AG332" s="539"/>
      <c r="AH332" s="550"/>
      <c r="AI332" s="550"/>
      <c r="AJ332" s="549"/>
      <c r="AK332" s="549"/>
      <c r="AL332" s="549"/>
      <c r="AM332" s="549"/>
      <c r="AN332" s="73"/>
      <c r="AO332" s="14"/>
      <c r="AP332" s="30"/>
    </row>
    <row r="333" spans="1:44" hidden="1">
      <c r="A333" s="549"/>
      <c r="B333" s="550"/>
      <c r="C333" s="726"/>
      <c r="D333" s="726"/>
      <c r="E333" s="546"/>
      <c r="F333" s="2541"/>
      <c r="G333" s="2542"/>
      <c r="H333" s="2542"/>
      <c r="I333" s="2542"/>
      <c r="J333" s="2542"/>
      <c r="K333" s="2542"/>
      <c r="L333" s="2542"/>
      <c r="M333" s="2542"/>
      <c r="N333" s="2542"/>
      <c r="O333" s="2542"/>
      <c r="P333" s="2542"/>
      <c r="Q333" s="2542"/>
      <c r="R333" s="2542"/>
      <c r="S333" s="2542"/>
      <c r="T333" s="2542"/>
      <c r="U333" s="2542"/>
      <c r="V333" s="2542"/>
      <c r="W333" s="2542"/>
      <c r="X333" s="2542"/>
      <c r="Y333" s="2542"/>
      <c r="Z333" s="2542"/>
      <c r="AA333" s="2542"/>
      <c r="AB333" s="2542"/>
      <c r="AC333" s="2542"/>
      <c r="AD333" s="2543"/>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1720</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2544" t="s">
        <v>1184</v>
      </c>
      <c r="J337" s="2544"/>
      <c r="K337" s="2544"/>
      <c r="L337" s="2544"/>
      <c r="M337" s="2544"/>
      <c r="N337" s="2544"/>
      <c r="O337" s="2544"/>
      <c r="P337" s="2544"/>
      <c r="Q337" s="2544"/>
      <c r="R337" s="2544"/>
      <c r="S337" s="2544"/>
      <c r="T337" s="2544"/>
      <c r="U337" s="2544"/>
      <c r="V337" s="2544"/>
      <c r="W337" s="2544"/>
      <c r="X337" s="2544"/>
      <c r="Y337" s="2544"/>
      <c r="Z337" s="2544"/>
      <c r="AA337" s="2544"/>
      <c r="AB337" s="2544"/>
      <c r="AC337" s="2544"/>
      <c r="AD337" s="2545"/>
      <c r="AE337" s="550"/>
      <c r="AF337" s="550"/>
      <c r="AG337" s="539"/>
      <c r="AH337" s="550"/>
      <c r="AI337" s="550"/>
      <c r="AJ337" s="549"/>
      <c r="AK337" s="549"/>
      <c r="AL337" s="549"/>
      <c r="AM337" s="549"/>
      <c r="AN337" s="73"/>
      <c r="AO337" s="14"/>
      <c r="AP337" s="555" t="s">
        <v>1626</v>
      </c>
    </row>
    <row r="338" spans="1:42" hidden="1">
      <c r="A338" s="549"/>
      <c r="B338" s="550"/>
      <c r="C338" s="726"/>
      <c r="D338" s="726"/>
      <c r="E338" s="546"/>
      <c r="F338" s="652"/>
      <c r="G338" s="573"/>
      <c r="H338" s="573"/>
      <c r="I338" s="2544"/>
      <c r="J338" s="2544"/>
      <c r="K338" s="2544"/>
      <c r="L338" s="2544"/>
      <c r="M338" s="2544"/>
      <c r="N338" s="2544"/>
      <c r="O338" s="2544"/>
      <c r="P338" s="2544"/>
      <c r="Q338" s="2544"/>
      <c r="R338" s="2544"/>
      <c r="S338" s="2544"/>
      <c r="T338" s="2544"/>
      <c r="U338" s="2544"/>
      <c r="V338" s="2544"/>
      <c r="W338" s="2544"/>
      <c r="X338" s="2544"/>
      <c r="Y338" s="2544"/>
      <c r="Z338" s="2544"/>
      <c r="AA338" s="2544"/>
      <c r="AB338" s="2544"/>
      <c r="AC338" s="2544"/>
      <c r="AD338" s="2545"/>
      <c r="AE338" s="550"/>
      <c r="AF338" s="550"/>
      <c r="AG338" s="539"/>
      <c r="AH338" s="550"/>
      <c r="AI338" s="550"/>
      <c r="AJ338" s="549"/>
      <c r="AK338" s="549"/>
      <c r="AL338" s="549"/>
      <c r="AM338" s="549"/>
      <c r="AN338" s="73"/>
      <c r="AO338" s="14"/>
      <c r="AP338" s="555" t="s">
        <v>1722</v>
      </c>
    </row>
    <row r="339" spans="1:42" hidden="1">
      <c r="A339" s="549"/>
      <c r="B339" s="550"/>
      <c r="C339" s="647"/>
      <c r="D339" s="647"/>
      <c r="E339" s="546"/>
      <c r="F339" s="652"/>
      <c r="G339" s="573"/>
      <c r="H339" s="573"/>
      <c r="I339" s="2544"/>
      <c r="J339" s="2544"/>
      <c r="K339" s="2544"/>
      <c r="L339" s="2544"/>
      <c r="M339" s="2544"/>
      <c r="N339" s="2544"/>
      <c r="O339" s="2544"/>
      <c r="P339" s="2544"/>
      <c r="Q339" s="2544"/>
      <c r="R339" s="2544"/>
      <c r="S339" s="2544"/>
      <c r="T339" s="2544"/>
      <c r="U339" s="2544"/>
      <c r="V339" s="2544"/>
      <c r="W339" s="2544"/>
      <c r="X339" s="2544"/>
      <c r="Y339" s="2544"/>
      <c r="Z339" s="2544"/>
      <c r="AA339" s="2544"/>
      <c r="AB339" s="2544"/>
      <c r="AC339" s="2544"/>
      <c r="AD339" s="2545"/>
      <c r="AE339" s="550"/>
      <c r="AF339" s="550"/>
      <c r="AG339" s="539"/>
      <c r="AH339" s="550"/>
      <c r="AI339" s="550"/>
      <c r="AJ339" s="549"/>
      <c r="AK339" s="549"/>
      <c r="AL339" s="549"/>
      <c r="AM339" s="549"/>
      <c r="AN339" s="73"/>
      <c r="AO339" s="14"/>
      <c r="AP339" s="555" t="s">
        <v>1724</v>
      </c>
    </row>
    <row r="340" spans="1:42" hidden="1">
      <c r="A340" s="549"/>
      <c r="B340" s="550"/>
      <c r="C340" s="647"/>
      <c r="D340" s="647"/>
      <c r="E340" s="546"/>
      <c r="F340" s="650"/>
      <c r="G340" s="550"/>
      <c r="H340" s="550"/>
      <c r="I340" s="2546"/>
      <c r="J340" s="2546"/>
      <c r="K340" s="2546"/>
      <c r="L340" s="2546"/>
      <c r="M340" s="2546"/>
      <c r="N340" s="2546"/>
      <c r="O340" s="2546"/>
      <c r="P340" s="2546"/>
      <c r="Q340" s="2546"/>
      <c r="R340" s="2546"/>
      <c r="S340" s="2546"/>
      <c r="T340" s="2546"/>
      <c r="U340" s="2546"/>
      <c r="V340" s="2546"/>
      <c r="W340" s="2546"/>
      <c r="X340" s="2546"/>
      <c r="Y340" s="2546"/>
      <c r="Z340" s="2546"/>
      <c r="AA340" s="2546"/>
      <c r="AB340" s="2546"/>
      <c r="AC340" s="2546"/>
      <c r="AD340" s="2547"/>
      <c r="AE340" s="550"/>
      <c r="AF340" s="550"/>
      <c r="AG340" s="539"/>
      <c r="AH340" s="550"/>
      <c r="AI340" s="550"/>
      <c r="AJ340" s="549"/>
      <c r="AK340" s="549"/>
      <c r="AL340" s="549"/>
      <c r="AM340" s="549"/>
      <c r="AN340" s="73"/>
      <c r="AO340" s="14"/>
      <c r="AP340" s="555" t="s">
        <v>1723</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44" t="s">
        <v>1184</v>
      </c>
      <c r="J342" s="2544"/>
      <c r="K342" s="2544"/>
      <c r="L342" s="2544"/>
      <c r="M342" s="2544"/>
      <c r="N342" s="2544"/>
      <c r="O342" s="2544"/>
      <c r="P342" s="2544"/>
      <c r="Q342" s="2544"/>
      <c r="R342" s="2544"/>
      <c r="S342" s="2544"/>
      <c r="T342" s="2544"/>
      <c r="U342" s="2544"/>
      <c r="V342" s="2544"/>
      <c r="W342" s="2544"/>
      <c r="X342" s="2544"/>
      <c r="Y342" s="2544"/>
      <c r="Z342" s="2544"/>
      <c r="AA342" s="2544"/>
      <c r="AB342" s="2544"/>
      <c r="AC342" s="2544"/>
      <c r="AD342" s="2545"/>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44"/>
      <c r="J343" s="2544"/>
      <c r="K343" s="2544"/>
      <c r="L343" s="2544"/>
      <c r="M343" s="2544"/>
      <c r="N343" s="2544"/>
      <c r="O343" s="2544"/>
      <c r="P343" s="2544"/>
      <c r="Q343" s="2544"/>
      <c r="R343" s="2544"/>
      <c r="S343" s="2544"/>
      <c r="T343" s="2544"/>
      <c r="U343" s="2544"/>
      <c r="V343" s="2544"/>
      <c r="W343" s="2544"/>
      <c r="X343" s="2544"/>
      <c r="Y343" s="2544"/>
      <c r="Z343" s="2544"/>
      <c r="AA343" s="2544"/>
      <c r="AB343" s="2544"/>
      <c r="AC343" s="2544"/>
      <c r="AD343" s="2545"/>
      <c r="AE343" s="550"/>
      <c r="AF343" s="550"/>
      <c r="AG343" s="539"/>
      <c r="AH343" s="550"/>
      <c r="AI343" s="550"/>
      <c r="AJ343" s="549"/>
      <c r="AK343" s="549"/>
      <c r="AL343" s="549"/>
      <c r="AM343" s="549"/>
      <c r="AN343" s="73"/>
      <c r="AO343" s="14"/>
      <c r="AP343" s="555" t="s">
        <v>1184</v>
      </c>
    </row>
    <row r="344" spans="1:42" hidden="1">
      <c r="A344" s="549"/>
      <c r="B344" s="550"/>
      <c r="C344" s="647"/>
      <c r="D344" s="647"/>
      <c r="E344" s="546"/>
      <c r="F344" s="653"/>
      <c r="G344" s="654"/>
      <c r="H344" s="654"/>
      <c r="I344" s="2546"/>
      <c r="J344" s="2546"/>
      <c r="K344" s="2546"/>
      <c r="L344" s="2546"/>
      <c r="M344" s="2546"/>
      <c r="N344" s="2546"/>
      <c r="O344" s="2546"/>
      <c r="P344" s="2546"/>
      <c r="Q344" s="2546"/>
      <c r="R344" s="2546"/>
      <c r="S344" s="2546"/>
      <c r="T344" s="2546"/>
      <c r="U344" s="2546"/>
      <c r="V344" s="2546"/>
      <c r="W344" s="2546"/>
      <c r="X344" s="2546"/>
      <c r="Y344" s="2546"/>
      <c r="Z344" s="2546"/>
      <c r="AA344" s="2546"/>
      <c r="AB344" s="2546"/>
      <c r="AC344" s="2546"/>
      <c r="AD344" s="2547"/>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632" t="s">
        <v>1384</v>
      </c>
      <c r="B346" s="1632"/>
      <c r="C346" s="2410" t="s">
        <v>591</v>
      </c>
      <c r="D346" s="2410"/>
      <c r="E346" s="546"/>
      <c r="F346" s="2451" t="s">
        <v>1989</v>
      </c>
      <c r="G346" s="2452"/>
      <c r="H346" s="2452"/>
      <c r="I346" s="2452"/>
      <c r="J346" s="2452"/>
      <c r="K346" s="2452"/>
      <c r="L346" s="2452"/>
      <c r="M346" s="2452"/>
      <c r="N346" s="2452"/>
      <c r="O346" s="2452"/>
      <c r="P346" s="2452"/>
      <c r="Q346" s="2452"/>
      <c r="R346" s="2452"/>
      <c r="S346" s="2452"/>
      <c r="T346" s="2452"/>
      <c r="U346" s="2452"/>
      <c r="V346" s="2452"/>
      <c r="W346" s="2452"/>
      <c r="X346" s="2452"/>
      <c r="Y346" s="2452"/>
      <c r="Z346" s="2452"/>
      <c r="AA346" s="2452"/>
      <c r="AB346" s="2452"/>
      <c r="AC346" s="2452"/>
      <c r="AD346" s="2453"/>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2454"/>
      <c r="G347" s="2455"/>
      <c r="H347" s="2455"/>
      <c r="I347" s="2455"/>
      <c r="J347" s="2455"/>
      <c r="K347" s="2455"/>
      <c r="L347" s="2455"/>
      <c r="M347" s="2455"/>
      <c r="N347" s="2455"/>
      <c r="O347" s="2455"/>
      <c r="P347" s="2455"/>
      <c r="Q347" s="2455"/>
      <c r="R347" s="2455"/>
      <c r="S347" s="2455"/>
      <c r="T347" s="2455"/>
      <c r="U347" s="2455"/>
      <c r="V347" s="2455"/>
      <c r="W347" s="2455"/>
      <c r="X347" s="2455"/>
      <c r="Y347" s="2455"/>
      <c r="Z347" s="2455"/>
      <c r="AA347" s="2455"/>
      <c r="AB347" s="2455"/>
      <c r="AC347" s="2455"/>
      <c r="AD347" s="2456"/>
      <c r="AE347" s="550"/>
      <c r="AF347" s="550"/>
      <c r="AG347" s="550"/>
      <c r="AH347" s="550"/>
      <c r="AI347" s="550"/>
      <c r="AJ347" s="549"/>
      <c r="AK347" s="549"/>
      <c r="AL347" s="549"/>
      <c r="AM347" s="549"/>
      <c r="AN347" s="73"/>
      <c r="AO347" s="14"/>
    </row>
    <row r="348" spans="1:42" ht="15" hidden="1" customHeight="1">
      <c r="A348" s="549"/>
      <c r="B348" s="550"/>
      <c r="C348" s="550"/>
      <c r="D348" s="550"/>
      <c r="E348" s="550"/>
      <c r="F348" s="2454"/>
      <c r="G348" s="2455"/>
      <c r="H348" s="2455"/>
      <c r="I348" s="2455"/>
      <c r="J348" s="2455"/>
      <c r="K348" s="2455"/>
      <c r="L348" s="2455"/>
      <c r="M348" s="2455"/>
      <c r="N348" s="2455"/>
      <c r="O348" s="2455"/>
      <c r="P348" s="2455"/>
      <c r="Q348" s="2455"/>
      <c r="R348" s="2455"/>
      <c r="S348" s="2455"/>
      <c r="T348" s="2455"/>
      <c r="U348" s="2455"/>
      <c r="V348" s="2455"/>
      <c r="W348" s="2455"/>
      <c r="X348" s="2455"/>
      <c r="Y348" s="2455"/>
      <c r="Z348" s="2455"/>
      <c r="AA348" s="2455"/>
      <c r="AB348" s="2455"/>
      <c r="AC348" s="2455"/>
      <c r="AD348" s="2456"/>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2604</v>
      </c>
      <c r="AK351" s="2391">
        <f>IF(NOT(OR(Application!M364="Yes",Application!M365="Yes")),0,AP308)</f>
        <v>9</v>
      </c>
      <c r="AL351" s="2437"/>
      <c r="AM351" s="2392"/>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2448" t="s">
        <v>1308</v>
      </c>
      <c r="AF354" s="2448"/>
      <c r="AG354" s="2448"/>
      <c r="AH354" s="2448"/>
      <c r="AI354" s="2448"/>
      <c r="AJ354" s="2448"/>
      <c r="AK354" s="2448"/>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59" t="s">
        <v>1445</v>
      </c>
      <c r="D356" s="2459"/>
      <c r="E356" s="2459"/>
      <c r="F356" s="2459"/>
      <c r="G356" s="2459"/>
      <c r="H356" s="2459"/>
      <c r="I356" s="2459"/>
      <c r="J356" s="2459"/>
      <c r="K356" s="2459"/>
      <c r="L356" s="2459"/>
      <c r="M356" s="2459"/>
      <c r="N356" s="2459"/>
      <c r="O356" s="2459"/>
      <c r="P356" s="2459"/>
      <c r="Q356" s="2459"/>
      <c r="R356" s="2459"/>
      <c r="S356" s="2459"/>
      <c r="T356" s="2459"/>
      <c r="U356" s="2459"/>
      <c r="V356" s="2459"/>
      <c r="W356" s="2459"/>
      <c r="X356" s="2459"/>
      <c r="Y356" s="2459"/>
      <c r="Z356" s="2459"/>
      <c r="AA356" s="2459"/>
      <c r="AB356" s="2459"/>
      <c r="AC356" s="2459"/>
      <c r="AD356" s="2459"/>
      <c r="AE356" s="2459"/>
      <c r="AF356" s="2459"/>
      <c r="AG356" s="2459"/>
      <c r="AH356" s="2459"/>
      <c r="AI356" s="2459"/>
      <c r="AJ356" s="2459"/>
      <c r="AK356" s="601"/>
      <c r="AL356" s="601"/>
      <c r="AM356" s="601"/>
      <c r="AN356" s="595"/>
    </row>
    <row r="357" spans="1:44" s="549" customFormat="1" ht="12.75" customHeight="1">
      <c r="A357" s="601"/>
      <c r="B357" s="609"/>
      <c r="C357" s="2459"/>
      <c r="D357" s="2459"/>
      <c r="E357" s="2459"/>
      <c r="F357" s="2459"/>
      <c r="G357" s="2459"/>
      <c r="H357" s="2459"/>
      <c r="I357" s="2459"/>
      <c r="J357" s="2459"/>
      <c r="K357" s="2459"/>
      <c r="L357" s="2459"/>
      <c r="M357" s="2459"/>
      <c r="N357" s="2459"/>
      <c r="O357" s="2459"/>
      <c r="P357" s="2459"/>
      <c r="Q357" s="2459"/>
      <c r="R357" s="2459"/>
      <c r="S357" s="2459"/>
      <c r="T357" s="2459"/>
      <c r="U357" s="2459"/>
      <c r="V357" s="2459"/>
      <c r="W357" s="2459"/>
      <c r="X357" s="2459"/>
      <c r="Y357" s="2459"/>
      <c r="Z357" s="2459"/>
      <c r="AA357" s="2459"/>
      <c r="AB357" s="2459"/>
      <c r="AC357" s="2459"/>
      <c r="AD357" s="2459"/>
      <c r="AE357" s="2459"/>
      <c r="AF357" s="2459"/>
      <c r="AG357" s="2459"/>
      <c r="AH357" s="2459"/>
      <c r="AI357" s="2459"/>
      <c r="AJ357" s="2459"/>
      <c r="AK357" s="601"/>
      <c r="AL357" s="601"/>
      <c r="AM357" s="601"/>
      <c r="AN357" s="595"/>
    </row>
    <row r="358" spans="1:44" s="549" customFormat="1" ht="12.75" customHeight="1">
      <c r="A358" s="601"/>
      <c r="B358" s="609"/>
      <c r="C358" s="2459"/>
      <c r="D358" s="2459"/>
      <c r="E358" s="2459"/>
      <c r="F358" s="2459"/>
      <c r="G358" s="2459"/>
      <c r="H358" s="2459"/>
      <c r="I358" s="2459"/>
      <c r="J358" s="2459"/>
      <c r="K358" s="2459"/>
      <c r="L358" s="2459"/>
      <c r="M358" s="2459"/>
      <c r="N358" s="2459"/>
      <c r="O358" s="2459"/>
      <c r="P358" s="2459"/>
      <c r="Q358" s="2459"/>
      <c r="R358" s="2459"/>
      <c r="S358" s="2459"/>
      <c r="T358" s="2459"/>
      <c r="U358" s="2459"/>
      <c r="V358" s="2459"/>
      <c r="W358" s="2459"/>
      <c r="X358" s="2459"/>
      <c r="Y358" s="2459"/>
      <c r="Z358" s="2459"/>
      <c r="AA358" s="2459"/>
      <c r="AB358" s="2459"/>
      <c r="AC358" s="2459"/>
      <c r="AD358" s="2459"/>
      <c r="AE358" s="2459"/>
      <c r="AF358" s="2459"/>
      <c r="AG358" s="2459"/>
      <c r="AH358" s="2459"/>
      <c r="AI358" s="2459"/>
      <c r="AJ358" s="2459"/>
      <c r="AK358" s="601"/>
      <c r="AL358" s="601"/>
      <c r="AM358" s="601"/>
      <c r="AN358" s="595"/>
      <c r="AQ358" s="568"/>
    </row>
    <row r="359" spans="1:44" s="549" customFormat="1" ht="12.75" customHeight="1">
      <c r="A359" s="601"/>
      <c r="B359" s="609"/>
      <c r="C359" s="2459"/>
      <c r="D359" s="2459"/>
      <c r="E359" s="2459"/>
      <c r="F359" s="2459"/>
      <c r="G359" s="2459"/>
      <c r="H359" s="2459"/>
      <c r="I359" s="2459"/>
      <c r="J359" s="2459"/>
      <c r="K359" s="2459"/>
      <c r="L359" s="2459"/>
      <c r="M359" s="2459"/>
      <c r="N359" s="2459"/>
      <c r="O359" s="2459"/>
      <c r="P359" s="2459"/>
      <c r="Q359" s="2459"/>
      <c r="R359" s="2459"/>
      <c r="S359" s="2459"/>
      <c r="T359" s="2459"/>
      <c r="U359" s="2459"/>
      <c r="V359" s="2459"/>
      <c r="W359" s="2459"/>
      <c r="X359" s="2459"/>
      <c r="Y359" s="2459"/>
      <c r="Z359" s="2459"/>
      <c r="AA359" s="2459"/>
      <c r="AB359" s="2459"/>
      <c r="AC359" s="2459"/>
      <c r="AD359" s="2459"/>
      <c r="AE359" s="2459"/>
      <c r="AF359" s="2459"/>
      <c r="AG359" s="2459"/>
      <c r="AH359" s="2459"/>
      <c r="AI359" s="2459"/>
      <c r="AJ359" s="2459"/>
      <c r="AK359" s="601"/>
      <c r="AL359" s="601"/>
      <c r="AM359" s="601"/>
      <c r="AN359" s="595"/>
      <c r="AQ359" s="568"/>
    </row>
    <row r="360" spans="1:44" s="549" customFormat="1" ht="12.4" customHeight="1">
      <c r="A360" s="601"/>
      <c r="B360" s="609"/>
      <c r="C360" s="2459"/>
      <c r="D360" s="2459"/>
      <c r="E360" s="2459"/>
      <c r="F360" s="2459"/>
      <c r="G360" s="2459"/>
      <c r="H360" s="2459"/>
      <c r="I360" s="2459"/>
      <c r="J360" s="2459"/>
      <c r="K360" s="2459"/>
      <c r="L360" s="2459"/>
      <c r="M360" s="2459"/>
      <c r="N360" s="2459"/>
      <c r="O360" s="2459"/>
      <c r="P360" s="2459"/>
      <c r="Q360" s="2459"/>
      <c r="R360" s="2459"/>
      <c r="S360" s="2459"/>
      <c r="T360" s="2459"/>
      <c r="U360" s="2459"/>
      <c r="V360" s="2459"/>
      <c r="W360" s="2459"/>
      <c r="X360" s="2459"/>
      <c r="Y360" s="2459"/>
      <c r="Z360" s="2459"/>
      <c r="AA360" s="2459"/>
      <c r="AB360" s="2459"/>
      <c r="AC360" s="2459"/>
      <c r="AD360" s="2459"/>
      <c r="AE360" s="2459"/>
      <c r="AF360" s="2459"/>
      <c r="AG360" s="2459"/>
      <c r="AH360" s="2459"/>
      <c r="AI360" s="2459"/>
      <c r="AJ360" s="2459"/>
      <c r="AK360" s="601"/>
      <c r="AL360" s="601"/>
      <c r="AM360" s="601"/>
      <c r="AN360" s="595"/>
      <c r="AQ360" s="568"/>
      <c r="AR360" s="568"/>
    </row>
    <row r="361" spans="1:44" s="549" customFormat="1" ht="45.75" customHeight="1">
      <c r="A361" s="601"/>
      <c r="B361" s="609"/>
      <c r="C361" s="2459" t="s">
        <v>2049</v>
      </c>
      <c r="D361" s="2459"/>
      <c r="E361" s="2459"/>
      <c r="F361" s="2459"/>
      <c r="G361" s="2459"/>
      <c r="H361" s="2459"/>
      <c r="I361" s="2459"/>
      <c r="J361" s="2459"/>
      <c r="K361" s="2459"/>
      <c r="L361" s="2459"/>
      <c r="M361" s="2459"/>
      <c r="N361" s="2459"/>
      <c r="O361" s="2459"/>
      <c r="P361" s="2459"/>
      <c r="Q361" s="2459"/>
      <c r="R361" s="2459"/>
      <c r="S361" s="2459"/>
      <c r="T361" s="2459"/>
      <c r="U361" s="2459"/>
      <c r="V361" s="2459"/>
      <c r="W361" s="2459"/>
      <c r="X361" s="2459"/>
      <c r="Y361" s="2459"/>
      <c r="Z361" s="2459"/>
      <c r="AA361" s="2459"/>
      <c r="AB361" s="2459"/>
      <c r="AC361" s="2459"/>
      <c r="AD361" s="2459"/>
      <c r="AE361" s="2459"/>
      <c r="AF361" s="2459"/>
      <c r="AG361" s="2459"/>
      <c r="AH361" s="2459"/>
      <c r="AI361" s="2459"/>
      <c r="AJ361" s="2459"/>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59" t="s">
        <v>2163</v>
      </c>
      <c r="D363" s="2459"/>
      <c r="E363" s="2459"/>
      <c r="F363" s="2459"/>
      <c r="G363" s="2459"/>
      <c r="H363" s="2459"/>
      <c r="I363" s="2459"/>
      <c r="J363" s="2459"/>
      <c r="K363" s="2459"/>
      <c r="L363" s="2459"/>
      <c r="M363" s="2459"/>
      <c r="N363" s="2459"/>
      <c r="O363" s="2459"/>
      <c r="P363" s="2459"/>
      <c r="Q363" s="2459"/>
      <c r="R363" s="2459"/>
      <c r="S363" s="2459"/>
      <c r="T363" s="2459"/>
      <c r="U363" s="2459"/>
      <c r="V363" s="2459"/>
      <c r="W363" s="2459"/>
      <c r="X363" s="2459"/>
      <c r="Y363" s="2459"/>
      <c r="Z363" s="2459"/>
      <c r="AA363" s="2459"/>
      <c r="AB363" s="2459"/>
      <c r="AC363" s="2459"/>
      <c r="AD363" s="2459"/>
      <c r="AE363" s="2459"/>
      <c r="AF363" s="2459"/>
      <c r="AG363" s="2459"/>
      <c r="AH363" s="2459"/>
      <c r="AI363" s="2459"/>
      <c r="AJ363" s="2459"/>
      <c r="AK363" s="601"/>
      <c r="AL363" s="601"/>
      <c r="AM363" s="601"/>
      <c r="AN363" s="595"/>
      <c r="AQ363" s="568"/>
      <c r="AR363" s="568"/>
    </row>
    <row r="364" spans="1:44" s="549" customFormat="1" ht="30" customHeight="1">
      <c r="A364" s="601"/>
      <c r="B364" s="609"/>
      <c r="C364" s="2459"/>
      <c r="D364" s="2459"/>
      <c r="E364" s="2459"/>
      <c r="F364" s="2459"/>
      <c r="G364" s="2459"/>
      <c r="H364" s="2459"/>
      <c r="I364" s="2459"/>
      <c r="J364" s="2459"/>
      <c r="K364" s="2459"/>
      <c r="L364" s="2459"/>
      <c r="M364" s="2459"/>
      <c r="N364" s="2459"/>
      <c r="O364" s="2459"/>
      <c r="P364" s="2459"/>
      <c r="Q364" s="2459"/>
      <c r="R364" s="2459"/>
      <c r="S364" s="2459"/>
      <c r="T364" s="2459"/>
      <c r="U364" s="2459"/>
      <c r="V364" s="2459"/>
      <c r="W364" s="2459"/>
      <c r="X364" s="2459"/>
      <c r="Y364" s="2459"/>
      <c r="Z364" s="2459"/>
      <c r="AA364" s="2459"/>
      <c r="AB364" s="2459"/>
      <c r="AC364" s="2459"/>
      <c r="AD364" s="2459"/>
      <c r="AE364" s="2459"/>
      <c r="AF364" s="2459"/>
      <c r="AG364" s="2459"/>
      <c r="AH364" s="2459"/>
      <c r="AI364" s="2459"/>
      <c r="AJ364" s="2459"/>
      <c r="AK364" s="601"/>
      <c r="AL364" s="601"/>
      <c r="AM364" s="601"/>
      <c r="AN364" s="595"/>
      <c r="AR364" s="568"/>
    </row>
    <row r="365" spans="1:44" s="549" customFormat="1" ht="12.75" customHeight="1">
      <c r="A365" s="601"/>
      <c r="B365" s="609"/>
      <c r="C365" s="2459"/>
      <c r="D365" s="2459"/>
      <c r="E365" s="2459"/>
      <c r="F365" s="2459"/>
      <c r="G365" s="2459"/>
      <c r="H365" s="2459"/>
      <c r="I365" s="2459"/>
      <c r="J365" s="2459"/>
      <c r="K365" s="2459"/>
      <c r="L365" s="2459"/>
      <c r="M365" s="2459"/>
      <c r="N365" s="2459"/>
      <c r="O365" s="2459"/>
      <c r="P365" s="2459"/>
      <c r="Q365" s="2459"/>
      <c r="R365" s="2459"/>
      <c r="S365" s="2459"/>
      <c r="T365" s="2459"/>
      <c r="U365" s="2459"/>
      <c r="V365" s="2459"/>
      <c r="W365" s="2459"/>
      <c r="X365" s="2459"/>
      <c r="Y365" s="2459"/>
      <c r="Z365" s="2459"/>
      <c r="AA365" s="2459"/>
      <c r="AB365" s="2459"/>
      <c r="AC365" s="2459"/>
      <c r="AD365" s="2459"/>
      <c r="AE365" s="2459"/>
      <c r="AF365" s="2459"/>
      <c r="AG365" s="2459"/>
      <c r="AH365" s="2459"/>
      <c r="AI365" s="2459"/>
      <c r="AJ365" s="2459"/>
      <c r="AK365" s="601"/>
      <c r="AL365" s="601"/>
      <c r="AM365" s="601"/>
      <c r="AN365" s="595"/>
      <c r="AR365" s="568"/>
    </row>
    <row r="366" spans="1:44" s="549" customFormat="1" ht="12.75" customHeight="1">
      <c r="A366" s="601"/>
      <c r="B366" s="609"/>
      <c r="C366" s="2459" t="s">
        <v>1446</v>
      </c>
      <c r="D366" s="2459"/>
      <c r="E366" s="2459"/>
      <c r="F366" s="2459"/>
      <c r="G366" s="2459"/>
      <c r="H366" s="2459"/>
      <c r="I366" s="2459"/>
      <c r="J366" s="2459"/>
      <c r="K366" s="2459"/>
      <c r="L366" s="2459"/>
      <c r="M366" s="2459"/>
      <c r="N366" s="2459"/>
      <c r="O366" s="2459"/>
      <c r="P366" s="2459"/>
      <c r="Q366" s="2459"/>
      <c r="R366" s="2459"/>
      <c r="S366" s="2459"/>
      <c r="T366" s="2459"/>
      <c r="U366" s="2459"/>
      <c r="V366" s="2459"/>
      <c r="W366" s="2459"/>
      <c r="X366" s="2459"/>
      <c r="Y366" s="2459"/>
      <c r="Z366" s="2459"/>
      <c r="AA366" s="2459"/>
      <c r="AB366" s="2459"/>
      <c r="AC366" s="2459"/>
      <c r="AD366" s="2459"/>
      <c r="AE366" s="2459"/>
      <c r="AF366" s="2459"/>
      <c r="AG366" s="2459"/>
      <c r="AH366" s="2459"/>
      <c r="AI366" s="2459"/>
      <c r="AJ366" s="2459"/>
      <c r="AK366" s="601"/>
      <c r="AL366" s="601"/>
      <c r="AM366" s="601"/>
      <c r="AN366" s="595"/>
      <c r="AQ366" s="568"/>
      <c r="AR366" s="568"/>
    </row>
    <row r="367" spans="1:44" s="549" customFormat="1" ht="12.75" customHeight="1">
      <c r="A367" s="601"/>
      <c r="B367" s="609"/>
      <c r="C367" s="2459"/>
      <c r="D367" s="2459"/>
      <c r="E367" s="2459"/>
      <c r="F367" s="2459"/>
      <c r="G367" s="2459"/>
      <c r="H367" s="2459"/>
      <c r="I367" s="2459"/>
      <c r="J367" s="2459"/>
      <c r="K367" s="2459"/>
      <c r="L367" s="2459"/>
      <c r="M367" s="2459"/>
      <c r="N367" s="2459"/>
      <c r="O367" s="2459"/>
      <c r="P367" s="2459"/>
      <c r="Q367" s="2459"/>
      <c r="R367" s="2459"/>
      <c r="S367" s="2459"/>
      <c r="T367" s="2459"/>
      <c r="U367" s="2459"/>
      <c r="V367" s="2459"/>
      <c r="W367" s="2459"/>
      <c r="X367" s="2459"/>
      <c r="Y367" s="2459"/>
      <c r="Z367" s="2459"/>
      <c r="AA367" s="2459"/>
      <c r="AB367" s="2459"/>
      <c r="AC367" s="2459"/>
      <c r="AD367" s="2459"/>
      <c r="AE367" s="2459"/>
      <c r="AF367" s="2459"/>
      <c r="AG367" s="2459"/>
      <c r="AH367" s="2459"/>
      <c r="AI367" s="2459"/>
      <c r="AJ367" s="2459"/>
      <c r="AK367" s="601"/>
      <c r="AL367" s="601"/>
      <c r="AM367" s="601"/>
      <c r="AN367" s="595"/>
      <c r="AQ367" s="568"/>
      <c r="AR367" s="568"/>
    </row>
    <row r="368" spans="1:44" s="549" customFormat="1" ht="13.15" customHeight="1">
      <c r="A368" s="601"/>
      <c r="B368" s="609"/>
      <c r="C368" s="2459"/>
      <c r="D368" s="2459"/>
      <c r="E368" s="2459"/>
      <c r="F368" s="2459"/>
      <c r="G368" s="2459"/>
      <c r="H368" s="2459"/>
      <c r="I368" s="2459"/>
      <c r="J368" s="2459"/>
      <c r="K368" s="2459"/>
      <c r="L368" s="2459"/>
      <c r="M368" s="2459"/>
      <c r="N368" s="2459"/>
      <c r="O368" s="2459"/>
      <c r="P368" s="2459"/>
      <c r="Q368" s="2459"/>
      <c r="R368" s="2459"/>
      <c r="S368" s="2459"/>
      <c r="T368" s="2459"/>
      <c r="U368" s="2459"/>
      <c r="V368" s="2459"/>
      <c r="W368" s="2459"/>
      <c r="X368" s="2459"/>
      <c r="Y368" s="2459"/>
      <c r="Z368" s="2459"/>
      <c r="AA368" s="2459"/>
      <c r="AB368" s="2459"/>
      <c r="AC368" s="2459"/>
      <c r="AD368" s="2459"/>
      <c r="AE368" s="2459"/>
      <c r="AF368" s="2459"/>
      <c r="AG368" s="2459"/>
      <c r="AH368" s="2459"/>
      <c r="AI368" s="2459"/>
      <c r="AJ368" s="2459"/>
      <c r="AK368" s="601"/>
      <c r="AL368" s="601"/>
      <c r="AM368" s="601"/>
      <c r="AN368" s="595"/>
      <c r="AQ368" s="568"/>
      <c r="AR368" s="568"/>
    </row>
    <row r="369" spans="1:46" s="549" customFormat="1" ht="12.75" customHeight="1">
      <c r="A369" s="601"/>
      <c r="B369" s="609"/>
      <c r="C369" s="2459"/>
      <c r="D369" s="2459"/>
      <c r="E369" s="2459"/>
      <c r="F369" s="2459"/>
      <c r="G369" s="2459"/>
      <c r="H369" s="2459"/>
      <c r="I369" s="2459"/>
      <c r="J369" s="2459"/>
      <c r="K369" s="2459"/>
      <c r="L369" s="2459"/>
      <c r="M369" s="2459"/>
      <c r="N369" s="2459"/>
      <c r="O369" s="2459"/>
      <c r="P369" s="2459"/>
      <c r="Q369" s="2459"/>
      <c r="R369" s="2459"/>
      <c r="S369" s="2459"/>
      <c r="T369" s="2459"/>
      <c r="U369" s="2459"/>
      <c r="V369" s="2459"/>
      <c r="W369" s="2459"/>
      <c r="X369" s="2459"/>
      <c r="Y369" s="2459"/>
      <c r="Z369" s="2459"/>
      <c r="AA369" s="2459"/>
      <c r="AB369" s="2459"/>
      <c r="AC369" s="2459"/>
      <c r="AD369" s="2459"/>
      <c r="AE369" s="2459"/>
      <c r="AF369" s="2459"/>
      <c r="AG369" s="2459"/>
      <c r="AH369" s="2459"/>
      <c r="AI369" s="2459"/>
      <c r="AJ369" s="2459"/>
      <c r="AK369" s="601"/>
      <c r="AL369" s="601"/>
      <c r="AM369" s="601"/>
      <c r="AN369" s="595"/>
      <c r="AO369" s="690"/>
      <c r="AP369" s="690"/>
      <c r="AQ369" s="568"/>
    </row>
    <row r="370" spans="1:46" s="549" customFormat="1" ht="11.85" customHeight="1">
      <c r="A370" s="601"/>
      <c r="B370" s="609"/>
      <c r="C370" s="2459"/>
      <c r="D370" s="2459"/>
      <c r="E370" s="2459"/>
      <c r="F370" s="2459"/>
      <c r="G370" s="2459"/>
      <c r="H370" s="2459"/>
      <c r="I370" s="2459"/>
      <c r="J370" s="2459"/>
      <c r="K370" s="2459"/>
      <c r="L370" s="2459"/>
      <c r="M370" s="2459"/>
      <c r="N370" s="2459"/>
      <c r="O370" s="2459"/>
      <c r="P370" s="2459"/>
      <c r="Q370" s="2459"/>
      <c r="R370" s="2459"/>
      <c r="S370" s="2459"/>
      <c r="T370" s="2459"/>
      <c r="U370" s="2459"/>
      <c r="V370" s="2459"/>
      <c r="W370" s="2459"/>
      <c r="X370" s="2459"/>
      <c r="Y370" s="2459"/>
      <c r="Z370" s="2459"/>
      <c r="AA370" s="2459"/>
      <c r="AB370" s="2459"/>
      <c r="AC370" s="2459"/>
      <c r="AD370" s="2459"/>
      <c r="AE370" s="2459"/>
      <c r="AF370" s="2459"/>
      <c r="AG370" s="2459"/>
      <c r="AH370" s="2459"/>
      <c r="AI370" s="2459"/>
      <c r="AJ370" s="2459"/>
      <c r="AK370" s="601"/>
      <c r="AL370" s="601"/>
      <c r="AM370" s="601"/>
      <c r="AN370" s="595"/>
      <c r="AO370" s="691" t="s">
        <v>112</v>
      </c>
      <c r="AP370" s="692">
        <f>IF(C394="Yes",5,0)</f>
        <v>0</v>
      </c>
      <c r="AS370" s="539" t="s">
        <v>1447</v>
      </c>
    </row>
    <row r="371" spans="1:46" s="549" customFormat="1" ht="12.75" customHeight="1">
      <c r="A371" s="601"/>
      <c r="B371" s="609"/>
      <c r="C371" s="2459"/>
      <c r="D371" s="2459"/>
      <c r="E371" s="2459"/>
      <c r="F371" s="2459"/>
      <c r="G371" s="2459"/>
      <c r="H371" s="2459"/>
      <c r="I371" s="2459"/>
      <c r="J371" s="2459"/>
      <c r="K371" s="2459"/>
      <c r="L371" s="2459"/>
      <c r="M371" s="2459"/>
      <c r="N371" s="2459"/>
      <c r="O371" s="2459"/>
      <c r="P371" s="2459"/>
      <c r="Q371" s="2459"/>
      <c r="R371" s="2459"/>
      <c r="S371" s="2459"/>
      <c r="T371" s="2459"/>
      <c r="U371" s="2459"/>
      <c r="V371" s="2459"/>
      <c r="W371" s="2459"/>
      <c r="X371" s="2459"/>
      <c r="Y371" s="2459"/>
      <c r="Z371" s="2459"/>
      <c r="AA371" s="2459"/>
      <c r="AB371" s="2459"/>
      <c r="AC371" s="2459"/>
      <c r="AD371" s="2459"/>
      <c r="AE371" s="2459"/>
      <c r="AF371" s="2459"/>
      <c r="AG371" s="2459"/>
      <c r="AH371" s="2459"/>
      <c r="AI371" s="2459"/>
      <c r="AJ371" s="2459"/>
      <c r="AK371" s="601"/>
      <c r="AL371" s="601"/>
      <c r="AM371" s="601"/>
      <c r="AN371" s="595"/>
      <c r="AO371" s="691" t="s">
        <v>113</v>
      </c>
      <c r="AP371" s="692">
        <f>IF(C402="Yes",5,0)</f>
        <v>0</v>
      </c>
      <c r="AS371" s="2527">
        <f>IF(Application!D211="Non-Targeted",(SUM(AQ379+AQ388)),AS375)</f>
        <v>10</v>
      </c>
      <c r="AT371" s="2527"/>
    </row>
    <row r="372" spans="1:46" s="549" customFormat="1" ht="12.75" customHeight="1">
      <c r="A372" s="601"/>
      <c r="B372" s="609"/>
      <c r="C372" s="2459"/>
      <c r="D372" s="2459"/>
      <c r="E372" s="2459"/>
      <c r="F372" s="2459"/>
      <c r="G372" s="2459"/>
      <c r="H372" s="2459"/>
      <c r="I372" s="2459"/>
      <c r="J372" s="2459"/>
      <c r="K372" s="2459"/>
      <c r="L372" s="2459"/>
      <c r="M372" s="2459"/>
      <c r="N372" s="2459"/>
      <c r="O372" s="2459"/>
      <c r="P372" s="2459"/>
      <c r="Q372" s="2459"/>
      <c r="R372" s="2459"/>
      <c r="S372" s="2459"/>
      <c r="T372" s="2459"/>
      <c r="U372" s="2459"/>
      <c r="V372" s="2459"/>
      <c r="W372" s="2459"/>
      <c r="X372" s="2459"/>
      <c r="Y372" s="2459"/>
      <c r="Z372" s="2459"/>
      <c r="AA372" s="2459"/>
      <c r="AB372" s="2459"/>
      <c r="AC372" s="2459"/>
      <c r="AD372" s="2459"/>
      <c r="AE372" s="2459"/>
      <c r="AF372" s="2459"/>
      <c r="AG372" s="2459"/>
      <c r="AH372" s="2459"/>
      <c r="AI372" s="2459"/>
      <c r="AJ372" s="2459"/>
      <c r="AK372" s="601"/>
      <c r="AL372" s="601"/>
      <c r="AM372" s="601"/>
      <c r="AN372" s="595"/>
      <c r="AO372" s="691" t="s">
        <v>119</v>
      </c>
      <c r="AP372" s="692">
        <f>IF(C410="Yes",7,0)</f>
        <v>7</v>
      </c>
      <c r="AS372" s="539" t="s">
        <v>1448</v>
      </c>
    </row>
    <row r="373" spans="1:46" s="549" customFormat="1" ht="12.75" customHeight="1">
      <c r="B373" s="609"/>
      <c r="C373" s="2459"/>
      <c r="D373" s="2459"/>
      <c r="E373" s="2459"/>
      <c r="F373" s="2459"/>
      <c r="G373" s="2459"/>
      <c r="H373" s="2459"/>
      <c r="I373" s="2459"/>
      <c r="J373" s="2459"/>
      <c r="K373" s="2459"/>
      <c r="L373" s="2459"/>
      <c r="M373" s="2459"/>
      <c r="N373" s="2459"/>
      <c r="O373" s="2459"/>
      <c r="P373" s="2459"/>
      <c r="Q373" s="2459"/>
      <c r="R373" s="2459"/>
      <c r="S373" s="2459"/>
      <c r="T373" s="2459"/>
      <c r="U373" s="2459"/>
      <c r="V373" s="2459"/>
      <c r="W373" s="2459"/>
      <c r="X373" s="2459"/>
      <c r="Y373" s="2459"/>
      <c r="Z373" s="2459"/>
      <c r="AA373" s="2459"/>
      <c r="AB373" s="2459"/>
      <c r="AC373" s="2459"/>
      <c r="AD373" s="2459"/>
      <c r="AE373" s="2459"/>
      <c r="AF373" s="2459"/>
      <c r="AG373" s="2459"/>
      <c r="AH373" s="2459"/>
      <c r="AI373" s="2459"/>
      <c r="AJ373" s="2459"/>
      <c r="AK373" s="601"/>
      <c r="AL373" s="601"/>
      <c r="AM373" s="601"/>
      <c r="AN373" s="595"/>
      <c r="AO373" s="595"/>
      <c r="AP373" s="692">
        <f>IF(C412="Yes",5,0)</f>
        <v>0</v>
      </c>
      <c r="AS373" s="2527">
        <f>IF(AND(AQ379&gt;0,AQ388&gt;0),(AQ379+AQ388)/2,0)</f>
        <v>0</v>
      </c>
      <c r="AT373" s="2527"/>
    </row>
    <row r="374" spans="1:46" s="549" customFormat="1" ht="12.75" customHeight="1">
      <c r="A374" s="601"/>
      <c r="B374" s="609"/>
      <c r="C374" s="2459"/>
      <c r="D374" s="2459"/>
      <c r="E374" s="2459"/>
      <c r="F374" s="2459"/>
      <c r="G374" s="2459"/>
      <c r="H374" s="2459"/>
      <c r="I374" s="2459"/>
      <c r="J374" s="2459"/>
      <c r="K374" s="2459"/>
      <c r="L374" s="2459"/>
      <c r="M374" s="2459"/>
      <c r="N374" s="2459"/>
      <c r="O374" s="2459"/>
      <c r="P374" s="2459"/>
      <c r="Q374" s="2459"/>
      <c r="R374" s="2459"/>
      <c r="S374" s="2459"/>
      <c r="T374" s="2459"/>
      <c r="U374" s="2459"/>
      <c r="V374" s="2459"/>
      <c r="W374" s="2459"/>
      <c r="X374" s="2459"/>
      <c r="Y374" s="2459"/>
      <c r="Z374" s="2459"/>
      <c r="AA374" s="2459"/>
      <c r="AB374" s="2459"/>
      <c r="AC374" s="2459"/>
      <c r="AD374" s="2459"/>
      <c r="AE374" s="2459"/>
      <c r="AF374" s="2459"/>
      <c r="AG374" s="2459"/>
      <c r="AH374" s="2459"/>
      <c r="AI374" s="2459"/>
      <c r="AJ374" s="2459"/>
      <c r="AK374" s="601"/>
      <c r="AL374" s="601"/>
      <c r="AM374" s="601"/>
      <c r="AN374" s="595"/>
      <c r="AO374" s="691" t="s">
        <v>581</v>
      </c>
      <c r="AP374" s="692">
        <f>IF(C420="Yes",5,0)</f>
        <v>0</v>
      </c>
      <c r="AS374" s="539" t="s">
        <v>1853</v>
      </c>
    </row>
    <row r="375" spans="1:46" s="549" customFormat="1" ht="12.75" customHeight="1">
      <c r="A375" s="601"/>
      <c r="B375" s="609"/>
      <c r="C375" s="2528" t="s">
        <v>2187</v>
      </c>
      <c r="D375" s="2528"/>
      <c r="E375" s="2528"/>
      <c r="F375" s="2528"/>
      <c r="G375" s="2528"/>
      <c r="H375" s="2528"/>
      <c r="I375" s="2528"/>
      <c r="J375" s="2528"/>
      <c r="K375" s="2528"/>
      <c r="L375" s="2528"/>
      <c r="M375" s="2528"/>
      <c r="N375" s="2528"/>
      <c r="O375" s="2528"/>
      <c r="P375" s="2528"/>
      <c r="Q375" s="2528"/>
      <c r="R375" s="2528"/>
      <c r="S375" s="2528"/>
      <c r="T375" s="2528"/>
      <c r="U375" s="2528"/>
      <c r="V375" s="2528"/>
      <c r="W375" s="2528"/>
      <c r="X375" s="2528"/>
      <c r="Y375" s="2528"/>
      <c r="Z375" s="2528"/>
      <c r="AA375" s="2528"/>
      <c r="AB375" s="2528"/>
      <c r="AC375" s="2528"/>
      <c r="AD375" s="2528"/>
      <c r="AE375" s="2528"/>
      <c r="AF375" s="2528"/>
      <c r="AG375" s="2528"/>
      <c r="AH375" s="2528"/>
      <c r="AI375" s="2528"/>
      <c r="AJ375" s="2528"/>
      <c r="AK375" s="601"/>
      <c r="AL375" s="601"/>
      <c r="AM375" s="601"/>
      <c r="AN375" s="595"/>
      <c r="AO375" s="595"/>
      <c r="AP375" s="692">
        <f>IF(C422="Yes",3,0)</f>
        <v>3</v>
      </c>
      <c r="AS375" s="2527">
        <f>IF(AQ379=0,AQ388,AQ379)</f>
        <v>10</v>
      </c>
      <c r="AT375" s="2527"/>
    </row>
    <row r="376" spans="1:46" s="549" customFormat="1" ht="12.75" customHeight="1">
      <c r="A376" s="601"/>
      <c r="B376" s="609"/>
      <c r="C376" s="2528"/>
      <c r="D376" s="2528"/>
      <c r="E376" s="2528"/>
      <c r="F376" s="2528"/>
      <c r="G376" s="2528"/>
      <c r="H376" s="2528"/>
      <c r="I376" s="2528"/>
      <c r="J376" s="2528"/>
      <c r="K376" s="2528"/>
      <c r="L376" s="2528"/>
      <c r="M376" s="2528"/>
      <c r="N376" s="2528"/>
      <c r="O376" s="2528"/>
      <c r="P376" s="2528"/>
      <c r="Q376" s="2528"/>
      <c r="R376" s="2528"/>
      <c r="S376" s="2528"/>
      <c r="T376" s="2528"/>
      <c r="U376" s="2528"/>
      <c r="V376" s="2528"/>
      <c r="W376" s="2528"/>
      <c r="X376" s="2528"/>
      <c r="Y376" s="2528"/>
      <c r="Z376" s="2528"/>
      <c r="AA376" s="2528"/>
      <c r="AB376" s="2528"/>
      <c r="AC376" s="2528"/>
      <c r="AD376" s="2528"/>
      <c r="AE376" s="2528"/>
      <c r="AF376" s="2528"/>
      <c r="AG376" s="2528"/>
      <c r="AH376" s="2528"/>
      <c r="AI376" s="2528"/>
      <c r="AJ376" s="2528"/>
      <c r="AK376" s="601"/>
      <c r="AL376" s="601"/>
      <c r="AM376" s="601"/>
      <c r="AN376" s="595"/>
      <c r="AO376" s="691" t="s">
        <v>763</v>
      </c>
      <c r="AP376" s="692">
        <f>IF(C425="Yes",5,0)</f>
        <v>0</v>
      </c>
    </row>
    <row r="377" spans="1:46" s="549" customFormat="1" ht="12.75" customHeight="1">
      <c r="A377" s="601"/>
      <c r="B377" s="609"/>
      <c r="C377" s="2528"/>
      <c r="D377" s="2528"/>
      <c r="E377" s="2528"/>
      <c r="F377" s="2528"/>
      <c r="G377" s="2528"/>
      <c r="H377" s="2528"/>
      <c r="I377" s="2528"/>
      <c r="J377" s="2528"/>
      <c r="K377" s="2528"/>
      <c r="L377" s="2528"/>
      <c r="M377" s="2528"/>
      <c r="N377" s="2528"/>
      <c r="O377" s="2528"/>
      <c r="P377" s="2528"/>
      <c r="Q377" s="2528"/>
      <c r="R377" s="2528"/>
      <c r="S377" s="2528"/>
      <c r="T377" s="2528"/>
      <c r="U377" s="2528"/>
      <c r="V377" s="2528"/>
      <c r="W377" s="2528"/>
      <c r="X377" s="2528"/>
      <c r="Y377" s="2528"/>
      <c r="Z377" s="2528"/>
      <c r="AA377" s="2528"/>
      <c r="AB377" s="2528"/>
      <c r="AC377" s="2528"/>
      <c r="AD377" s="2528"/>
      <c r="AE377" s="2528"/>
      <c r="AF377" s="2528"/>
      <c r="AG377" s="2528"/>
      <c r="AH377" s="2528"/>
      <c r="AI377" s="2528"/>
      <c r="AJ377" s="2528"/>
      <c r="AK377" s="601"/>
      <c r="AL377" s="601"/>
      <c r="AM377" s="601"/>
      <c r="AN377" s="595"/>
      <c r="AO377" s="691" t="s">
        <v>584</v>
      </c>
      <c r="AP377" s="692">
        <f>IF(C434="Yes",5,0)</f>
        <v>0</v>
      </c>
    </row>
    <row r="378" spans="1:46" s="549" customFormat="1" ht="11.85" customHeight="1">
      <c r="A378" s="601"/>
      <c r="B378" s="609"/>
      <c r="C378" s="2528"/>
      <c r="D378" s="2528"/>
      <c r="E378" s="2528"/>
      <c r="F378" s="2528"/>
      <c r="G378" s="2528"/>
      <c r="H378" s="2528"/>
      <c r="I378" s="2528"/>
      <c r="J378" s="2528"/>
      <c r="K378" s="2528"/>
      <c r="L378" s="2528"/>
      <c r="M378" s="2528"/>
      <c r="N378" s="2528"/>
      <c r="O378" s="2528"/>
      <c r="P378" s="2528"/>
      <c r="Q378" s="2528"/>
      <c r="R378" s="2528"/>
      <c r="S378" s="2528"/>
      <c r="T378" s="2528"/>
      <c r="U378" s="2528"/>
      <c r="V378" s="2528"/>
      <c r="W378" s="2528"/>
      <c r="X378" s="2528"/>
      <c r="Y378" s="2528"/>
      <c r="Z378" s="2528"/>
      <c r="AA378" s="2528"/>
      <c r="AB378" s="2528"/>
      <c r="AC378" s="2528"/>
      <c r="AD378" s="2528"/>
      <c r="AE378" s="2528"/>
      <c r="AF378" s="2528"/>
      <c r="AG378" s="2528"/>
      <c r="AH378" s="2528"/>
      <c r="AI378" s="2528"/>
      <c r="AJ378" s="2528"/>
      <c r="AK378" s="601"/>
      <c r="AL378" s="601"/>
      <c r="AM378" s="601"/>
      <c r="AN378" s="595"/>
      <c r="AO378" s="693"/>
      <c r="AP378" s="694">
        <f>IF(C436="Yes",3,0)</f>
        <v>0</v>
      </c>
    </row>
    <row r="379" spans="1:46" s="549" customFormat="1" ht="12.4" customHeight="1">
      <c r="A379" s="601"/>
      <c r="B379" s="609"/>
      <c r="C379" s="2528"/>
      <c r="D379" s="2528"/>
      <c r="E379" s="2528"/>
      <c r="F379" s="2528"/>
      <c r="G379" s="2528"/>
      <c r="H379" s="2528"/>
      <c r="I379" s="2528"/>
      <c r="J379" s="2528"/>
      <c r="K379" s="2528"/>
      <c r="L379" s="2528"/>
      <c r="M379" s="2528"/>
      <c r="N379" s="2528"/>
      <c r="O379" s="2528"/>
      <c r="P379" s="2528"/>
      <c r="Q379" s="2528"/>
      <c r="R379" s="2528"/>
      <c r="S379" s="2528"/>
      <c r="T379" s="2528"/>
      <c r="U379" s="2528"/>
      <c r="V379" s="2528"/>
      <c r="W379" s="2528"/>
      <c r="X379" s="2528"/>
      <c r="Y379" s="2528"/>
      <c r="Z379" s="2528"/>
      <c r="AA379" s="2528"/>
      <c r="AB379" s="2528"/>
      <c r="AC379" s="2528"/>
      <c r="AD379" s="2528"/>
      <c r="AE379" s="2528"/>
      <c r="AF379" s="2528"/>
      <c r="AG379" s="2528"/>
      <c r="AH379" s="2528"/>
      <c r="AI379" s="2528"/>
      <c r="AJ379" s="2528"/>
      <c r="AK379" s="601"/>
      <c r="AL379" s="601"/>
      <c r="AM379" s="601"/>
      <c r="AN379" s="595"/>
      <c r="AO379" s="695" t="s">
        <v>227</v>
      </c>
      <c r="AP379" s="696">
        <f>SUM(AP370:AP378)</f>
        <v>10</v>
      </c>
      <c r="AQ379" s="2462">
        <f>IF(AP379&gt;0,AP379,0)</f>
        <v>10</v>
      </c>
      <c r="AR379" s="2462"/>
    </row>
    <row r="380" spans="1:46" s="549" customFormat="1" ht="12.75" customHeight="1">
      <c r="A380" s="601"/>
      <c r="B380" s="609"/>
      <c r="C380" s="2528"/>
      <c r="D380" s="2528"/>
      <c r="E380" s="2528"/>
      <c r="F380" s="2528"/>
      <c r="G380" s="2528"/>
      <c r="H380" s="2528"/>
      <c r="I380" s="2528"/>
      <c r="J380" s="2528"/>
      <c r="K380" s="2528"/>
      <c r="L380" s="2528"/>
      <c r="M380" s="2528"/>
      <c r="N380" s="2528"/>
      <c r="O380" s="2528"/>
      <c r="P380" s="2528"/>
      <c r="Q380" s="2528"/>
      <c r="R380" s="2528"/>
      <c r="S380" s="2528"/>
      <c r="T380" s="2528"/>
      <c r="U380" s="2528"/>
      <c r="V380" s="2528"/>
      <c r="W380" s="2528"/>
      <c r="X380" s="2528"/>
      <c r="Y380" s="2528"/>
      <c r="Z380" s="2528"/>
      <c r="AA380" s="2528"/>
      <c r="AB380" s="2528"/>
      <c r="AC380" s="2528"/>
      <c r="AD380" s="2528"/>
      <c r="AE380" s="2528"/>
      <c r="AF380" s="2528"/>
      <c r="AG380" s="2528"/>
      <c r="AH380" s="2528"/>
      <c r="AI380" s="2528"/>
      <c r="AJ380" s="2528"/>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459" t="s">
        <v>1449</v>
      </c>
      <c r="D382" s="2459"/>
      <c r="E382" s="2459"/>
      <c r="F382" s="2459"/>
      <c r="G382" s="2459"/>
      <c r="H382" s="2459"/>
      <c r="I382" s="2459"/>
      <c r="J382" s="2459"/>
      <c r="K382" s="2459"/>
      <c r="L382" s="2459"/>
      <c r="M382" s="2459"/>
      <c r="N382" s="2459"/>
      <c r="O382" s="2459"/>
      <c r="P382" s="2459"/>
      <c r="Q382" s="2459"/>
      <c r="R382" s="2459"/>
      <c r="S382" s="2459"/>
      <c r="T382" s="2459"/>
      <c r="U382" s="2459"/>
      <c r="V382" s="2459"/>
      <c r="W382" s="2459"/>
      <c r="X382" s="2459"/>
      <c r="Y382" s="2459"/>
      <c r="Z382" s="2459"/>
      <c r="AA382" s="2459"/>
      <c r="AB382" s="2459"/>
      <c r="AC382" s="2459"/>
      <c r="AD382" s="2459"/>
      <c r="AE382" s="2459"/>
      <c r="AF382" s="2459"/>
      <c r="AG382" s="2459"/>
      <c r="AH382" s="2459"/>
      <c r="AI382" s="2459"/>
      <c r="AJ382" s="2459"/>
      <c r="AK382" s="601"/>
      <c r="AL382" s="601"/>
      <c r="AM382" s="601"/>
      <c r="AN382" s="595"/>
      <c r="AO382" s="691" t="s">
        <v>456</v>
      </c>
      <c r="AP382" s="692">
        <f>IF(C455="Yes",5,0)</f>
        <v>0</v>
      </c>
    </row>
    <row r="383" spans="1:46" s="549" customFormat="1" ht="12.75" customHeight="1">
      <c r="A383" s="601"/>
      <c r="B383" s="609"/>
      <c r="C383" s="2459"/>
      <c r="D383" s="2459"/>
      <c r="E383" s="2459"/>
      <c r="F383" s="2459"/>
      <c r="G383" s="2459"/>
      <c r="H383" s="2459"/>
      <c r="I383" s="2459"/>
      <c r="J383" s="2459"/>
      <c r="K383" s="2459"/>
      <c r="L383" s="2459"/>
      <c r="M383" s="2459"/>
      <c r="N383" s="2459"/>
      <c r="O383" s="2459"/>
      <c r="P383" s="2459"/>
      <c r="Q383" s="2459"/>
      <c r="R383" s="2459"/>
      <c r="S383" s="2459"/>
      <c r="T383" s="2459"/>
      <c r="U383" s="2459"/>
      <c r="V383" s="2459"/>
      <c r="W383" s="2459"/>
      <c r="X383" s="2459"/>
      <c r="Y383" s="2459"/>
      <c r="Z383" s="2459"/>
      <c r="AA383" s="2459"/>
      <c r="AB383" s="2459"/>
      <c r="AC383" s="2459"/>
      <c r="AD383" s="2459"/>
      <c r="AE383" s="2459"/>
      <c r="AF383" s="2459"/>
      <c r="AG383" s="2459"/>
      <c r="AH383" s="2459"/>
      <c r="AI383" s="2459"/>
      <c r="AJ383" s="2459"/>
      <c r="AK383" s="601"/>
      <c r="AL383" s="601"/>
      <c r="AM383" s="601"/>
      <c r="AN383" s="595"/>
      <c r="AO383" s="691" t="s">
        <v>461</v>
      </c>
      <c r="AP383" s="692">
        <f>IF(C462="Yes",5,0)</f>
        <v>0</v>
      </c>
    </row>
    <row r="384" spans="1:46" s="549" customFormat="1" ht="68.099999999999994" customHeight="1">
      <c r="A384" s="601"/>
      <c r="B384" s="609"/>
      <c r="C384" s="2459"/>
      <c r="D384" s="2459"/>
      <c r="E384" s="2459"/>
      <c r="F384" s="2459"/>
      <c r="G384" s="2459"/>
      <c r="H384" s="2459"/>
      <c r="I384" s="2459"/>
      <c r="J384" s="2459"/>
      <c r="K384" s="2459"/>
      <c r="L384" s="2459"/>
      <c r="M384" s="2459"/>
      <c r="N384" s="2459"/>
      <c r="O384" s="2459"/>
      <c r="P384" s="2459"/>
      <c r="Q384" s="2459"/>
      <c r="R384" s="2459"/>
      <c r="S384" s="2459"/>
      <c r="T384" s="2459"/>
      <c r="U384" s="2459"/>
      <c r="V384" s="2459"/>
      <c r="W384" s="2459"/>
      <c r="X384" s="2459"/>
      <c r="Y384" s="2459"/>
      <c r="Z384" s="2459"/>
      <c r="AA384" s="2459"/>
      <c r="AB384" s="2459"/>
      <c r="AC384" s="2459"/>
      <c r="AD384" s="2459"/>
      <c r="AE384" s="2459"/>
      <c r="AF384" s="2459"/>
      <c r="AG384" s="2459"/>
      <c r="AH384" s="2459"/>
      <c r="AI384" s="2459"/>
      <c r="AJ384" s="2459"/>
      <c r="AK384" s="601"/>
      <c r="AL384" s="601"/>
      <c r="AM384" s="601"/>
      <c r="AN384" s="595"/>
      <c r="AO384" s="691" t="s">
        <v>646</v>
      </c>
      <c r="AP384" s="697">
        <f>IF(C466="Yes",5,0)</f>
        <v>0</v>
      </c>
    </row>
    <row r="385" spans="1:81" s="549" customFormat="1" ht="12.4"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2166</v>
      </c>
      <c r="D386" s="699"/>
      <c r="E386" s="699"/>
      <c r="F386" s="699"/>
      <c r="G386" s="699"/>
      <c r="H386" s="699"/>
      <c r="I386" s="699"/>
      <c r="J386" s="699"/>
      <c r="K386" s="699"/>
      <c r="L386" s="699"/>
      <c r="M386" s="663"/>
      <c r="N386" s="663"/>
      <c r="O386" s="700"/>
      <c r="P386" s="699"/>
      <c r="Q386" s="699"/>
      <c r="R386" s="663"/>
      <c r="S386" s="663"/>
      <c r="T386" s="699"/>
      <c r="U386" s="2460">
        <f>Application!DU810-U387</f>
        <v>194</v>
      </c>
      <c r="V386" s="2460"/>
      <c r="W386" s="2460"/>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2167</v>
      </c>
      <c r="D387" s="690"/>
      <c r="E387" s="690"/>
      <c r="F387" s="690"/>
      <c r="G387" s="690"/>
      <c r="H387" s="690"/>
      <c r="I387" s="690"/>
      <c r="J387" s="690"/>
      <c r="K387" s="690"/>
      <c r="L387" s="690"/>
      <c r="M387" s="690"/>
      <c r="N387" s="690"/>
      <c r="O387" s="690"/>
      <c r="P387" s="690"/>
      <c r="Q387" s="690"/>
      <c r="R387" s="690"/>
      <c r="S387" s="690"/>
      <c r="T387" s="690"/>
      <c r="U387" s="2461">
        <f>IF(Application!D211="SRO",Application!DU763,Application!AG764)</f>
        <v>0</v>
      </c>
      <c r="V387" s="2461"/>
      <c r="W387" s="2461"/>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462">
        <f>IF(AP388&gt;0,AP388,0)</f>
        <v>0</v>
      </c>
      <c r="AR388" s="2462"/>
    </row>
    <row r="389" spans="1:81" s="549" customFormat="1" ht="12.75" customHeight="1">
      <c r="A389" s="601"/>
      <c r="B389" s="14"/>
      <c r="C389" s="708" t="s">
        <v>2164</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2438" t="s">
        <v>1451</v>
      </c>
      <c r="G390" s="2438"/>
      <c r="H390" s="2438"/>
      <c r="I390" s="2438"/>
      <c r="J390" s="2438"/>
      <c r="K390" s="2438"/>
      <c r="L390" s="2438"/>
      <c r="M390" s="2438"/>
      <c r="N390" s="2438"/>
      <c r="O390" s="2438"/>
      <c r="P390" s="2438"/>
      <c r="Q390" s="2438"/>
      <c r="R390" s="2438"/>
      <c r="S390" s="2438"/>
      <c r="T390" s="2438"/>
      <c r="U390" s="2438"/>
      <c r="V390" s="2438"/>
      <c r="W390" s="2438"/>
      <c r="X390" s="2438"/>
      <c r="Y390" s="2438"/>
      <c r="Z390" s="2438"/>
      <c r="AA390" s="2438"/>
      <c r="AB390" s="2438"/>
      <c r="AC390" s="2438"/>
      <c r="AD390" s="2438"/>
      <c r="AE390" s="2438"/>
      <c r="AF390" s="2438"/>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39"/>
      <c r="G391" s="2439"/>
      <c r="H391" s="2439"/>
      <c r="I391" s="2439"/>
      <c r="J391" s="2439"/>
      <c r="K391" s="2439"/>
      <c r="L391" s="2439"/>
      <c r="M391" s="2439"/>
      <c r="N391" s="2439"/>
      <c r="O391" s="2439"/>
      <c r="P391" s="2439"/>
      <c r="Q391" s="2439"/>
      <c r="R391" s="2439"/>
      <c r="S391" s="2439"/>
      <c r="T391" s="2439"/>
      <c r="U391" s="2439"/>
      <c r="V391" s="2439"/>
      <c r="W391" s="2439"/>
      <c r="X391" s="2439"/>
      <c r="Y391" s="2439"/>
      <c r="Z391" s="2439"/>
      <c r="AA391" s="2439"/>
      <c r="AB391" s="2439"/>
      <c r="AC391" s="2439"/>
      <c r="AD391" s="2439"/>
      <c r="AE391" s="2439"/>
      <c r="AF391" s="2439"/>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39"/>
      <c r="G392" s="2439"/>
      <c r="H392" s="2439"/>
      <c r="I392" s="2439"/>
      <c r="J392" s="2439"/>
      <c r="K392" s="2439"/>
      <c r="L392" s="2439"/>
      <c r="M392" s="2439"/>
      <c r="N392" s="2439"/>
      <c r="O392" s="2439"/>
      <c r="P392" s="2439"/>
      <c r="Q392" s="2439"/>
      <c r="R392" s="2439"/>
      <c r="S392" s="2439"/>
      <c r="T392" s="2439"/>
      <c r="U392" s="2439"/>
      <c r="V392" s="2439"/>
      <c r="W392" s="2439"/>
      <c r="X392" s="2439"/>
      <c r="Y392" s="2439"/>
      <c r="Z392" s="2439"/>
      <c r="AA392" s="2439"/>
      <c r="AB392" s="2439"/>
      <c r="AC392" s="2439"/>
      <c r="AD392" s="2439"/>
      <c r="AE392" s="2439"/>
      <c r="AF392" s="2439"/>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39"/>
      <c r="G393" s="2439"/>
      <c r="H393" s="2439"/>
      <c r="I393" s="2439"/>
      <c r="J393" s="2439"/>
      <c r="K393" s="2439"/>
      <c r="L393" s="2439"/>
      <c r="M393" s="2439"/>
      <c r="N393" s="2439"/>
      <c r="O393" s="2439"/>
      <c r="P393" s="2439"/>
      <c r="Q393" s="2439"/>
      <c r="R393" s="2439"/>
      <c r="S393" s="2439"/>
      <c r="T393" s="2439"/>
      <c r="U393" s="2439"/>
      <c r="V393" s="2439"/>
      <c r="W393" s="2439"/>
      <c r="X393" s="2439"/>
      <c r="Y393" s="2439"/>
      <c r="Z393" s="2439"/>
      <c r="AA393" s="2439"/>
      <c r="AB393" s="2439"/>
      <c r="AC393" s="2439"/>
      <c r="AD393" s="2439"/>
      <c r="AE393" s="2439"/>
      <c r="AF393" s="2439"/>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3" t="s">
        <v>591</v>
      </c>
      <c r="D394" s="2410"/>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4" t="s">
        <v>1453</v>
      </c>
      <c r="AG394" s="2464"/>
      <c r="AH394" s="2464"/>
      <c r="AI394" s="2464"/>
      <c r="AJ394" s="2464"/>
      <c r="AK394" s="2464"/>
      <c r="AL394" s="2465"/>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2438" t="s">
        <v>1454</v>
      </c>
      <c r="G397" s="2438"/>
      <c r="H397" s="2438"/>
      <c r="I397" s="2438"/>
      <c r="J397" s="2438"/>
      <c r="K397" s="2438"/>
      <c r="L397" s="2438"/>
      <c r="M397" s="2438"/>
      <c r="N397" s="2438"/>
      <c r="O397" s="2438"/>
      <c r="P397" s="2438"/>
      <c r="Q397" s="2438"/>
      <c r="R397" s="2438"/>
      <c r="S397" s="2438"/>
      <c r="T397" s="2438"/>
      <c r="U397" s="2438"/>
      <c r="V397" s="2438"/>
      <c r="W397" s="2438"/>
      <c r="X397" s="2438"/>
      <c r="Y397" s="2438"/>
      <c r="Z397" s="2438"/>
      <c r="AA397" s="2438"/>
      <c r="AB397" s="2438"/>
      <c r="AC397" s="2438"/>
      <c r="AD397" s="2438"/>
      <c r="AE397" s="2438"/>
      <c r="AF397" s="2438"/>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39"/>
      <c r="G398" s="2439"/>
      <c r="H398" s="2439"/>
      <c r="I398" s="2439"/>
      <c r="J398" s="2439"/>
      <c r="K398" s="2439"/>
      <c r="L398" s="2439"/>
      <c r="M398" s="2439"/>
      <c r="N398" s="2439"/>
      <c r="O398" s="2439"/>
      <c r="P398" s="2439"/>
      <c r="Q398" s="2439"/>
      <c r="R398" s="2439"/>
      <c r="S398" s="2439"/>
      <c r="T398" s="2439"/>
      <c r="U398" s="2439"/>
      <c r="V398" s="2439"/>
      <c r="W398" s="2439"/>
      <c r="X398" s="2439"/>
      <c r="Y398" s="2439"/>
      <c r="Z398" s="2439"/>
      <c r="AA398" s="2439"/>
      <c r="AB398" s="2439"/>
      <c r="AC398" s="2439"/>
      <c r="AD398" s="2439"/>
      <c r="AE398" s="2439"/>
      <c r="AF398" s="2439"/>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39"/>
      <c r="G399" s="2439"/>
      <c r="H399" s="2439"/>
      <c r="I399" s="2439"/>
      <c r="J399" s="2439"/>
      <c r="K399" s="2439"/>
      <c r="L399" s="2439"/>
      <c r="M399" s="2439"/>
      <c r="N399" s="2439"/>
      <c r="O399" s="2439"/>
      <c r="P399" s="2439"/>
      <c r="Q399" s="2439"/>
      <c r="R399" s="2439"/>
      <c r="S399" s="2439"/>
      <c r="T399" s="2439"/>
      <c r="U399" s="2439"/>
      <c r="V399" s="2439"/>
      <c r="W399" s="2439"/>
      <c r="X399" s="2439"/>
      <c r="Y399" s="2439"/>
      <c r="Z399" s="2439"/>
      <c r="AA399" s="2439"/>
      <c r="AB399" s="2439"/>
      <c r="AC399" s="2439"/>
      <c r="AD399" s="2439"/>
      <c r="AE399" s="2439"/>
      <c r="AF399" s="2439"/>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39"/>
      <c r="G400" s="2439"/>
      <c r="H400" s="2439"/>
      <c r="I400" s="2439"/>
      <c r="J400" s="2439"/>
      <c r="K400" s="2439"/>
      <c r="L400" s="2439"/>
      <c r="M400" s="2439"/>
      <c r="N400" s="2439"/>
      <c r="O400" s="2439"/>
      <c r="P400" s="2439"/>
      <c r="Q400" s="2439"/>
      <c r="R400" s="2439"/>
      <c r="S400" s="2439"/>
      <c r="T400" s="2439"/>
      <c r="U400" s="2439"/>
      <c r="V400" s="2439"/>
      <c r="W400" s="2439"/>
      <c r="X400" s="2439"/>
      <c r="Y400" s="2439"/>
      <c r="Z400" s="2439"/>
      <c r="AA400" s="2439"/>
      <c r="AB400" s="2439"/>
      <c r="AC400" s="2439"/>
      <c r="AD400" s="2439"/>
      <c r="AE400" s="2439"/>
      <c r="AF400" s="2439"/>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39"/>
      <c r="G401" s="2439"/>
      <c r="H401" s="2439"/>
      <c r="I401" s="2439"/>
      <c r="J401" s="2439"/>
      <c r="K401" s="2439"/>
      <c r="L401" s="2439"/>
      <c r="M401" s="2439"/>
      <c r="N401" s="2439"/>
      <c r="O401" s="2439"/>
      <c r="P401" s="2439"/>
      <c r="Q401" s="2439"/>
      <c r="R401" s="2439"/>
      <c r="S401" s="2439"/>
      <c r="T401" s="2439"/>
      <c r="U401" s="2439"/>
      <c r="V401" s="2439"/>
      <c r="W401" s="2439"/>
      <c r="X401" s="2439"/>
      <c r="Y401" s="2439"/>
      <c r="Z401" s="2439"/>
      <c r="AA401" s="2439"/>
      <c r="AB401" s="2439"/>
      <c r="AC401" s="2439"/>
      <c r="AD401" s="2439"/>
      <c r="AE401" s="2439"/>
      <c r="AF401" s="2439"/>
      <c r="AL401" s="728"/>
      <c r="AN401" s="595"/>
      <c r="BS401" s="30"/>
      <c r="BT401" s="30"/>
      <c r="BU401" s="14"/>
      <c r="BV401" s="14"/>
      <c r="BW401" s="14"/>
      <c r="BX401" s="14"/>
      <c r="BY401" s="14"/>
      <c r="BZ401" s="14"/>
      <c r="CA401" s="14"/>
      <c r="CB401" s="14"/>
      <c r="CC401" s="14"/>
    </row>
    <row r="402" spans="1:81" s="549" customFormat="1" ht="12.75" customHeight="1">
      <c r="A402" s="536"/>
      <c r="B402" s="14"/>
      <c r="C402" s="2463" t="s">
        <v>591</v>
      </c>
      <c r="D402" s="2410"/>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4" t="s">
        <v>1453</v>
      </c>
      <c r="AG402" s="2464"/>
      <c r="AH402" s="2464"/>
      <c r="AI402" s="2464"/>
      <c r="AJ402" s="2464"/>
      <c r="AK402" s="2464"/>
      <c r="AL402" s="2465"/>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2438" t="s">
        <v>1456</v>
      </c>
      <c r="G405" s="2438"/>
      <c r="H405" s="2438"/>
      <c r="I405" s="2438"/>
      <c r="J405" s="2438"/>
      <c r="K405" s="2438"/>
      <c r="L405" s="2438"/>
      <c r="M405" s="2438"/>
      <c r="N405" s="2438"/>
      <c r="O405" s="2438"/>
      <c r="P405" s="2438"/>
      <c r="Q405" s="2438"/>
      <c r="R405" s="2438"/>
      <c r="S405" s="2438"/>
      <c r="T405" s="2438"/>
      <c r="U405" s="2438"/>
      <c r="V405" s="2438"/>
      <c r="W405" s="2438"/>
      <c r="X405" s="2438"/>
      <c r="Y405" s="2438"/>
      <c r="Z405" s="2438"/>
      <c r="AA405" s="2438"/>
      <c r="AB405" s="2438"/>
      <c r="AC405" s="2438"/>
      <c r="AD405" s="2438"/>
      <c r="AE405" s="2438"/>
      <c r="AF405" s="2438"/>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39"/>
      <c r="G406" s="2439"/>
      <c r="H406" s="2439"/>
      <c r="I406" s="2439"/>
      <c r="J406" s="2439"/>
      <c r="K406" s="2439"/>
      <c r="L406" s="2439"/>
      <c r="M406" s="2439"/>
      <c r="N406" s="2439"/>
      <c r="O406" s="2439"/>
      <c r="P406" s="2439"/>
      <c r="Q406" s="2439"/>
      <c r="R406" s="2439"/>
      <c r="S406" s="2439"/>
      <c r="T406" s="2439"/>
      <c r="U406" s="2439"/>
      <c r="V406" s="2439"/>
      <c r="W406" s="2439"/>
      <c r="X406" s="2439"/>
      <c r="Y406" s="2439"/>
      <c r="Z406" s="2439"/>
      <c r="AA406" s="2439"/>
      <c r="AB406" s="2439"/>
      <c r="AC406" s="2439"/>
      <c r="AD406" s="2439"/>
      <c r="AE406" s="2439"/>
      <c r="AF406" s="2439"/>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39"/>
      <c r="G407" s="2439"/>
      <c r="H407" s="2439"/>
      <c r="I407" s="2439"/>
      <c r="J407" s="2439"/>
      <c r="K407" s="2439"/>
      <c r="L407" s="2439"/>
      <c r="M407" s="2439"/>
      <c r="N407" s="2439"/>
      <c r="O407" s="2439"/>
      <c r="P407" s="2439"/>
      <c r="Q407" s="2439"/>
      <c r="R407" s="2439"/>
      <c r="S407" s="2439"/>
      <c r="T407" s="2439"/>
      <c r="U407" s="2439"/>
      <c r="V407" s="2439"/>
      <c r="W407" s="2439"/>
      <c r="X407" s="2439"/>
      <c r="Y407" s="2439"/>
      <c r="Z407" s="2439"/>
      <c r="AA407" s="2439"/>
      <c r="AB407" s="2439"/>
      <c r="AC407" s="2439"/>
      <c r="AD407" s="2439"/>
      <c r="AE407" s="2439"/>
      <c r="AF407" s="2439"/>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39"/>
      <c r="G408" s="2439"/>
      <c r="H408" s="2439"/>
      <c r="I408" s="2439"/>
      <c r="J408" s="2439"/>
      <c r="K408" s="2439"/>
      <c r="L408" s="2439"/>
      <c r="M408" s="2439"/>
      <c r="N408" s="2439"/>
      <c r="O408" s="2439"/>
      <c r="P408" s="2439"/>
      <c r="Q408" s="2439"/>
      <c r="R408" s="2439"/>
      <c r="S408" s="2439"/>
      <c r="T408" s="2439"/>
      <c r="U408" s="2439"/>
      <c r="V408" s="2439"/>
      <c r="W408" s="2439"/>
      <c r="X408" s="2439"/>
      <c r="Y408" s="2439"/>
      <c r="Z408" s="2439"/>
      <c r="AA408" s="2439"/>
      <c r="AB408" s="2439"/>
      <c r="AC408" s="2439"/>
      <c r="AD408" s="2439"/>
      <c r="AE408" s="2439"/>
      <c r="AF408" s="2439"/>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39"/>
      <c r="G409" s="2439"/>
      <c r="H409" s="2439"/>
      <c r="I409" s="2439"/>
      <c r="J409" s="2439"/>
      <c r="K409" s="2439"/>
      <c r="L409" s="2439"/>
      <c r="M409" s="2439"/>
      <c r="N409" s="2439"/>
      <c r="O409" s="2439"/>
      <c r="P409" s="2439"/>
      <c r="Q409" s="2439"/>
      <c r="R409" s="2439"/>
      <c r="S409" s="2439"/>
      <c r="T409" s="2439"/>
      <c r="U409" s="2439"/>
      <c r="V409" s="2439"/>
      <c r="W409" s="2439"/>
      <c r="X409" s="2439"/>
      <c r="Y409" s="2439"/>
      <c r="Z409" s="2439"/>
      <c r="AA409" s="2439"/>
      <c r="AB409" s="2439"/>
      <c r="AC409" s="2439"/>
      <c r="AD409" s="2439"/>
      <c r="AE409" s="2439"/>
      <c r="AF409" s="2439"/>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3" t="s">
        <v>545</v>
      </c>
      <c r="D410" s="2410"/>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4" t="s">
        <v>1458</v>
      </c>
      <c r="AG410" s="2464"/>
      <c r="AH410" s="2464"/>
      <c r="AI410" s="2464"/>
      <c r="AJ410" s="2464"/>
      <c r="AK410" s="2464"/>
      <c r="AL410" s="2465"/>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3" t="s">
        <v>591</v>
      </c>
      <c r="D412" s="2410"/>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4" t="s">
        <v>1453</v>
      </c>
      <c r="AG412" s="2464"/>
      <c r="AH412" s="2464"/>
      <c r="AI412" s="2464"/>
      <c r="AJ412" s="2464"/>
      <c r="AK412" s="2464"/>
      <c r="AL412" s="2465"/>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2438" t="s">
        <v>1462</v>
      </c>
      <c r="G416" s="2438"/>
      <c r="H416" s="2438"/>
      <c r="I416" s="2438"/>
      <c r="J416" s="2438"/>
      <c r="K416" s="2438"/>
      <c r="L416" s="2438"/>
      <c r="M416" s="2438"/>
      <c r="N416" s="2438"/>
      <c r="O416" s="2438"/>
      <c r="P416" s="2438"/>
      <c r="Q416" s="2438"/>
      <c r="R416" s="2438"/>
      <c r="S416" s="2438"/>
      <c r="T416" s="2438"/>
      <c r="U416" s="2438"/>
      <c r="V416" s="2438"/>
      <c r="W416" s="2438"/>
      <c r="X416" s="2438"/>
      <c r="Y416" s="2438"/>
      <c r="Z416" s="2438"/>
      <c r="AA416" s="2438"/>
      <c r="AB416" s="2438"/>
      <c r="AC416" s="2438"/>
      <c r="AD416" s="2438"/>
      <c r="AE416" s="2438"/>
      <c r="AF416" s="2438"/>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39"/>
      <c r="G417" s="2439"/>
      <c r="H417" s="2439"/>
      <c r="I417" s="2439"/>
      <c r="J417" s="2439"/>
      <c r="K417" s="2439"/>
      <c r="L417" s="2439"/>
      <c r="M417" s="2439"/>
      <c r="N417" s="2439"/>
      <c r="O417" s="2439"/>
      <c r="P417" s="2439"/>
      <c r="Q417" s="2439"/>
      <c r="R417" s="2439"/>
      <c r="S417" s="2439"/>
      <c r="T417" s="2439"/>
      <c r="U417" s="2439"/>
      <c r="V417" s="2439"/>
      <c r="W417" s="2439"/>
      <c r="X417" s="2439"/>
      <c r="Y417" s="2439"/>
      <c r="Z417" s="2439"/>
      <c r="AA417" s="2439"/>
      <c r="AB417" s="2439"/>
      <c r="AC417" s="2439"/>
      <c r="AD417" s="2439"/>
      <c r="AE417" s="2439"/>
      <c r="AF417" s="2439"/>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39"/>
      <c r="G418" s="2439"/>
      <c r="H418" s="2439"/>
      <c r="I418" s="2439"/>
      <c r="J418" s="2439"/>
      <c r="K418" s="2439"/>
      <c r="L418" s="2439"/>
      <c r="M418" s="2439"/>
      <c r="N418" s="2439"/>
      <c r="O418" s="2439"/>
      <c r="P418" s="2439"/>
      <c r="Q418" s="2439"/>
      <c r="R418" s="2439"/>
      <c r="S418" s="2439"/>
      <c r="T418" s="2439"/>
      <c r="U418" s="2439"/>
      <c r="V418" s="2439"/>
      <c r="W418" s="2439"/>
      <c r="X418" s="2439"/>
      <c r="Y418" s="2439"/>
      <c r="Z418" s="2439"/>
      <c r="AA418" s="2439"/>
      <c r="AB418" s="2439"/>
      <c r="AC418" s="2439"/>
      <c r="AD418" s="2439"/>
      <c r="AE418" s="2439"/>
      <c r="AF418" s="2439"/>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39"/>
      <c r="G419" s="2439"/>
      <c r="H419" s="2439"/>
      <c r="I419" s="2439"/>
      <c r="J419" s="2439"/>
      <c r="K419" s="2439"/>
      <c r="L419" s="2439"/>
      <c r="M419" s="2439"/>
      <c r="N419" s="2439"/>
      <c r="O419" s="2439"/>
      <c r="P419" s="2439"/>
      <c r="Q419" s="2439"/>
      <c r="R419" s="2439"/>
      <c r="S419" s="2439"/>
      <c r="T419" s="2439"/>
      <c r="U419" s="2439"/>
      <c r="V419" s="2439"/>
      <c r="W419" s="2439"/>
      <c r="X419" s="2439"/>
      <c r="Y419" s="2439"/>
      <c r="Z419" s="2439"/>
      <c r="AA419" s="2439"/>
      <c r="AB419" s="2439"/>
      <c r="AC419" s="2439"/>
      <c r="AD419" s="2439"/>
      <c r="AE419" s="2439"/>
      <c r="AF419" s="2439"/>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3" t="s">
        <v>591</v>
      </c>
      <c r="D420" s="2410"/>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4" t="s">
        <v>1453</v>
      </c>
      <c r="AG420" s="2464"/>
      <c r="AH420" s="2464"/>
      <c r="AI420" s="2464"/>
      <c r="AJ420" s="2464"/>
      <c r="AK420" s="2464"/>
      <c r="AL420" s="2465"/>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3" t="s">
        <v>545</v>
      </c>
      <c r="D422" s="2410"/>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4" t="s">
        <v>1465</v>
      </c>
      <c r="AG422" s="2464"/>
      <c r="AH422" s="2464"/>
      <c r="AI422" s="2464"/>
      <c r="AJ422" s="2464"/>
      <c r="AK422" s="2464"/>
      <c r="AL422" s="2465"/>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3" t="s">
        <v>591</v>
      </c>
      <c r="D425" s="2410"/>
      <c r="E425" s="711" t="s">
        <v>1466</v>
      </c>
      <c r="F425" s="2438" t="s">
        <v>1467</v>
      </c>
      <c r="G425" s="2438"/>
      <c r="H425" s="2438"/>
      <c r="I425" s="2438"/>
      <c r="J425" s="2438"/>
      <c r="K425" s="2438"/>
      <c r="L425" s="2438"/>
      <c r="M425" s="2438"/>
      <c r="N425" s="2438"/>
      <c r="O425" s="2438"/>
      <c r="P425" s="2438"/>
      <c r="Q425" s="2438"/>
      <c r="R425" s="2438"/>
      <c r="S425" s="2438"/>
      <c r="T425" s="2438"/>
      <c r="U425" s="2438"/>
      <c r="V425" s="2438"/>
      <c r="W425" s="2438"/>
      <c r="X425" s="2438"/>
      <c r="Y425" s="2438"/>
      <c r="Z425" s="2438"/>
      <c r="AA425" s="2438"/>
      <c r="AB425" s="2438"/>
      <c r="AC425" s="2438"/>
      <c r="AD425" s="2438"/>
      <c r="AE425" s="2438"/>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39"/>
      <c r="G426" s="2439"/>
      <c r="H426" s="2439"/>
      <c r="I426" s="2439"/>
      <c r="J426" s="2439"/>
      <c r="K426" s="2439"/>
      <c r="L426" s="2439"/>
      <c r="M426" s="2439"/>
      <c r="N426" s="2439"/>
      <c r="O426" s="2439"/>
      <c r="P426" s="2439"/>
      <c r="Q426" s="2439"/>
      <c r="R426" s="2439"/>
      <c r="S426" s="2439"/>
      <c r="T426" s="2439"/>
      <c r="U426" s="2439"/>
      <c r="V426" s="2439"/>
      <c r="W426" s="2439"/>
      <c r="X426" s="2439"/>
      <c r="Y426" s="2439"/>
      <c r="Z426" s="2439"/>
      <c r="AA426" s="2439"/>
      <c r="AB426" s="2439"/>
      <c r="AC426" s="2439"/>
      <c r="AD426" s="2439"/>
      <c r="AE426" s="2439"/>
      <c r="AF426" s="2389" t="s">
        <v>1453</v>
      </c>
      <c r="AG426" s="2389"/>
      <c r="AH426" s="2389"/>
      <c r="AI426" s="2389"/>
      <c r="AJ426" s="2389"/>
      <c r="AK426" s="2389"/>
      <c r="AL426" s="2470"/>
      <c r="AM426" s="568"/>
      <c r="AN426" s="595"/>
      <c r="BS426" s="568"/>
      <c r="BT426" s="568"/>
      <c r="BY426" s="568"/>
      <c r="BZ426" s="568"/>
      <c r="CA426" s="568"/>
      <c r="CB426" s="568"/>
      <c r="CC426" s="568"/>
    </row>
    <row r="427" spans="1:81" s="549" customFormat="1" ht="12.75" customHeight="1">
      <c r="A427" s="536"/>
      <c r="B427" s="14"/>
      <c r="C427" s="727"/>
      <c r="D427" s="14"/>
      <c r="E427" s="687"/>
      <c r="F427" s="2439"/>
      <c r="G427" s="2439"/>
      <c r="H427" s="2439"/>
      <c r="I427" s="2439"/>
      <c r="J427" s="2439"/>
      <c r="K427" s="2439"/>
      <c r="L427" s="2439"/>
      <c r="M427" s="2439"/>
      <c r="N427" s="2439"/>
      <c r="O427" s="2439"/>
      <c r="P427" s="2439"/>
      <c r="Q427" s="2439"/>
      <c r="R427" s="2439"/>
      <c r="S427" s="2439"/>
      <c r="T427" s="2439"/>
      <c r="U427" s="2439"/>
      <c r="V427" s="2439"/>
      <c r="W427" s="2439"/>
      <c r="X427" s="2439"/>
      <c r="Y427" s="2439"/>
      <c r="Z427" s="2439"/>
      <c r="AA427" s="2439"/>
      <c r="AB427" s="2439"/>
      <c r="AC427" s="2439"/>
      <c r="AD427" s="2439"/>
      <c r="AE427" s="2439"/>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40"/>
      <c r="G428" s="2440"/>
      <c r="H428" s="2440"/>
      <c r="I428" s="2440"/>
      <c r="J428" s="2440"/>
      <c r="K428" s="2440"/>
      <c r="L428" s="2440"/>
      <c r="M428" s="2440"/>
      <c r="N428" s="2440"/>
      <c r="O428" s="2440"/>
      <c r="P428" s="2440"/>
      <c r="Q428" s="2440"/>
      <c r="R428" s="2440"/>
      <c r="S428" s="2440"/>
      <c r="T428" s="2440"/>
      <c r="U428" s="2440"/>
      <c r="V428" s="2440"/>
      <c r="W428" s="2440"/>
      <c r="X428" s="2440"/>
      <c r="Y428" s="2440"/>
      <c r="Z428" s="2440"/>
      <c r="AA428" s="2440"/>
      <c r="AB428" s="2440"/>
      <c r="AC428" s="2440"/>
      <c r="AD428" s="2440"/>
      <c r="AE428" s="2440"/>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2438" t="s">
        <v>1469</v>
      </c>
      <c r="G430" s="2438"/>
      <c r="H430" s="2438"/>
      <c r="I430" s="2438"/>
      <c r="J430" s="2438"/>
      <c r="K430" s="2438"/>
      <c r="L430" s="2438"/>
      <c r="M430" s="2438"/>
      <c r="N430" s="2438"/>
      <c r="O430" s="2438"/>
      <c r="P430" s="2438"/>
      <c r="Q430" s="2438"/>
      <c r="R430" s="2438"/>
      <c r="S430" s="2438"/>
      <c r="T430" s="2438"/>
      <c r="U430" s="2438"/>
      <c r="V430" s="2438"/>
      <c r="W430" s="2438"/>
      <c r="X430" s="2438"/>
      <c r="Y430" s="2438"/>
      <c r="Z430" s="2438"/>
      <c r="AA430" s="2438"/>
      <c r="AB430" s="2438"/>
      <c r="AC430" s="2438"/>
      <c r="AD430" s="2438"/>
      <c r="AE430" s="2438"/>
      <c r="AF430" s="743"/>
      <c r="AG430" s="743"/>
      <c r="AH430" s="743"/>
      <c r="AI430" s="743"/>
      <c r="AJ430" s="743"/>
      <c r="AK430" s="743"/>
      <c r="AL430" s="744"/>
      <c r="AM430" s="568"/>
    </row>
    <row r="431" spans="1:81">
      <c r="A431" s="536"/>
      <c r="C431" s="727"/>
      <c r="E431" s="687"/>
      <c r="F431" s="2439"/>
      <c r="G431" s="2439"/>
      <c r="H431" s="2439"/>
      <c r="I431" s="2439"/>
      <c r="J431" s="2439"/>
      <c r="K431" s="2439"/>
      <c r="L431" s="2439"/>
      <c r="M431" s="2439"/>
      <c r="N431" s="2439"/>
      <c r="O431" s="2439"/>
      <c r="P431" s="2439"/>
      <c r="Q431" s="2439"/>
      <c r="R431" s="2439"/>
      <c r="S431" s="2439"/>
      <c r="T431" s="2439"/>
      <c r="U431" s="2439"/>
      <c r="V431" s="2439"/>
      <c r="W431" s="2439"/>
      <c r="X431" s="2439"/>
      <c r="Y431" s="2439"/>
      <c r="Z431" s="2439"/>
      <c r="AA431" s="2439"/>
      <c r="AB431" s="2439"/>
      <c r="AC431" s="2439"/>
      <c r="AD431" s="2439"/>
      <c r="AE431" s="2439"/>
      <c r="AF431" s="539"/>
      <c r="AG431" s="536"/>
      <c r="AH431" s="549"/>
      <c r="AI431" s="549"/>
      <c r="AJ431" s="549"/>
      <c r="AK431" s="549"/>
      <c r="AL431" s="728"/>
      <c r="AM431" s="568"/>
    </row>
    <row r="432" spans="1:81" s="549" customFormat="1" ht="12.75" customHeight="1">
      <c r="A432" s="536"/>
      <c r="B432" s="14"/>
      <c r="C432" s="727"/>
      <c r="D432" s="14"/>
      <c r="E432" s="687"/>
      <c r="F432" s="2439"/>
      <c r="G432" s="2439"/>
      <c r="H432" s="2439"/>
      <c r="I432" s="2439"/>
      <c r="J432" s="2439"/>
      <c r="K432" s="2439"/>
      <c r="L432" s="2439"/>
      <c r="M432" s="2439"/>
      <c r="N432" s="2439"/>
      <c r="O432" s="2439"/>
      <c r="P432" s="2439"/>
      <c r="Q432" s="2439"/>
      <c r="R432" s="2439"/>
      <c r="S432" s="2439"/>
      <c r="T432" s="2439"/>
      <c r="U432" s="2439"/>
      <c r="V432" s="2439"/>
      <c r="W432" s="2439"/>
      <c r="X432" s="2439"/>
      <c r="Y432" s="2439"/>
      <c r="Z432" s="2439"/>
      <c r="AA432" s="2439"/>
      <c r="AB432" s="2439"/>
      <c r="AC432" s="2439"/>
      <c r="AD432" s="2439"/>
      <c r="AE432" s="2439"/>
      <c r="AL432" s="728"/>
      <c r="AM432" s="568"/>
      <c r="AN432" s="595"/>
    </row>
    <row r="433" spans="1:60" s="549" customFormat="1" ht="12.75" customHeight="1">
      <c r="A433" s="536"/>
      <c r="B433" s="14"/>
      <c r="C433" s="735"/>
      <c r="F433" s="2439"/>
      <c r="G433" s="2439"/>
      <c r="H433" s="2439"/>
      <c r="I433" s="2439"/>
      <c r="J433" s="2439"/>
      <c r="K433" s="2439"/>
      <c r="L433" s="2439"/>
      <c r="M433" s="2439"/>
      <c r="N433" s="2439"/>
      <c r="O433" s="2439"/>
      <c r="P433" s="2439"/>
      <c r="Q433" s="2439"/>
      <c r="R433" s="2439"/>
      <c r="S433" s="2439"/>
      <c r="T433" s="2439"/>
      <c r="U433" s="2439"/>
      <c r="V433" s="2439"/>
      <c r="W433" s="2439"/>
      <c r="X433" s="2439"/>
      <c r="Y433" s="2439"/>
      <c r="Z433" s="2439"/>
      <c r="AA433" s="2439"/>
      <c r="AB433" s="2439"/>
      <c r="AC433" s="2439"/>
      <c r="AD433" s="2439"/>
      <c r="AE433" s="2439"/>
      <c r="AL433" s="728"/>
      <c r="AM433" s="568"/>
      <c r="AN433" s="595"/>
    </row>
    <row r="434" spans="1:60" s="549" customFormat="1" ht="12.75" customHeight="1">
      <c r="A434" s="536"/>
      <c r="B434" s="14"/>
      <c r="C434" s="2463" t="s">
        <v>591</v>
      </c>
      <c r="D434" s="2410"/>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89" t="s">
        <v>1453</v>
      </c>
      <c r="AG434" s="2389"/>
      <c r="AH434" s="2389"/>
      <c r="AI434" s="2389"/>
      <c r="AJ434" s="2389"/>
      <c r="AK434" s="2389"/>
      <c r="AL434" s="2470"/>
      <c r="AM434" s="568"/>
      <c r="AN434" s="595"/>
    </row>
    <row r="435" spans="1:60" s="549" customFormat="1" ht="12.75" customHeight="1">
      <c r="A435" s="536"/>
      <c r="B435" s="14"/>
      <c r="C435" s="735"/>
      <c r="AL435" s="728"/>
      <c r="AM435" s="568"/>
      <c r="AN435" s="595"/>
    </row>
    <row r="436" spans="1:60" s="549" customFormat="1" ht="12.75" customHeight="1">
      <c r="A436" s="536"/>
      <c r="B436" s="14"/>
      <c r="C436" s="2463" t="s">
        <v>591</v>
      </c>
      <c r="D436" s="2410"/>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89" t="s">
        <v>1465</v>
      </c>
      <c r="AG436" s="2389"/>
      <c r="AH436" s="2389"/>
      <c r="AI436" s="2389"/>
      <c r="AJ436" s="2389"/>
      <c r="AK436" s="2389"/>
      <c r="AL436" s="2470"/>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2165</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2438" t="s">
        <v>1473</v>
      </c>
      <c r="G440" s="2438"/>
      <c r="H440" s="2438"/>
      <c r="I440" s="2438"/>
      <c r="J440" s="2438"/>
      <c r="K440" s="2438"/>
      <c r="L440" s="2438"/>
      <c r="M440" s="2438"/>
      <c r="N440" s="2438"/>
      <c r="O440" s="2438"/>
      <c r="P440" s="2438"/>
      <c r="Q440" s="2438"/>
      <c r="R440" s="2438"/>
      <c r="S440" s="2438"/>
      <c r="T440" s="2438"/>
      <c r="U440" s="2438"/>
      <c r="V440" s="2438"/>
      <c r="W440" s="2438"/>
      <c r="X440" s="2438"/>
      <c r="Y440" s="2438"/>
      <c r="Z440" s="2438"/>
      <c r="AA440" s="2438"/>
      <c r="AB440" s="2438"/>
      <c r="AC440" s="2438"/>
      <c r="AD440" s="2438"/>
      <c r="AE440" s="2438"/>
      <c r="AF440" s="710"/>
      <c r="AG440" s="710"/>
      <c r="AH440" s="710"/>
      <c r="AI440" s="710"/>
      <c r="AJ440" s="710"/>
      <c r="AK440" s="710"/>
      <c r="AL440" s="741"/>
      <c r="AM440" s="568"/>
      <c r="AN440" s="595"/>
    </row>
    <row r="441" spans="1:60" s="549" customFormat="1" ht="12.75" customHeight="1">
      <c r="A441" s="536"/>
      <c r="B441" s="14"/>
      <c r="C441" s="727"/>
      <c r="D441" s="14"/>
      <c r="E441" s="687"/>
      <c r="F441" s="2439"/>
      <c r="G441" s="2439"/>
      <c r="H441" s="2439"/>
      <c r="I441" s="2439"/>
      <c r="J441" s="2439"/>
      <c r="K441" s="2439"/>
      <c r="L441" s="2439"/>
      <c r="M441" s="2439"/>
      <c r="N441" s="2439"/>
      <c r="O441" s="2439"/>
      <c r="P441" s="2439"/>
      <c r="Q441" s="2439"/>
      <c r="R441" s="2439"/>
      <c r="S441" s="2439"/>
      <c r="T441" s="2439"/>
      <c r="U441" s="2439"/>
      <c r="V441" s="2439"/>
      <c r="W441" s="2439"/>
      <c r="X441" s="2439"/>
      <c r="Y441" s="2439"/>
      <c r="Z441" s="2439"/>
      <c r="AA441" s="2439"/>
      <c r="AB441" s="2439"/>
      <c r="AC441" s="2439"/>
      <c r="AD441" s="2439"/>
      <c r="AE441" s="2439"/>
      <c r="AF441" s="539"/>
      <c r="AG441" s="536"/>
      <c r="AL441" s="728"/>
      <c r="AM441" s="568"/>
      <c r="AN441" s="595"/>
    </row>
    <row r="442" spans="1:60" s="549" customFormat="1" ht="12.4" customHeight="1">
      <c r="A442" s="536"/>
      <c r="B442" s="14"/>
      <c r="C442" s="727"/>
      <c r="D442" s="14"/>
      <c r="E442" s="687"/>
      <c r="F442" s="2439"/>
      <c r="G442" s="2439"/>
      <c r="H442" s="2439"/>
      <c r="I442" s="2439"/>
      <c r="J442" s="2439"/>
      <c r="K442" s="2439"/>
      <c r="L442" s="2439"/>
      <c r="M442" s="2439"/>
      <c r="N442" s="2439"/>
      <c r="O442" s="2439"/>
      <c r="P442" s="2439"/>
      <c r="Q442" s="2439"/>
      <c r="R442" s="2439"/>
      <c r="S442" s="2439"/>
      <c r="T442" s="2439"/>
      <c r="U442" s="2439"/>
      <c r="V442" s="2439"/>
      <c r="W442" s="2439"/>
      <c r="X442" s="2439"/>
      <c r="Y442" s="2439"/>
      <c r="Z442" s="2439"/>
      <c r="AA442" s="2439"/>
      <c r="AB442" s="2439"/>
      <c r="AC442" s="2439"/>
      <c r="AD442" s="2439"/>
      <c r="AE442" s="2439"/>
      <c r="AL442" s="728"/>
      <c r="AM442" s="568"/>
      <c r="AN442" s="595"/>
    </row>
    <row r="443" spans="1:60" s="549" customFormat="1" ht="12.75" customHeight="1">
      <c r="A443" s="536"/>
      <c r="B443" s="14"/>
      <c r="C443" s="2463" t="s">
        <v>591</v>
      </c>
      <c r="D443" s="2410"/>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89" t="s">
        <v>1453</v>
      </c>
      <c r="AG443" s="2389"/>
      <c r="AH443" s="2389"/>
      <c r="AI443" s="2389"/>
      <c r="AJ443" s="2389"/>
      <c r="AK443" s="2389"/>
      <c r="AL443" s="2470"/>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1475</v>
      </c>
      <c r="F446" s="2438" t="s">
        <v>1476</v>
      </c>
      <c r="G446" s="2438"/>
      <c r="H446" s="2438"/>
      <c r="I446" s="2438"/>
      <c r="J446" s="2438"/>
      <c r="K446" s="2438"/>
      <c r="L446" s="2438"/>
      <c r="M446" s="2438"/>
      <c r="N446" s="2438"/>
      <c r="O446" s="2438"/>
      <c r="P446" s="2438"/>
      <c r="Q446" s="2438"/>
      <c r="R446" s="2438"/>
      <c r="S446" s="2438"/>
      <c r="T446" s="2438"/>
      <c r="U446" s="2438"/>
      <c r="V446" s="2438"/>
      <c r="W446" s="2438"/>
      <c r="X446" s="2438"/>
      <c r="Y446" s="2438"/>
      <c r="Z446" s="2438"/>
      <c r="AA446" s="2438"/>
      <c r="AB446" s="2438"/>
      <c r="AC446" s="2438"/>
      <c r="AD446" s="2438"/>
      <c r="AE446" s="2438"/>
      <c r="AF446" s="743"/>
      <c r="AG446" s="743"/>
      <c r="AH446" s="743"/>
      <c r="AI446" s="743"/>
      <c r="AJ446" s="743"/>
      <c r="AK446" s="743"/>
      <c r="AL446" s="744"/>
      <c r="AM446" s="568"/>
      <c r="AO446" s="549"/>
      <c r="AP446" s="549"/>
      <c r="BD446" s="14"/>
      <c r="BE446" s="14"/>
      <c r="BF446" s="14"/>
      <c r="BG446" s="14"/>
      <c r="BH446" s="14"/>
    </row>
    <row r="447" spans="1:60">
      <c r="A447" s="536"/>
      <c r="C447" s="727"/>
      <c r="E447" s="687"/>
      <c r="F447" s="2439"/>
      <c r="G447" s="2439"/>
      <c r="H447" s="2439"/>
      <c r="I447" s="2439"/>
      <c r="J447" s="2439"/>
      <c r="K447" s="2439"/>
      <c r="L447" s="2439"/>
      <c r="M447" s="2439"/>
      <c r="N447" s="2439"/>
      <c r="O447" s="2439"/>
      <c r="P447" s="2439"/>
      <c r="Q447" s="2439"/>
      <c r="R447" s="2439"/>
      <c r="S447" s="2439"/>
      <c r="T447" s="2439"/>
      <c r="U447" s="2439"/>
      <c r="V447" s="2439"/>
      <c r="W447" s="2439"/>
      <c r="X447" s="2439"/>
      <c r="Y447" s="2439"/>
      <c r="Z447" s="2439"/>
      <c r="AA447" s="2439"/>
      <c r="AB447" s="2439"/>
      <c r="AC447" s="2439"/>
      <c r="AD447" s="2439"/>
      <c r="AE447" s="2439"/>
      <c r="AF447" s="592"/>
      <c r="AG447" s="592"/>
      <c r="AH447" s="592"/>
      <c r="AI447" s="592"/>
      <c r="AJ447" s="592"/>
      <c r="AK447" s="592"/>
      <c r="AL447" s="746"/>
      <c r="AM447" s="568"/>
      <c r="AO447" s="549"/>
      <c r="AP447" s="549"/>
    </row>
    <row r="448" spans="1:60" s="549" customFormat="1" ht="12.75" customHeight="1">
      <c r="A448" s="536"/>
      <c r="B448" s="14"/>
      <c r="C448" s="727"/>
      <c r="D448" s="14"/>
      <c r="E448" s="687"/>
      <c r="F448" s="2439"/>
      <c r="G448" s="2439"/>
      <c r="H448" s="2439"/>
      <c r="I448" s="2439"/>
      <c r="J448" s="2439"/>
      <c r="K448" s="2439"/>
      <c r="L448" s="2439"/>
      <c r="M448" s="2439"/>
      <c r="N448" s="2439"/>
      <c r="O448" s="2439"/>
      <c r="P448" s="2439"/>
      <c r="Q448" s="2439"/>
      <c r="R448" s="2439"/>
      <c r="S448" s="2439"/>
      <c r="T448" s="2439"/>
      <c r="U448" s="2439"/>
      <c r="V448" s="2439"/>
      <c r="W448" s="2439"/>
      <c r="X448" s="2439"/>
      <c r="Y448" s="2439"/>
      <c r="Z448" s="2439"/>
      <c r="AA448" s="2439"/>
      <c r="AB448" s="2439"/>
      <c r="AC448" s="2439"/>
      <c r="AD448" s="2439"/>
      <c r="AE448" s="2439"/>
      <c r="AF448" s="592"/>
      <c r="AG448" s="592"/>
      <c r="AH448" s="592"/>
      <c r="AI448" s="592"/>
      <c r="AJ448" s="592"/>
      <c r="AK448" s="592"/>
      <c r="AL448" s="746"/>
      <c r="AM448" s="568"/>
      <c r="AN448" s="595"/>
    </row>
    <row r="449" spans="1:42" s="549" customFormat="1" ht="12.75" customHeight="1">
      <c r="A449" s="536"/>
      <c r="B449" s="14"/>
      <c r="C449" s="747"/>
      <c r="D449" s="726"/>
      <c r="E449" s="715"/>
      <c r="F449" s="2439"/>
      <c r="G449" s="2439"/>
      <c r="H449" s="2439"/>
      <c r="I449" s="2439"/>
      <c r="J449" s="2439"/>
      <c r="K449" s="2439"/>
      <c r="L449" s="2439"/>
      <c r="M449" s="2439"/>
      <c r="N449" s="2439"/>
      <c r="O449" s="2439"/>
      <c r="P449" s="2439"/>
      <c r="Q449" s="2439"/>
      <c r="R449" s="2439"/>
      <c r="S449" s="2439"/>
      <c r="T449" s="2439"/>
      <c r="U449" s="2439"/>
      <c r="V449" s="2439"/>
      <c r="W449" s="2439"/>
      <c r="X449" s="2439"/>
      <c r="Y449" s="2439"/>
      <c r="Z449" s="2439"/>
      <c r="AA449" s="2439"/>
      <c r="AB449" s="2439"/>
      <c r="AC449" s="2439"/>
      <c r="AD449" s="2439"/>
      <c r="AE449" s="2439"/>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39"/>
      <c r="G450" s="2439"/>
      <c r="H450" s="2439"/>
      <c r="I450" s="2439"/>
      <c r="J450" s="2439"/>
      <c r="K450" s="2439"/>
      <c r="L450" s="2439"/>
      <c r="M450" s="2439"/>
      <c r="N450" s="2439"/>
      <c r="O450" s="2439"/>
      <c r="P450" s="2439"/>
      <c r="Q450" s="2439"/>
      <c r="R450" s="2439"/>
      <c r="S450" s="2439"/>
      <c r="T450" s="2439"/>
      <c r="U450" s="2439"/>
      <c r="V450" s="2439"/>
      <c r="W450" s="2439"/>
      <c r="X450" s="2439"/>
      <c r="Y450" s="2439"/>
      <c r="Z450" s="2439"/>
      <c r="AA450" s="2439"/>
      <c r="AB450" s="2439"/>
      <c r="AC450" s="2439"/>
      <c r="AD450" s="2439"/>
      <c r="AE450" s="2439"/>
      <c r="AF450" s="592"/>
      <c r="AG450" s="592"/>
      <c r="AH450" s="592"/>
      <c r="AI450" s="592"/>
      <c r="AJ450" s="592"/>
      <c r="AK450" s="592"/>
      <c r="AL450" s="746"/>
      <c r="AM450" s="568"/>
      <c r="AN450" s="595"/>
    </row>
    <row r="451" spans="1:42" s="549" customFormat="1" ht="12.75" customHeight="1">
      <c r="A451" s="536"/>
      <c r="B451" s="14"/>
      <c r="C451" s="747"/>
      <c r="D451" s="726"/>
      <c r="E451" s="715"/>
      <c r="F451" s="2439"/>
      <c r="G451" s="2439"/>
      <c r="H451" s="2439"/>
      <c r="I451" s="2439"/>
      <c r="J451" s="2439"/>
      <c r="K451" s="2439"/>
      <c r="L451" s="2439"/>
      <c r="M451" s="2439"/>
      <c r="N451" s="2439"/>
      <c r="O451" s="2439"/>
      <c r="P451" s="2439"/>
      <c r="Q451" s="2439"/>
      <c r="R451" s="2439"/>
      <c r="S451" s="2439"/>
      <c r="T451" s="2439"/>
      <c r="U451" s="2439"/>
      <c r="V451" s="2439"/>
      <c r="W451" s="2439"/>
      <c r="X451" s="2439"/>
      <c r="Y451" s="2439"/>
      <c r="Z451" s="2439"/>
      <c r="AA451" s="2439"/>
      <c r="AB451" s="2439"/>
      <c r="AC451" s="2439"/>
      <c r="AD451" s="2439"/>
      <c r="AE451" s="2439"/>
      <c r="AF451" s="592"/>
      <c r="AG451" s="592"/>
      <c r="AH451" s="592"/>
      <c r="AI451" s="592"/>
      <c r="AJ451" s="592"/>
      <c r="AK451" s="592"/>
      <c r="AL451" s="746"/>
      <c r="AM451" s="568"/>
      <c r="AN451" s="595"/>
    </row>
    <row r="452" spans="1:42" s="549" customFormat="1" ht="12.75" customHeight="1">
      <c r="A452" s="536"/>
      <c r="B452" s="14"/>
      <c r="C452" s="747"/>
      <c r="D452" s="726"/>
      <c r="E452" s="715"/>
      <c r="F452" s="2439"/>
      <c r="G452" s="2439"/>
      <c r="H452" s="2439"/>
      <c r="I452" s="2439"/>
      <c r="J452" s="2439"/>
      <c r="K452" s="2439"/>
      <c r="L452" s="2439"/>
      <c r="M452" s="2439"/>
      <c r="N452" s="2439"/>
      <c r="O452" s="2439"/>
      <c r="P452" s="2439"/>
      <c r="Q452" s="2439"/>
      <c r="R452" s="2439"/>
      <c r="S452" s="2439"/>
      <c r="T452" s="2439"/>
      <c r="U452" s="2439"/>
      <c r="V452" s="2439"/>
      <c r="W452" s="2439"/>
      <c r="X452" s="2439"/>
      <c r="Y452" s="2439"/>
      <c r="Z452" s="2439"/>
      <c r="AA452" s="2439"/>
      <c r="AB452" s="2439"/>
      <c r="AC452" s="2439"/>
      <c r="AD452" s="2439"/>
      <c r="AE452" s="2439"/>
      <c r="AF452" s="592"/>
      <c r="AG452" s="592"/>
      <c r="AH452" s="592"/>
      <c r="AI452" s="592"/>
      <c r="AJ452" s="592"/>
      <c r="AK452" s="592"/>
      <c r="AL452" s="746"/>
      <c r="AM452" s="568"/>
      <c r="AN452" s="595"/>
    </row>
    <row r="453" spans="1:42" s="549" customFormat="1" ht="12.75" customHeight="1">
      <c r="A453" s="536"/>
      <c r="B453" s="14"/>
      <c r="C453" s="747"/>
      <c r="D453" s="726"/>
      <c r="E453" s="715"/>
      <c r="F453" s="2439"/>
      <c r="G453" s="2439"/>
      <c r="H453" s="2439"/>
      <c r="I453" s="2439"/>
      <c r="J453" s="2439"/>
      <c r="K453" s="2439"/>
      <c r="L453" s="2439"/>
      <c r="M453" s="2439"/>
      <c r="N453" s="2439"/>
      <c r="O453" s="2439"/>
      <c r="P453" s="2439"/>
      <c r="Q453" s="2439"/>
      <c r="R453" s="2439"/>
      <c r="S453" s="2439"/>
      <c r="T453" s="2439"/>
      <c r="U453" s="2439"/>
      <c r="V453" s="2439"/>
      <c r="W453" s="2439"/>
      <c r="X453" s="2439"/>
      <c r="Y453" s="2439"/>
      <c r="Z453" s="2439"/>
      <c r="AA453" s="2439"/>
      <c r="AB453" s="2439"/>
      <c r="AC453" s="2439"/>
      <c r="AD453" s="2439"/>
      <c r="AE453" s="2439"/>
      <c r="AF453" s="592"/>
      <c r="AG453" s="592"/>
      <c r="AH453" s="592"/>
      <c r="AI453" s="592"/>
      <c r="AJ453" s="592"/>
      <c r="AK453" s="592"/>
      <c r="AL453" s="746"/>
      <c r="AM453" s="568"/>
      <c r="AN453" s="595"/>
    </row>
    <row r="454" spans="1:42" s="549" customFormat="1" ht="17.25" customHeight="1">
      <c r="A454" s="536"/>
      <c r="B454" s="14"/>
      <c r="C454" s="747"/>
      <c r="D454" s="726"/>
      <c r="E454" s="715"/>
      <c r="F454" s="2439"/>
      <c r="G454" s="2439"/>
      <c r="H454" s="2439"/>
      <c r="I454" s="2439"/>
      <c r="J454" s="2439"/>
      <c r="K454" s="2439"/>
      <c r="L454" s="2439"/>
      <c r="M454" s="2439"/>
      <c r="N454" s="2439"/>
      <c r="O454" s="2439"/>
      <c r="P454" s="2439"/>
      <c r="Q454" s="2439"/>
      <c r="R454" s="2439"/>
      <c r="S454" s="2439"/>
      <c r="T454" s="2439"/>
      <c r="U454" s="2439"/>
      <c r="V454" s="2439"/>
      <c r="W454" s="2439"/>
      <c r="X454" s="2439"/>
      <c r="Y454" s="2439"/>
      <c r="Z454" s="2439"/>
      <c r="AA454" s="2439"/>
      <c r="AB454" s="2439"/>
      <c r="AC454" s="2439"/>
      <c r="AD454" s="2439"/>
      <c r="AE454" s="2439"/>
      <c r="AL454" s="728"/>
      <c r="AM454" s="568"/>
      <c r="AN454" s="595"/>
    </row>
    <row r="455" spans="1:42" s="549" customFormat="1" ht="12.75" customHeight="1">
      <c r="A455" s="536"/>
      <c r="B455" s="14"/>
      <c r="C455" s="2463" t="s">
        <v>591</v>
      </c>
      <c r="D455" s="2410"/>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89" t="s">
        <v>1453</v>
      </c>
      <c r="AG455" s="2389"/>
      <c r="AH455" s="2389"/>
      <c r="AI455" s="2389"/>
      <c r="AJ455" s="2389"/>
      <c r="AK455" s="2389"/>
      <c r="AL455" s="2470"/>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2438" t="s">
        <v>1479</v>
      </c>
      <c r="G458" s="2438"/>
      <c r="H458" s="2438"/>
      <c r="I458" s="2438"/>
      <c r="J458" s="2438"/>
      <c r="K458" s="2438"/>
      <c r="L458" s="2438"/>
      <c r="M458" s="2438"/>
      <c r="N458" s="2438"/>
      <c r="O458" s="2438"/>
      <c r="P458" s="2438"/>
      <c r="Q458" s="2438"/>
      <c r="R458" s="2438"/>
      <c r="S458" s="2438"/>
      <c r="T458" s="2438"/>
      <c r="U458" s="2438"/>
      <c r="V458" s="2438"/>
      <c r="W458" s="2438"/>
      <c r="X458" s="2438"/>
      <c r="Y458" s="2438"/>
      <c r="Z458" s="2438"/>
      <c r="AA458" s="2438"/>
      <c r="AB458" s="2438"/>
      <c r="AC458" s="2438"/>
      <c r="AD458" s="2438"/>
      <c r="AE458" s="2438"/>
      <c r="AF458" s="710"/>
      <c r="AG458" s="710"/>
      <c r="AH458" s="710"/>
      <c r="AI458" s="710"/>
      <c r="AJ458" s="710"/>
      <c r="AK458" s="710"/>
      <c r="AL458" s="741"/>
      <c r="AM458" s="568"/>
      <c r="AN458" s="595"/>
    </row>
    <row r="459" spans="1:42" s="549" customFormat="1" ht="12.75" customHeight="1">
      <c r="A459" s="536"/>
      <c r="B459" s="14"/>
      <c r="C459" s="747"/>
      <c r="D459" s="726"/>
      <c r="E459" s="715"/>
      <c r="F459" s="2439"/>
      <c r="G459" s="2439"/>
      <c r="H459" s="2439"/>
      <c r="I459" s="2439"/>
      <c r="J459" s="2439"/>
      <c r="K459" s="2439"/>
      <c r="L459" s="2439"/>
      <c r="M459" s="2439"/>
      <c r="N459" s="2439"/>
      <c r="O459" s="2439"/>
      <c r="P459" s="2439"/>
      <c r="Q459" s="2439"/>
      <c r="R459" s="2439"/>
      <c r="S459" s="2439"/>
      <c r="T459" s="2439"/>
      <c r="U459" s="2439"/>
      <c r="V459" s="2439"/>
      <c r="W459" s="2439"/>
      <c r="X459" s="2439"/>
      <c r="Y459" s="2439"/>
      <c r="Z459" s="2439"/>
      <c r="AA459" s="2439"/>
      <c r="AB459" s="2439"/>
      <c r="AC459" s="2439"/>
      <c r="AD459" s="2439"/>
      <c r="AE459" s="2439"/>
      <c r="AF459" s="589"/>
      <c r="AG459" s="589"/>
      <c r="AH459" s="589"/>
      <c r="AI459" s="589"/>
      <c r="AJ459" s="589"/>
      <c r="AK459" s="589"/>
      <c r="AL459" s="716"/>
      <c r="AM459" s="568"/>
      <c r="AN459" s="595"/>
    </row>
    <row r="460" spans="1:42" s="549" customFormat="1" ht="12.75" customHeight="1">
      <c r="A460" s="536"/>
      <c r="B460" s="14"/>
      <c r="C460" s="747"/>
      <c r="D460" s="726"/>
      <c r="E460" s="715"/>
      <c r="F460" s="2439"/>
      <c r="G460" s="2439"/>
      <c r="H460" s="2439"/>
      <c r="I460" s="2439"/>
      <c r="J460" s="2439"/>
      <c r="K460" s="2439"/>
      <c r="L460" s="2439"/>
      <c r="M460" s="2439"/>
      <c r="N460" s="2439"/>
      <c r="O460" s="2439"/>
      <c r="P460" s="2439"/>
      <c r="Q460" s="2439"/>
      <c r="R460" s="2439"/>
      <c r="S460" s="2439"/>
      <c r="T460" s="2439"/>
      <c r="U460" s="2439"/>
      <c r="V460" s="2439"/>
      <c r="W460" s="2439"/>
      <c r="X460" s="2439"/>
      <c r="Y460" s="2439"/>
      <c r="Z460" s="2439"/>
      <c r="AA460" s="2439"/>
      <c r="AB460" s="2439"/>
      <c r="AC460" s="2439"/>
      <c r="AD460" s="2439"/>
      <c r="AE460" s="2439"/>
      <c r="AF460" s="589"/>
      <c r="AG460" s="589"/>
      <c r="AH460" s="589"/>
      <c r="AI460" s="589"/>
      <c r="AJ460" s="589"/>
      <c r="AK460" s="589"/>
      <c r="AL460" s="716"/>
      <c r="AM460" s="568"/>
      <c r="AN460" s="595"/>
    </row>
    <row r="461" spans="1:42" s="549" customFormat="1" ht="12.75" customHeight="1">
      <c r="A461" s="536"/>
      <c r="B461" s="14"/>
      <c r="C461" s="747"/>
      <c r="D461" s="726"/>
      <c r="E461" s="715"/>
      <c r="F461" s="2439"/>
      <c r="G461" s="2439"/>
      <c r="H461" s="2439"/>
      <c r="I461" s="2439"/>
      <c r="J461" s="2439"/>
      <c r="K461" s="2439"/>
      <c r="L461" s="2439"/>
      <c r="M461" s="2439"/>
      <c r="N461" s="2439"/>
      <c r="O461" s="2439"/>
      <c r="P461" s="2439"/>
      <c r="Q461" s="2439"/>
      <c r="R461" s="2439"/>
      <c r="S461" s="2439"/>
      <c r="T461" s="2439"/>
      <c r="U461" s="2439"/>
      <c r="V461" s="2439"/>
      <c r="W461" s="2439"/>
      <c r="X461" s="2439"/>
      <c r="Y461" s="2439"/>
      <c r="Z461" s="2439"/>
      <c r="AA461" s="2439"/>
      <c r="AB461" s="2439"/>
      <c r="AC461" s="2439"/>
      <c r="AD461" s="2439"/>
      <c r="AE461" s="2439"/>
      <c r="AL461" s="728"/>
      <c r="AM461" s="568"/>
      <c r="AN461" s="595"/>
    </row>
    <row r="462" spans="1:42" s="549" customFormat="1" ht="12.75" customHeight="1">
      <c r="A462" s="536"/>
      <c r="B462" s="14"/>
      <c r="C462" s="2463" t="s">
        <v>591</v>
      </c>
      <c r="D462" s="2410"/>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89" t="s">
        <v>1453</v>
      </c>
      <c r="AG462" s="2389"/>
      <c r="AH462" s="2389"/>
      <c r="AI462" s="2389"/>
      <c r="AJ462" s="2389"/>
      <c r="AK462" s="2389"/>
      <c r="AL462" s="2470"/>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48" t="s">
        <v>591</v>
      </c>
      <c r="D466" s="2549"/>
      <c r="E466" s="711" t="s">
        <v>1488</v>
      </c>
      <c r="F466" s="2438" t="s">
        <v>1489</v>
      </c>
      <c r="G466" s="2438"/>
      <c r="H466" s="2438"/>
      <c r="I466" s="2438"/>
      <c r="J466" s="2438"/>
      <c r="K466" s="2438"/>
      <c r="L466" s="2438"/>
      <c r="M466" s="2438"/>
      <c r="N466" s="2438"/>
      <c r="O466" s="2438"/>
      <c r="P466" s="2438"/>
      <c r="Q466" s="2438"/>
      <c r="R466" s="2438"/>
      <c r="S466" s="2438"/>
      <c r="T466" s="2438"/>
      <c r="U466" s="2438"/>
      <c r="V466" s="2438"/>
      <c r="W466" s="2438"/>
      <c r="X466" s="2438"/>
      <c r="Y466" s="2438"/>
      <c r="Z466" s="2438"/>
      <c r="AA466" s="2438"/>
      <c r="AB466" s="2438"/>
      <c r="AC466" s="2438"/>
      <c r="AD466" s="2438"/>
      <c r="AE466" s="2438"/>
      <c r="AF466" s="2466" t="s">
        <v>1453</v>
      </c>
      <c r="AG466" s="2466"/>
      <c r="AH466" s="2466"/>
      <c r="AI466" s="2466"/>
      <c r="AJ466" s="2466"/>
      <c r="AK466" s="2466"/>
      <c r="AL466" s="2467"/>
      <c r="AM466" s="568"/>
      <c r="AN466" s="749"/>
    </row>
    <row r="467" spans="1:40" s="549" customFormat="1" ht="12.75" customHeight="1">
      <c r="A467" s="536"/>
      <c r="B467" s="14"/>
      <c r="C467" s="747"/>
      <c r="D467" s="726"/>
      <c r="E467" s="715"/>
      <c r="F467" s="2439"/>
      <c r="G467" s="2439"/>
      <c r="H467" s="2439"/>
      <c r="I467" s="2439"/>
      <c r="J467" s="2439"/>
      <c r="K467" s="2439"/>
      <c r="L467" s="2439"/>
      <c r="M467" s="2439"/>
      <c r="N467" s="2439"/>
      <c r="O467" s="2439"/>
      <c r="P467" s="2439"/>
      <c r="Q467" s="2439"/>
      <c r="R467" s="2439"/>
      <c r="S467" s="2439"/>
      <c r="T467" s="2439"/>
      <c r="U467" s="2439"/>
      <c r="V467" s="2439"/>
      <c r="W467" s="2439"/>
      <c r="X467" s="2439"/>
      <c r="Y467" s="2439"/>
      <c r="Z467" s="2439"/>
      <c r="AA467" s="2439"/>
      <c r="AB467" s="2439"/>
      <c r="AC467" s="2439"/>
      <c r="AD467" s="2439"/>
      <c r="AE467" s="2439"/>
      <c r="AF467" s="589"/>
      <c r="AG467" s="589"/>
      <c r="AH467" s="589"/>
      <c r="AI467" s="589"/>
      <c r="AJ467" s="589"/>
      <c r="AK467" s="589"/>
      <c r="AL467" s="716"/>
      <c r="AM467" s="568"/>
      <c r="AN467" s="750"/>
    </row>
    <row r="468" spans="1:40" s="549" customFormat="1" ht="17.649999999999999" customHeight="1">
      <c r="A468" s="536"/>
      <c r="B468" s="14"/>
      <c r="C468" s="752"/>
      <c r="D468" s="719"/>
      <c r="E468" s="720"/>
      <c r="F468" s="2440"/>
      <c r="G468" s="2440"/>
      <c r="H468" s="2440"/>
      <c r="I468" s="2440"/>
      <c r="J468" s="2440"/>
      <c r="K468" s="2440"/>
      <c r="L468" s="2440"/>
      <c r="M468" s="2440"/>
      <c r="N468" s="2440"/>
      <c r="O468" s="2440"/>
      <c r="P468" s="2440"/>
      <c r="Q468" s="2440"/>
      <c r="R468" s="2440"/>
      <c r="S468" s="2440"/>
      <c r="T468" s="2440"/>
      <c r="U468" s="2440"/>
      <c r="V468" s="2440"/>
      <c r="W468" s="2440"/>
      <c r="X468" s="2440"/>
      <c r="Y468" s="2440"/>
      <c r="Z468" s="2440"/>
      <c r="AA468" s="2440"/>
      <c r="AB468" s="2440"/>
      <c r="AC468" s="2440"/>
      <c r="AD468" s="2440"/>
      <c r="AE468" s="2440"/>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3" t="s">
        <v>591</v>
      </c>
      <c r="D470" s="2410"/>
      <c r="E470" s="711" t="s">
        <v>1494</v>
      </c>
      <c r="F470" s="2438" t="s">
        <v>1495</v>
      </c>
      <c r="G470" s="2438"/>
      <c r="H470" s="2438"/>
      <c r="I470" s="2438"/>
      <c r="J470" s="2438"/>
      <c r="K470" s="2438"/>
      <c r="L470" s="2438"/>
      <c r="M470" s="2438"/>
      <c r="N470" s="2438"/>
      <c r="O470" s="2438"/>
      <c r="P470" s="2438"/>
      <c r="Q470" s="2438"/>
      <c r="R470" s="2438"/>
      <c r="S470" s="2438"/>
      <c r="T470" s="2438"/>
      <c r="U470" s="2438"/>
      <c r="V470" s="2438"/>
      <c r="W470" s="2438"/>
      <c r="X470" s="2438"/>
      <c r="Y470" s="2438"/>
      <c r="Z470" s="2438"/>
      <c r="AA470" s="2438"/>
      <c r="AB470" s="2438"/>
      <c r="AC470" s="2438"/>
      <c r="AD470" s="2438"/>
      <c r="AE470" s="2438"/>
      <c r="AF470" s="2466" t="s">
        <v>1453</v>
      </c>
      <c r="AG470" s="2466"/>
      <c r="AH470" s="2466"/>
      <c r="AI470" s="2466"/>
      <c r="AJ470" s="2466"/>
      <c r="AK470" s="2466"/>
      <c r="AL470" s="2467"/>
      <c r="AM470" s="568"/>
      <c r="AN470" s="535"/>
    </row>
    <row r="471" spans="1:40" s="549" customFormat="1" ht="12.75" customHeight="1">
      <c r="A471" s="536"/>
      <c r="B471" s="14"/>
      <c r="C471" s="727"/>
      <c r="D471" s="14"/>
      <c r="E471" s="687"/>
      <c r="F471" s="2439"/>
      <c r="G471" s="2439"/>
      <c r="H471" s="2439"/>
      <c r="I471" s="2439"/>
      <c r="J471" s="2439"/>
      <c r="K471" s="2439"/>
      <c r="L471" s="2439"/>
      <c r="M471" s="2439"/>
      <c r="N471" s="2439"/>
      <c r="O471" s="2439"/>
      <c r="P471" s="2439"/>
      <c r="Q471" s="2439"/>
      <c r="R471" s="2439"/>
      <c r="S471" s="2439"/>
      <c r="T471" s="2439"/>
      <c r="U471" s="2439"/>
      <c r="V471" s="2439"/>
      <c r="W471" s="2439"/>
      <c r="X471" s="2439"/>
      <c r="Y471" s="2439"/>
      <c r="Z471" s="2439"/>
      <c r="AA471" s="2439"/>
      <c r="AB471" s="2439"/>
      <c r="AC471" s="2439"/>
      <c r="AD471" s="2439"/>
      <c r="AE471" s="2439"/>
      <c r="AF471" s="539"/>
      <c r="AG471" s="536"/>
      <c r="AL471" s="728"/>
      <c r="AM471" s="568"/>
      <c r="AN471" s="535"/>
    </row>
    <row r="472" spans="1:40" s="549" customFormat="1" ht="12.75" customHeight="1">
      <c r="A472" s="536"/>
      <c r="B472" s="14"/>
      <c r="C472" s="727"/>
      <c r="D472" s="14"/>
      <c r="E472" s="687"/>
      <c r="F472" s="2439"/>
      <c r="G472" s="2439"/>
      <c r="H472" s="2439"/>
      <c r="I472" s="2439"/>
      <c r="J472" s="2439"/>
      <c r="K472" s="2439"/>
      <c r="L472" s="2439"/>
      <c r="M472" s="2439"/>
      <c r="N472" s="2439"/>
      <c r="O472" s="2439"/>
      <c r="P472" s="2439"/>
      <c r="Q472" s="2439"/>
      <c r="R472" s="2439"/>
      <c r="S472" s="2439"/>
      <c r="T472" s="2439"/>
      <c r="U472" s="2439"/>
      <c r="V472" s="2439"/>
      <c r="W472" s="2439"/>
      <c r="X472" s="2439"/>
      <c r="Y472" s="2439"/>
      <c r="Z472" s="2439"/>
      <c r="AA472" s="2439"/>
      <c r="AB472" s="2439"/>
      <c r="AC472" s="2439"/>
      <c r="AD472" s="2439"/>
      <c r="AE472" s="2439"/>
      <c r="AF472" s="539"/>
      <c r="AG472" s="536"/>
      <c r="AL472" s="728"/>
      <c r="AM472" s="568"/>
      <c r="AN472" s="535"/>
    </row>
    <row r="473" spans="1:40" s="549" customFormat="1" ht="12.75" customHeight="1">
      <c r="A473" s="536"/>
      <c r="B473" s="14"/>
      <c r="C473" s="752"/>
      <c r="D473" s="719"/>
      <c r="E473" s="720"/>
      <c r="F473" s="2440"/>
      <c r="G473" s="2440"/>
      <c r="H473" s="2440"/>
      <c r="I473" s="2440"/>
      <c r="J473" s="2440"/>
      <c r="K473" s="2440"/>
      <c r="L473" s="2440"/>
      <c r="M473" s="2440"/>
      <c r="N473" s="2440"/>
      <c r="O473" s="2440"/>
      <c r="P473" s="2440"/>
      <c r="Q473" s="2440"/>
      <c r="R473" s="2440"/>
      <c r="S473" s="2440"/>
      <c r="T473" s="2440"/>
      <c r="U473" s="2440"/>
      <c r="V473" s="2440"/>
      <c r="W473" s="2440"/>
      <c r="X473" s="2440"/>
      <c r="Y473" s="2440"/>
      <c r="Z473" s="2440"/>
      <c r="AA473" s="2440"/>
      <c r="AB473" s="2440"/>
      <c r="AC473" s="2440"/>
      <c r="AD473" s="2440"/>
      <c r="AE473" s="2440"/>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2438" t="s">
        <v>1498</v>
      </c>
      <c r="G475" s="2438"/>
      <c r="H475" s="2438"/>
      <c r="I475" s="2438"/>
      <c r="J475" s="2438"/>
      <c r="K475" s="2438"/>
      <c r="L475" s="2438"/>
      <c r="M475" s="2438"/>
      <c r="N475" s="2438"/>
      <c r="O475" s="2438"/>
      <c r="P475" s="2438"/>
      <c r="Q475" s="2438"/>
      <c r="R475" s="2438"/>
      <c r="S475" s="2438"/>
      <c r="T475" s="2438"/>
      <c r="U475" s="2438"/>
      <c r="V475" s="2438"/>
      <c r="W475" s="2438"/>
      <c r="X475" s="2438"/>
      <c r="Y475" s="2438"/>
      <c r="Z475" s="2438"/>
      <c r="AA475" s="2438"/>
      <c r="AB475" s="2438"/>
      <c r="AC475" s="2438"/>
      <c r="AD475" s="2438"/>
      <c r="AE475" s="2438"/>
      <c r="AF475" s="2438"/>
      <c r="AG475" s="740"/>
      <c r="AH475" s="710"/>
      <c r="AI475" s="710"/>
      <c r="AJ475" s="710"/>
      <c r="AK475" s="710"/>
      <c r="AL475" s="741"/>
      <c r="AM475" s="568"/>
      <c r="AN475" s="595"/>
    </row>
    <row r="476" spans="1:40" s="549" customFormat="1" ht="12.75" customHeight="1">
      <c r="A476" s="536"/>
      <c r="B476" s="14"/>
      <c r="C476" s="727"/>
      <c r="D476" s="14"/>
      <c r="E476" s="687"/>
      <c r="F476" s="2439"/>
      <c r="G476" s="2439"/>
      <c r="H476" s="2439"/>
      <c r="I476" s="2439"/>
      <c r="J476" s="2439"/>
      <c r="K476" s="2439"/>
      <c r="L476" s="2439"/>
      <c r="M476" s="2439"/>
      <c r="N476" s="2439"/>
      <c r="O476" s="2439"/>
      <c r="P476" s="2439"/>
      <c r="Q476" s="2439"/>
      <c r="R476" s="2439"/>
      <c r="S476" s="2439"/>
      <c r="T476" s="2439"/>
      <c r="U476" s="2439"/>
      <c r="V476" s="2439"/>
      <c r="W476" s="2439"/>
      <c r="X476" s="2439"/>
      <c r="Y476" s="2439"/>
      <c r="Z476" s="2439"/>
      <c r="AA476" s="2439"/>
      <c r="AB476" s="2439"/>
      <c r="AC476" s="2439"/>
      <c r="AD476" s="2439"/>
      <c r="AE476" s="2439"/>
      <c r="AF476" s="2439"/>
      <c r="AL476" s="728"/>
      <c r="AM476" s="568"/>
      <c r="AN476" s="595"/>
    </row>
    <row r="477" spans="1:40" s="549" customFormat="1" ht="12.75" customHeight="1">
      <c r="A477" s="536"/>
      <c r="B477" s="14"/>
      <c r="C477" s="735"/>
      <c r="F477" s="2439"/>
      <c r="G477" s="2439"/>
      <c r="H477" s="2439"/>
      <c r="I477" s="2439"/>
      <c r="J477" s="2439"/>
      <c r="K477" s="2439"/>
      <c r="L477" s="2439"/>
      <c r="M477" s="2439"/>
      <c r="N477" s="2439"/>
      <c r="O477" s="2439"/>
      <c r="P477" s="2439"/>
      <c r="Q477" s="2439"/>
      <c r="R477" s="2439"/>
      <c r="S477" s="2439"/>
      <c r="T477" s="2439"/>
      <c r="U477" s="2439"/>
      <c r="V477" s="2439"/>
      <c r="W477" s="2439"/>
      <c r="X477" s="2439"/>
      <c r="Y477" s="2439"/>
      <c r="Z477" s="2439"/>
      <c r="AA477" s="2439"/>
      <c r="AB477" s="2439"/>
      <c r="AC477" s="2439"/>
      <c r="AD477" s="2439"/>
      <c r="AE477" s="2439"/>
      <c r="AF477" s="2439"/>
      <c r="AL477" s="728"/>
      <c r="AM477" s="568"/>
      <c r="AN477" s="595"/>
    </row>
    <row r="478" spans="1:40" s="549" customFormat="1" ht="12.75" customHeight="1">
      <c r="A478" s="536"/>
      <c r="B478" s="14"/>
      <c r="C478" s="735"/>
      <c r="F478" s="2439"/>
      <c r="G478" s="2439"/>
      <c r="H478" s="2439"/>
      <c r="I478" s="2439"/>
      <c r="J478" s="2439"/>
      <c r="K478" s="2439"/>
      <c r="L478" s="2439"/>
      <c r="M478" s="2439"/>
      <c r="N478" s="2439"/>
      <c r="O478" s="2439"/>
      <c r="P478" s="2439"/>
      <c r="Q478" s="2439"/>
      <c r="R478" s="2439"/>
      <c r="S478" s="2439"/>
      <c r="T478" s="2439"/>
      <c r="U478" s="2439"/>
      <c r="V478" s="2439"/>
      <c r="W478" s="2439"/>
      <c r="X478" s="2439"/>
      <c r="Y478" s="2439"/>
      <c r="Z478" s="2439"/>
      <c r="AA478" s="2439"/>
      <c r="AB478" s="2439"/>
      <c r="AC478" s="2439"/>
      <c r="AD478" s="2439"/>
      <c r="AE478" s="2439"/>
      <c r="AF478" s="2439"/>
      <c r="AL478" s="728"/>
      <c r="AM478" s="568"/>
      <c r="AN478" s="595"/>
    </row>
    <row r="479" spans="1:40" s="549" customFormat="1" ht="12.75" customHeight="1">
      <c r="A479" s="536"/>
      <c r="B479" s="14"/>
      <c r="C479" s="2463" t="s">
        <v>591</v>
      </c>
      <c r="D479" s="2410"/>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4" t="s">
        <v>1453</v>
      </c>
      <c r="AG479" s="2464"/>
      <c r="AH479" s="2464"/>
      <c r="AI479" s="2464"/>
      <c r="AJ479" s="2464"/>
      <c r="AK479" s="2464"/>
      <c r="AL479" s="2465"/>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2391">
        <f>IF(Application!D214="N/A",AS371,AS373)</f>
        <v>10</v>
      </c>
      <c r="AL482" s="2437"/>
      <c r="AM482" s="2392"/>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2464" t="s">
        <v>1502</v>
      </c>
      <c r="AF485" s="2464"/>
      <c r="AG485" s="2464"/>
      <c r="AH485" s="2464"/>
      <c r="AI485" s="2464"/>
      <c r="AJ485" s="2464"/>
      <c r="AK485" s="2464"/>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2413" t="s">
        <v>591</v>
      </c>
      <c r="D491" s="2414"/>
      <c r="E491" s="757" t="s">
        <v>507</v>
      </c>
      <c r="F491" s="2449" t="s">
        <v>1508</v>
      </c>
      <c r="G491" s="2449"/>
      <c r="H491" s="2449"/>
      <c r="I491" s="2449"/>
      <c r="J491" s="2449"/>
      <c r="K491" s="2449"/>
      <c r="L491" s="2449"/>
      <c r="M491" s="2449"/>
      <c r="N491" s="2449"/>
      <c r="O491" s="2449"/>
      <c r="P491" s="2449"/>
      <c r="Q491" s="2449"/>
      <c r="R491" s="2449"/>
      <c r="S491" s="2449"/>
      <c r="T491" s="2449"/>
      <c r="U491" s="2449"/>
      <c r="V491" s="2449"/>
      <c r="W491" s="2449"/>
      <c r="X491" s="2449"/>
      <c r="Y491" s="2449"/>
      <c r="Z491" s="2449"/>
      <c r="AA491" s="2449"/>
      <c r="AB491" s="2449"/>
      <c r="AC491" s="2449"/>
      <c r="AD491" s="2449"/>
      <c r="AE491" s="2449"/>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2450"/>
      <c r="G492" s="2450"/>
      <c r="H492" s="2450"/>
      <c r="I492" s="2450"/>
      <c r="J492" s="2450"/>
      <c r="K492" s="2450"/>
      <c r="L492" s="2450"/>
      <c r="M492" s="2450"/>
      <c r="N492" s="2450"/>
      <c r="O492" s="2450"/>
      <c r="P492" s="2450"/>
      <c r="Q492" s="2450"/>
      <c r="R492" s="2450"/>
      <c r="S492" s="2450"/>
      <c r="T492" s="2450"/>
      <c r="U492" s="2450"/>
      <c r="V492" s="2450"/>
      <c r="W492" s="2450"/>
      <c r="X492" s="2450"/>
      <c r="Y492" s="2450"/>
      <c r="Z492" s="2450"/>
      <c r="AA492" s="2450"/>
      <c r="AB492" s="2450"/>
      <c r="AC492" s="2450"/>
      <c r="AD492" s="2450"/>
      <c r="AE492" s="2450"/>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2447" t="s">
        <v>591</v>
      </c>
      <c r="G493" s="2447"/>
      <c r="H493" s="2447"/>
      <c r="I493" s="2447"/>
      <c r="J493" s="2447"/>
      <c r="K493" s="2447"/>
      <c r="L493" s="2447"/>
      <c r="M493" s="2447"/>
      <c r="N493" s="2447"/>
      <c r="O493" s="2447"/>
      <c r="P493" s="2447"/>
      <c r="Q493" s="2447"/>
      <c r="R493" s="2447"/>
      <c r="S493" s="2447"/>
      <c r="T493" s="2447"/>
      <c r="U493" s="2447"/>
      <c r="V493" s="2447"/>
      <c r="W493" s="2447"/>
      <c r="X493" s="2447"/>
      <c r="Y493" s="2447"/>
      <c r="Z493" s="2447"/>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416" t="s">
        <v>545</v>
      </c>
      <c r="D495" s="2417"/>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2446" t="s">
        <v>591</v>
      </c>
      <c r="W498" s="2446"/>
      <c r="X498" s="2446"/>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2446" t="s">
        <v>591</v>
      </c>
      <c r="W500" s="2446"/>
      <c r="X500" s="2446"/>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2446" t="s">
        <v>591</v>
      </c>
      <c r="W505" s="2446"/>
      <c r="X505" s="2446"/>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415"/>
      <c r="E508" s="2415"/>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2446" t="s">
        <v>591</v>
      </c>
      <c r="W509" s="2446"/>
      <c r="X509" s="2446"/>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2446" t="s">
        <v>591</v>
      </c>
      <c r="W511" s="2446"/>
      <c r="X511" s="2446"/>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3" t="s">
        <v>591</v>
      </c>
      <c r="D514" s="2414"/>
      <c r="E514" s="757" t="s">
        <v>507</v>
      </c>
      <c r="F514" s="2449" t="s">
        <v>1508</v>
      </c>
      <c r="G514" s="2449"/>
      <c r="H514" s="2449"/>
      <c r="I514" s="2449"/>
      <c r="J514" s="2449"/>
      <c r="K514" s="2449"/>
      <c r="L514" s="2449"/>
      <c r="M514" s="2449"/>
      <c r="N514" s="2449"/>
      <c r="O514" s="2449"/>
      <c r="P514" s="2449"/>
      <c r="Q514" s="2449"/>
      <c r="R514" s="2449"/>
      <c r="S514" s="2449"/>
      <c r="T514" s="2449"/>
      <c r="U514" s="2449"/>
      <c r="V514" s="2449"/>
      <c r="W514" s="2449"/>
      <c r="X514" s="2449"/>
      <c r="Y514" s="2449"/>
      <c r="Z514" s="2449"/>
      <c r="AA514" s="2449"/>
      <c r="AB514" s="2449"/>
      <c r="AC514" s="2449"/>
      <c r="AD514" s="2449"/>
      <c r="AE514" s="2449"/>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50"/>
      <c r="G515" s="2450"/>
      <c r="H515" s="2450"/>
      <c r="I515" s="2450"/>
      <c r="J515" s="2450"/>
      <c r="K515" s="2450"/>
      <c r="L515" s="2450"/>
      <c r="M515" s="2450"/>
      <c r="N515" s="2450"/>
      <c r="O515" s="2450"/>
      <c r="P515" s="2450"/>
      <c r="Q515" s="2450"/>
      <c r="R515" s="2450"/>
      <c r="S515" s="2450"/>
      <c r="T515" s="2450"/>
      <c r="U515" s="2450"/>
      <c r="V515" s="2450"/>
      <c r="W515" s="2450"/>
      <c r="X515" s="2450"/>
      <c r="Y515" s="2450"/>
      <c r="Z515" s="2450"/>
      <c r="AA515" s="2450"/>
      <c r="AB515" s="2450"/>
      <c r="AC515" s="2450"/>
      <c r="AD515" s="2450"/>
      <c r="AE515" s="2450"/>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2" t="s">
        <v>591</v>
      </c>
      <c r="G516" s="2442"/>
      <c r="H516" s="2442"/>
      <c r="I516" s="2442"/>
      <c r="J516" s="2442"/>
      <c r="K516" s="2442"/>
      <c r="L516" s="2442"/>
      <c r="M516" s="2442"/>
      <c r="N516" s="2442"/>
      <c r="O516" s="2442"/>
      <c r="P516" s="2442"/>
      <c r="Q516" s="2442"/>
      <c r="R516" s="2442"/>
      <c r="S516" s="2442"/>
      <c r="T516" s="2442"/>
      <c r="U516" s="2442"/>
      <c r="V516" s="2442"/>
      <c r="W516" s="2442"/>
      <c r="X516" s="2442"/>
      <c r="Y516" s="2442"/>
      <c r="Z516" s="2442"/>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3" t="s">
        <v>591</v>
      </c>
      <c r="D518" s="2414"/>
      <c r="E518" s="757" t="s">
        <v>757</v>
      </c>
      <c r="F518" s="2443" t="s">
        <v>1530</v>
      </c>
      <c r="G518" s="2443"/>
      <c r="H518" s="2443"/>
      <c r="I518" s="2443"/>
      <c r="J518" s="2443"/>
      <c r="K518" s="2443"/>
      <c r="L518" s="2443"/>
      <c r="M518" s="2443"/>
      <c r="N518" s="2443"/>
      <c r="O518" s="2443"/>
      <c r="P518" s="2443"/>
      <c r="Q518" s="2443"/>
      <c r="R518" s="2443"/>
      <c r="S518" s="2443"/>
      <c r="T518" s="2443"/>
      <c r="U518" s="2443"/>
      <c r="V518" s="2443"/>
      <c r="W518" s="2443"/>
      <c r="X518" s="2443"/>
      <c r="Y518" s="2443"/>
      <c r="Z518" s="2443"/>
      <c r="AA518" s="2443"/>
      <c r="AB518" s="2443"/>
      <c r="AC518" s="2443"/>
      <c r="AD518" s="2443"/>
      <c r="AE518" s="2443"/>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4"/>
      <c r="G519" s="2444"/>
      <c r="H519" s="2444"/>
      <c r="I519" s="2444"/>
      <c r="J519" s="2444"/>
      <c r="K519" s="2444"/>
      <c r="L519" s="2444"/>
      <c r="M519" s="2444"/>
      <c r="N519" s="2444"/>
      <c r="O519" s="2444"/>
      <c r="P519" s="2444"/>
      <c r="Q519" s="2444"/>
      <c r="R519" s="2444"/>
      <c r="S519" s="2444"/>
      <c r="T519" s="2444"/>
      <c r="U519" s="2444"/>
      <c r="V519" s="2444"/>
      <c r="W519" s="2444"/>
      <c r="X519" s="2444"/>
      <c r="Y519" s="2444"/>
      <c r="Z519" s="2444"/>
      <c r="AA519" s="2444"/>
      <c r="AB519" s="2444"/>
      <c r="AC519" s="2444"/>
      <c r="AD519" s="2444"/>
      <c r="AE519" s="2444"/>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45" t="s">
        <v>591</v>
      </c>
      <c r="G521" s="2445"/>
      <c r="H521" s="2445"/>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13" t="s">
        <v>591</v>
      </c>
      <c r="D523" s="2414"/>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71"/>
      <c r="D525" s="2415"/>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2" t="s">
        <v>591</v>
      </c>
      <c r="H526" s="2472"/>
      <c r="I526" s="2472"/>
      <c r="J526" s="2472"/>
      <c r="K526" s="2472"/>
      <c r="L526" s="2472"/>
      <c r="M526" s="2472"/>
      <c r="N526" s="2472"/>
      <c r="O526" s="2472"/>
      <c r="P526" s="2472"/>
      <c r="Q526" s="2472"/>
      <c r="R526" s="2472"/>
      <c r="S526" s="2472"/>
      <c r="T526" s="2472"/>
      <c r="U526" s="2472"/>
      <c r="V526" s="2472"/>
      <c r="W526" s="2472"/>
      <c r="X526" s="2472"/>
      <c r="Y526" s="2472"/>
      <c r="Z526" s="2472"/>
      <c r="AA526" s="2472"/>
      <c r="AB526" s="2472"/>
      <c r="AC526" s="2472"/>
      <c r="AD526" s="2472"/>
      <c r="AE526" s="2472"/>
      <c r="AF526" s="2472"/>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3" t="s">
        <v>591</v>
      </c>
      <c r="D528" s="2474"/>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3" t="s">
        <v>591</v>
      </c>
      <c r="D532" s="2474"/>
      <c r="F532" s="791" t="s">
        <v>1538</v>
      </c>
      <c r="G532" s="2439" t="s">
        <v>1539</v>
      </c>
      <c r="H532" s="2439"/>
      <c r="I532" s="2439"/>
      <c r="J532" s="2439"/>
      <c r="K532" s="2439"/>
      <c r="L532" s="2439"/>
      <c r="M532" s="2439"/>
      <c r="N532" s="2439"/>
      <c r="O532" s="2439"/>
      <c r="P532" s="2439"/>
      <c r="Q532" s="2439"/>
      <c r="R532" s="2439"/>
      <c r="S532" s="2439"/>
      <c r="T532" s="2439"/>
      <c r="U532" s="2439"/>
      <c r="V532" s="2439"/>
      <c r="W532" s="2439"/>
      <c r="X532" s="2439"/>
      <c r="Y532" s="2439"/>
      <c r="Z532" s="2439"/>
      <c r="AA532" s="2439"/>
      <c r="AB532" s="2439"/>
      <c r="AC532" s="2439"/>
      <c r="AD532" s="2439"/>
      <c r="AE532" s="2439"/>
      <c r="AF532" s="2439"/>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40"/>
      <c r="H533" s="2440"/>
      <c r="I533" s="2440"/>
      <c r="J533" s="2440"/>
      <c r="K533" s="2440"/>
      <c r="L533" s="2440"/>
      <c r="M533" s="2440"/>
      <c r="N533" s="2440"/>
      <c r="O533" s="2440"/>
      <c r="P533" s="2440"/>
      <c r="Q533" s="2440"/>
      <c r="R533" s="2440"/>
      <c r="S533" s="2440"/>
      <c r="T533" s="2440"/>
      <c r="U533" s="2440"/>
      <c r="V533" s="2440"/>
      <c r="W533" s="2440"/>
      <c r="X533" s="2440"/>
      <c r="Y533" s="2440"/>
      <c r="Z533" s="2440"/>
      <c r="AA533" s="2440"/>
      <c r="AB533" s="2440"/>
      <c r="AC533" s="2440"/>
      <c r="AD533" s="2440"/>
      <c r="AE533" s="2440"/>
      <c r="AF533" s="2440"/>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5" t="s">
        <v>591</v>
      </c>
      <c r="D536" s="2476"/>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77" t="s">
        <v>591</v>
      </c>
      <c r="G537" s="2477"/>
      <c r="H537" s="2477"/>
      <c r="I537" s="2477"/>
      <c r="J537" s="2477"/>
      <c r="K537" s="2477"/>
      <c r="L537" s="2477"/>
      <c r="M537" s="2477"/>
      <c r="N537" s="2477"/>
      <c r="O537" s="2477"/>
      <c r="P537" s="2477"/>
      <c r="Q537" s="2477"/>
      <c r="R537" s="2477"/>
      <c r="S537" s="2477"/>
      <c r="T537" s="2477"/>
      <c r="U537" s="2477"/>
      <c r="V537" s="2477"/>
      <c r="W537" s="2477"/>
      <c r="X537" s="2477"/>
      <c r="Y537" s="2477"/>
      <c r="Z537" s="2477"/>
      <c r="AA537" s="2477"/>
      <c r="AB537" s="2477"/>
      <c r="AC537" s="2477"/>
      <c r="AD537" s="2477"/>
      <c r="AE537" s="2477"/>
      <c r="AF537" s="2477"/>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78"/>
      <c r="G538" s="2478"/>
      <c r="H538" s="2478"/>
      <c r="I538" s="2478"/>
      <c r="J538" s="2478"/>
      <c r="K538" s="2478"/>
      <c r="L538" s="2478"/>
      <c r="M538" s="2478"/>
      <c r="N538" s="2478"/>
      <c r="O538" s="2478"/>
      <c r="P538" s="2478"/>
      <c r="Q538" s="2478"/>
      <c r="R538" s="2478"/>
      <c r="S538" s="2478"/>
      <c r="T538" s="2478"/>
      <c r="U538" s="2478"/>
      <c r="V538" s="2478"/>
      <c r="W538" s="2478"/>
      <c r="X538" s="2478"/>
      <c r="Y538" s="2478"/>
      <c r="Z538" s="2478"/>
      <c r="AA538" s="2478"/>
      <c r="AB538" s="2478"/>
      <c r="AC538" s="2478"/>
      <c r="AD538" s="2478"/>
      <c r="AE538" s="2478"/>
      <c r="AF538" s="2478"/>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1990</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1991</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2391">
        <f>SUM(AG492:AG537)</f>
        <v>0</v>
      </c>
      <c r="AL548" s="2437"/>
      <c r="AM548" s="2392"/>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48" t="s">
        <v>1551</v>
      </c>
      <c r="AF551" s="2448"/>
      <c r="AG551" s="2448"/>
      <c r="AH551" s="2448"/>
      <c r="AI551" s="2448"/>
      <c r="AJ551" s="2448"/>
      <c r="AK551" s="2448"/>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10" t="s">
        <v>545</v>
      </c>
      <c r="D554" s="2410"/>
      <c r="E554" s="550"/>
      <c r="F554" s="2550" t="s">
        <v>1552</v>
      </c>
      <c r="G554" s="2551"/>
      <c r="H554" s="2551"/>
      <c r="I554" s="2551"/>
      <c r="J554" s="2551"/>
      <c r="K554" s="2551"/>
      <c r="L554" s="2551"/>
      <c r="M554" s="2551"/>
      <c r="N554" s="2551"/>
      <c r="O554" s="2551"/>
      <c r="P554" s="2551"/>
      <c r="Q554" s="2551"/>
      <c r="R554" s="2551"/>
      <c r="S554" s="2551"/>
      <c r="T554" s="2551"/>
      <c r="U554" s="2551"/>
      <c r="V554" s="2551"/>
      <c r="W554" s="2551"/>
      <c r="X554" s="2551"/>
      <c r="Y554" s="2551"/>
      <c r="Z554" s="2551"/>
      <c r="AA554" s="2551"/>
      <c r="AB554" s="2551"/>
      <c r="AC554" s="2551"/>
      <c r="AD554" s="2551"/>
      <c r="AE554" s="2551"/>
      <c r="AF554" s="2551"/>
      <c r="AG554" s="2551"/>
      <c r="AH554" s="2551"/>
      <c r="AI554" s="2551"/>
      <c r="AJ554" s="2551"/>
      <c r="AK554" s="2551"/>
      <c r="AL554" s="2552"/>
      <c r="AM554" s="593"/>
      <c r="AN554" s="595"/>
    </row>
    <row r="555" spans="1:81" s="549" customFormat="1" ht="12.75" customHeight="1">
      <c r="B555" s="539"/>
      <c r="C555" s="550"/>
      <c r="D555" s="550"/>
      <c r="E555" s="550"/>
      <c r="F555" s="2553"/>
      <c r="G555" s="2554"/>
      <c r="H555" s="2554"/>
      <c r="I555" s="2554"/>
      <c r="J555" s="2554"/>
      <c r="K555" s="2554"/>
      <c r="L555" s="2554"/>
      <c r="M555" s="2554"/>
      <c r="N555" s="2554"/>
      <c r="O555" s="2554"/>
      <c r="P555" s="2554"/>
      <c r="Q555" s="2554"/>
      <c r="R555" s="2554"/>
      <c r="S555" s="2554"/>
      <c r="T555" s="2554"/>
      <c r="U555" s="2554"/>
      <c r="V555" s="2554"/>
      <c r="W555" s="2554"/>
      <c r="X555" s="2554"/>
      <c r="Y555" s="2554"/>
      <c r="Z555" s="2554"/>
      <c r="AA555" s="2554"/>
      <c r="AB555" s="2554"/>
      <c r="AC555" s="2554"/>
      <c r="AD555" s="2554"/>
      <c r="AE555" s="2554"/>
      <c r="AF555" s="2554"/>
      <c r="AG555" s="2554"/>
      <c r="AH555" s="2554"/>
      <c r="AI555" s="2554"/>
      <c r="AJ555" s="2554"/>
      <c r="AK555" s="2554"/>
      <c r="AL555" s="2555"/>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10" t="s">
        <v>591</v>
      </c>
      <c r="D557" s="2410"/>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30" t="s">
        <v>2630</v>
      </c>
      <c r="G558" s="2388"/>
      <c r="H558" s="2388"/>
      <c r="I558" s="2388"/>
      <c r="J558" s="2388"/>
      <c r="K558" s="2388"/>
      <c r="L558" s="2388"/>
      <c r="M558" s="2388"/>
      <c r="N558" s="2388"/>
      <c r="O558" s="2388"/>
      <c r="P558" s="2388"/>
      <c r="Q558" s="2388"/>
      <c r="R558" s="2388"/>
      <c r="S558" s="2388"/>
      <c r="T558" s="2388"/>
      <c r="U558" s="2388"/>
      <c r="V558" s="2388"/>
      <c r="W558" s="2388"/>
      <c r="X558" s="2388"/>
      <c r="Y558" s="2388"/>
      <c r="Z558" s="2388"/>
      <c r="AA558" s="2388"/>
      <c r="AB558" s="2388"/>
      <c r="AC558" s="2388"/>
      <c r="AD558" s="2388"/>
      <c r="AE558" s="2388"/>
      <c r="AF558" s="2388"/>
      <c r="AG558" s="2388"/>
      <c r="AH558" s="2388"/>
      <c r="AI558" s="2388"/>
      <c r="AJ558" s="2388"/>
      <c r="AK558" s="2388"/>
      <c r="AL558" s="2431"/>
      <c r="AM558" s="593"/>
      <c r="AN558" s="595"/>
      <c r="AS558" s="866"/>
      <c r="AT558" s="866"/>
      <c r="AU558" s="866"/>
      <c r="AV558" s="866"/>
      <c r="AW558" s="866"/>
    </row>
    <row r="559" spans="1:81" s="549" customFormat="1" ht="12.75" customHeight="1">
      <c r="B559" s="802"/>
      <c r="C559" s="802"/>
      <c r="D559" s="802"/>
      <c r="E559" s="802"/>
      <c r="F559" s="2430"/>
      <c r="G559" s="2388"/>
      <c r="H559" s="2388"/>
      <c r="I559" s="2388"/>
      <c r="J559" s="2388"/>
      <c r="K559" s="2388"/>
      <c r="L559" s="2388"/>
      <c r="M559" s="2388"/>
      <c r="N559" s="2388"/>
      <c r="O559" s="2388"/>
      <c r="P559" s="2388"/>
      <c r="Q559" s="2388"/>
      <c r="R559" s="2388"/>
      <c r="S559" s="2388"/>
      <c r="T559" s="2388"/>
      <c r="U559" s="2388"/>
      <c r="V559" s="2388"/>
      <c r="W559" s="2388"/>
      <c r="X559" s="2388"/>
      <c r="Y559" s="2388"/>
      <c r="Z559" s="2388"/>
      <c r="AA559" s="2388"/>
      <c r="AB559" s="2388"/>
      <c r="AC559" s="2388"/>
      <c r="AD559" s="2388"/>
      <c r="AE559" s="2388"/>
      <c r="AF559" s="2388"/>
      <c r="AG559" s="2388"/>
      <c r="AH559" s="2388"/>
      <c r="AI559" s="2388"/>
      <c r="AJ559" s="2388"/>
      <c r="AK559" s="2388"/>
      <c r="AL559" s="2431"/>
      <c r="AM559" s="593"/>
      <c r="AN559" s="595"/>
    </row>
    <row r="560" spans="1:81" s="549" customFormat="1" ht="12.75" customHeight="1">
      <c r="B560" s="802"/>
      <c r="C560" s="802"/>
      <c r="D560" s="802"/>
      <c r="E560" s="802"/>
      <c r="F560" s="807" t="s">
        <v>1992</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30" t="s">
        <v>1554</v>
      </c>
      <c r="G561" s="2388"/>
      <c r="H561" s="2388"/>
      <c r="I561" s="2388"/>
      <c r="J561" s="2388"/>
      <c r="K561" s="2388"/>
      <c r="L561" s="2388"/>
      <c r="M561" s="2388"/>
      <c r="N561" s="2388"/>
      <c r="O561" s="2388"/>
      <c r="P561" s="2388"/>
      <c r="Q561" s="2388"/>
      <c r="R561" s="2388"/>
      <c r="S561" s="2388"/>
      <c r="T561" s="2388"/>
      <c r="U561" s="2388"/>
      <c r="V561" s="2388"/>
      <c r="W561" s="2388"/>
      <c r="X561" s="2388"/>
      <c r="Y561" s="2388"/>
      <c r="Z561" s="2388"/>
      <c r="AA561" s="2388"/>
      <c r="AB561" s="2388"/>
      <c r="AC561" s="2388"/>
      <c r="AD561" s="2388"/>
      <c r="AE561" s="2388"/>
      <c r="AF561" s="2388"/>
      <c r="AG561" s="2388"/>
      <c r="AH561" s="2388"/>
      <c r="AI561" s="2388"/>
      <c r="AJ561" s="2388"/>
      <c r="AK561" s="2388"/>
      <c r="AL561" s="809"/>
      <c r="AM561" s="593"/>
      <c r="AN561" s="595"/>
    </row>
    <row r="562" spans="1:45" s="549" customFormat="1" ht="12.75" customHeight="1">
      <c r="B562" s="802"/>
      <c r="C562" s="802"/>
      <c r="D562" s="802"/>
      <c r="E562" s="802"/>
      <c r="F562" s="2432"/>
      <c r="G562" s="2433"/>
      <c r="H562" s="2433"/>
      <c r="I562" s="2433"/>
      <c r="J562" s="2433"/>
      <c r="K562" s="2433"/>
      <c r="L562" s="2433"/>
      <c r="M562" s="2433"/>
      <c r="N562" s="2433"/>
      <c r="O562" s="2433"/>
      <c r="P562" s="2433"/>
      <c r="Q562" s="2433"/>
      <c r="R562" s="2433"/>
      <c r="S562" s="2433"/>
      <c r="T562" s="2433"/>
      <c r="U562" s="2433"/>
      <c r="V562" s="2433"/>
      <c r="W562" s="2433"/>
      <c r="X562" s="2433"/>
      <c r="Y562" s="2433"/>
      <c r="Z562" s="2433"/>
      <c r="AA562" s="2433"/>
      <c r="AB562" s="2433"/>
      <c r="AC562" s="2433"/>
      <c r="AD562" s="2433"/>
      <c r="AE562" s="2433"/>
      <c r="AF562" s="2433"/>
      <c r="AG562" s="2433"/>
      <c r="AH562" s="2433"/>
      <c r="AI562" s="2433"/>
      <c r="AJ562" s="2433"/>
      <c r="AK562" s="2433"/>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29">
        <f>Application!AJ1001</f>
        <v>87669176</v>
      </c>
      <c r="AQ563" s="2429"/>
      <c r="AR563" s="2429"/>
      <c r="AS563" s="549" t="s">
        <v>2125</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4">
        <f>'Sources and Uses Budget'!S107+'Sources and Uses Budget'!T107</f>
        <v>55153354</v>
      </c>
      <c r="AG564" s="2434"/>
      <c r="AH564" s="2434"/>
      <c r="AI564" s="2434"/>
      <c r="AJ564" s="2434"/>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5">
        <f>IFERROR(AP572,0)</f>
        <v>127120304.8</v>
      </c>
      <c r="AG565" s="2435"/>
      <c r="AH565" s="2435"/>
      <c r="AI565" s="2435"/>
      <c r="AJ565" s="2435"/>
      <c r="AK565" s="593"/>
      <c r="AL565" s="593"/>
      <c r="AM565" s="593"/>
      <c r="AN565" s="595"/>
      <c r="AP565" s="2429">
        <f>Application!AJ1054</f>
        <v>8766917.5999999996</v>
      </c>
      <c r="AQ565" s="2429"/>
      <c r="AR565" s="2429"/>
      <c r="AS565" s="549" t="s">
        <v>1839</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6">
        <f>IFERROR(ROUNDDOWN(IF(C557="YES",((1-(AF564/AF565))*2),(1-(AF564/AF565))),2),0)</f>
        <v>0.56000000000000005</v>
      </c>
      <c r="AG566" s="2436"/>
      <c r="AH566" s="2436"/>
      <c r="AI566" s="2436"/>
      <c r="AJ566" s="2436"/>
      <c r="AK566" s="593"/>
      <c r="AL566" s="593"/>
      <c r="AM566" s="593"/>
      <c r="AN566" s="595"/>
      <c r="AP566" s="2427">
        <f>Application!AJ1058</f>
        <v>17533835.199999999</v>
      </c>
      <c r="AQ566" s="2427"/>
      <c r="AR566" s="2427"/>
      <c r="AS566" s="549" t="s">
        <v>2126</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57">
        <f>IF(((AP565+AP566)/AP563)&gt;0.8,0.8,((AP565+AP566)/AP563))</f>
        <v>0.3</v>
      </c>
      <c r="AQ567" s="2457"/>
      <c r="AR567" s="2457"/>
      <c r="AS567" s="549" t="s">
        <v>2127</v>
      </c>
    </row>
    <row r="568" spans="1:45" s="549" customFormat="1" ht="12.75" customHeight="1">
      <c r="A568" s="622"/>
      <c r="B568" s="2507" t="s">
        <v>1993</v>
      </c>
      <c r="C568" s="2508"/>
      <c r="D568" s="2508"/>
      <c r="E568" s="2508"/>
      <c r="F568" s="2508"/>
      <c r="G568" s="2508"/>
      <c r="H568" s="2508"/>
      <c r="I568" s="2508"/>
      <c r="J568" s="2508"/>
      <c r="K568" s="2508"/>
      <c r="L568" s="2508"/>
      <c r="M568" s="2508"/>
      <c r="N568" s="2508"/>
      <c r="O568" s="2508"/>
      <c r="P568" s="2508"/>
      <c r="Q568" s="2508"/>
      <c r="R568" s="2508"/>
      <c r="S568" s="2508"/>
      <c r="T568" s="2508"/>
      <c r="U568" s="2508"/>
      <c r="V568" s="2508"/>
      <c r="W568" s="2508"/>
      <c r="X568" s="2508"/>
      <c r="Y568" s="2508"/>
      <c r="Z568" s="2508"/>
      <c r="AA568" s="2508"/>
      <c r="AB568" s="2508"/>
      <c r="AC568" s="2508"/>
      <c r="AD568" s="2508"/>
      <c r="AE568" s="2508"/>
      <c r="AF568" s="2508"/>
      <c r="AG568" s="2508"/>
      <c r="AH568" s="2508"/>
      <c r="AI568" s="2508"/>
      <c r="AJ568" s="2509"/>
      <c r="AK568" s="593"/>
      <c r="AL568" s="593"/>
      <c r="AM568" s="593"/>
      <c r="AN568" s="595"/>
    </row>
    <row r="569" spans="1:45" s="549" customFormat="1" ht="12.75" customHeight="1">
      <c r="A569" s="622"/>
      <c r="B569" s="2510"/>
      <c r="C569" s="2511"/>
      <c r="D569" s="2511"/>
      <c r="E569" s="2511"/>
      <c r="F569" s="2511"/>
      <c r="G569" s="2511"/>
      <c r="H569" s="2511"/>
      <c r="I569" s="2511"/>
      <c r="J569" s="2511"/>
      <c r="K569" s="2511"/>
      <c r="L569" s="2511"/>
      <c r="M569" s="2511"/>
      <c r="N569" s="2511"/>
      <c r="O569" s="2511"/>
      <c r="P569" s="2511"/>
      <c r="Q569" s="2511"/>
      <c r="R569" s="2511"/>
      <c r="S569" s="2511"/>
      <c r="T569" s="2511"/>
      <c r="U569" s="2511"/>
      <c r="V569" s="2511"/>
      <c r="W569" s="2511"/>
      <c r="X569" s="2511"/>
      <c r="Y569" s="2511"/>
      <c r="Z569" s="2511"/>
      <c r="AA569" s="2511"/>
      <c r="AB569" s="2511"/>
      <c r="AC569" s="2511"/>
      <c r="AD569" s="2511"/>
      <c r="AE569" s="2511"/>
      <c r="AF569" s="2511"/>
      <c r="AG569" s="2511"/>
      <c r="AH569" s="2511"/>
      <c r="AI569" s="2511"/>
      <c r="AJ569" s="2512"/>
      <c r="AK569" s="593"/>
      <c r="AL569" s="593"/>
      <c r="AM569" s="593"/>
      <c r="AN569" s="595"/>
      <c r="AP569" s="2429">
        <f>AP570-AP565-AP566</f>
        <v>100819552</v>
      </c>
      <c r="AQ569" s="2458"/>
      <c r="AR569" s="2458"/>
      <c r="AS569" s="549" t="s">
        <v>2129</v>
      </c>
    </row>
    <row r="570" spans="1:45" s="549" customFormat="1" ht="12.75" customHeight="1">
      <c r="A570" s="622"/>
      <c r="B570" s="2513"/>
      <c r="C570" s="2514"/>
      <c r="D570" s="2514"/>
      <c r="E570" s="2514"/>
      <c r="F570" s="2514"/>
      <c r="G570" s="2514"/>
      <c r="H570" s="2514"/>
      <c r="I570" s="2514"/>
      <c r="J570" s="2514"/>
      <c r="K570" s="2514"/>
      <c r="L570" s="2514"/>
      <c r="M570" s="2514"/>
      <c r="N570" s="2514"/>
      <c r="O570" s="2514"/>
      <c r="P570" s="2514"/>
      <c r="Q570" s="2514"/>
      <c r="R570" s="2514"/>
      <c r="S570" s="2514"/>
      <c r="T570" s="2514"/>
      <c r="U570" s="2514"/>
      <c r="V570" s="2514"/>
      <c r="W570" s="2514"/>
      <c r="X570" s="2514"/>
      <c r="Y570" s="2514"/>
      <c r="Z570" s="2514"/>
      <c r="AA570" s="2514"/>
      <c r="AB570" s="2514"/>
      <c r="AC570" s="2514"/>
      <c r="AD570" s="2514"/>
      <c r="AE570" s="2514"/>
      <c r="AF570" s="2514"/>
      <c r="AG570" s="2514"/>
      <c r="AH570" s="2514"/>
      <c r="AI570" s="2514"/>
      <c r="AJ570" s="2515"/>
      <c r="AK570" s="593"/>
      <c r="AL570" s="593"/>
      <c r="AM570" s="593"/>
      <c r="AN570" s="595"/>
      <c r="AP570" s="2429">
        <f>Application!AJ1062</f>
        <v>127120304.8</v>
      </c>
      <c r="AQ570" s="2429"/>
      <c r="AR570" s="2429"/>
      <c r="AS570" s="549" t="s">
        <v>2128</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2516">
        <f>IFERROR(IF(AND(C554="N/A",C557="N/A"),0,IF(AF566=0,0,IF((AF566*100)&gt;12,12,(AF566*100)))),0)</f>
        <v>12</v>
      </c>
      <c r="AL572" s="2516"/>
      <c r="AM572" s="2517"/>
      <c r="AN572" s="595"/>
      <c r="AP572" s="2418">
        <f>AP569+(AP563*AP567)</f>
        <v>127120304.8</v>
      </c>
      <c r="AQ572" s="2419"/>
      <c r="AR572" s="2420"/>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2573</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48" t="s">
        <v>1308</v>
      </c>
      <c r="AF575" s="2448"/>
      <c r="AG575" s="2448"/>
      <c r="AH575" s="2448"/>
      <c r="AI575" s="2448"/>
      <c r="AJ575" s="2448"/>
      <c r="AK575" s="2448"/>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88" t="s">
        <v>1985</v>
      </c>
      <c r="C577" s="2388"/>
      <c r="D577" s="2388"/>
      <c r="E577" s="2388"/>
      <c r="F577" s="2388"/>
      <c r="G577" s="2388"/>
      <c r="H577" s="2388"/>
      <c r="I577" s="2388"/>
      <c r="J577" s="2388"/>
      <c r="K577" s="2388"/>
      <c r="L577" s="2388"/>
      <c r="M577" s="2388"/>
      <c r="N577" s="2388"/>
      <c r="O577" s="2388"/>
      <c r="P577" s="2388"/>
      <c r="Q577" s="2388"/>
      <c r="R577" s="2388"/>
      <c r="S577" s="2388"/>
      <c r="T577" s="2388"/>
      <c r="U577" s="2388"/>
      <c r="V577" s="2388"/>
      <c r="W577" s="2388"/>
      <c r="X577" s="2388"/>
      <c r="Y577" s="2388"/>
      <c r="Z577" s="2388"/>
      <c r="AA577" s="2388"/>
      <c r="AB577" s="2388"/>
      <c r="AC577" s="2388"/>
      <c r="AD577" s="2388"/>
      <c r="AE577" s="2388"/>
      <c r="AF577" s="2388"/>
      <c r="AG577" s="2388"/>
      <c r="AH577" s="2388"/>
      <c r="AI577" s="2388"/>
      <c r="AJ577" s="2388"/>
      <c r="AK577" s="640"/>
      <c r="AL577" s="571"/>
      <c r="AM577" s="601"/>
      <c r="AN577" s="595"/>
    </row>
    <row r="578" spans="1:42" s="549" customFormat="1" ht="12.75" customHeight="1">
      <c r="A578" s="601"/>
      <c r="B578" s="2388"/>
      <c r="C578" s="2388"/>
      <c r="D578" s="2388"/>
      <c r="E578" s="2388"/>
      <c r="F578" s="2388"/>
      <c r="G578" s="2388"/>
      <c r="H578" s="2388"/>
      <c r="I578" s="2388"/>
      <c r="J578" s="2388"/>
      <c r="K578" s="2388"/>
      <c r="L578" s="2388"/>
      <c r="M578" s="2388"/>
      <c r="N578" s="2388"/>
      <c r="O578" s="2388"/>
      <c r="P578" s="2388"/>
      <c r="Q578" s="2388"/>
      <c r="R578" s="2388"/>
      <c r="S578" s="2388"/>
      <c r="T578" s="2388"/>
      <c r="U578" s="2388"/>
      <c r="V578" s="2388"/>
      <c r="W578" s="2388"/>
      <c r="X578" s="2388"/>
      <c r="Y578" s="2388"/>
      <c r="Z578" s="2388"/>
      <c r="AA578" s="2388"/>
      <c r="AB578" s="2388"/>
      <c r="AC578" s="2388"/>
      <c r="AD578" s="2388"/>
      <c r="AE578" s="2388"/>
      <c r="AF578" s="2388"/>
      <c r="AG578" s="2388"/>
      <c r="AH578" s="2388"/>
      <c r="AI578" s="2388"/>
      <c r="AJ578" s="2388"/>
      <c r="AK578" s="640"/>
      <c r="AL578" s="571"/>
      <c r="AM578" s="601"/>
      <c r="AN578" s="595"/>
    </row>
    <row r="579" spans="1:42" s="549" customFormat="1" ht="12.75" customHeight="1">
      <c r="A579" s="601"/>
      <c r="B579" s="2388"/>
      <c r="C579" s="2388"/>
      <c r="D579" s="2388"/>
      <c r="E579" s="2388"/>
      <c r="F579" s="2388"/>
      <c r="G579" s="2388"/>
      <c r="H579" s="2388"/>
      <c r="I579" s="2388"/>
      <c r="J579" s="2388"/>
      <c r="K579" s="2388"/>
      <c r="L579" s="2388"/>
      <c r="M579" s="2388"/>
      <c r="N579" s="2388"/>
      <c r="O579" s="2388"/>
      <c r="P579" s="2388"/>
      <c r="Q579" s="2388"/>
      <c r="R579" s="2388"/>
      <c r="S579" s="2388"/>
      <c r="T579" s="2388"/>
      <c r="U579" s="2388"/>
      <c r="V579" s="2388"/>
      <c r="W579" s="2388"/>
      <c r="X579" s="2388"/>
      <c r="Y579" s="2388"/>
      <c r="Z579" s="2388"/>
      <c r="AA579" s="2388"/>
      <c r="AB579" s="2388"/>
      <c r="AC579" s="2388"/>
      <c r="AD579" s="2388"/>
      <c r="AE579" s="2388"/>
      <c r="AF579" s="2388"/>
      <c r="AG579" s="2388"/>
      <c r="AH579" s="2388"/>
      <c r="AI579" s="2388"/>
      <c r="AJ579" s="2388"/>
      <c r="AK579" s="640"/>
      <c r="AL579" s="571"/>
      <c r="AM579" s="601"/>
      <c r="AN579" s="595"/>
    </row>
    <row r="580" spans="1:42" s="549" customFormat="1" ht="12.75" customHeight="1">
      <c r="A580" s="601"/>
      <c r="B580" s="2388"/>
      <c r="C580" s="2388"/>
      <c r="D580" s="2388"/>
      <c r="E580" s="2388"/>
      <c r="F580" s="2388"/>
      <c r="G580" s="2388"/>
      <c r="H580" s="2388"/>
      <c r="I580" s="2388"/>
      <c r="J580" s="2388"/>
      <c r="K580" s="2388"/>
      <c r="L580" s="2388"/>
      <c r="M580" s="2388"/>
      <c r="N580" s="2388"/>
      <c r="O580" s="2388"/>
      <c r="P580" s="2388"/>
      <c r="Q580" s="2388"/>
      <c r="R580" s="2388"/>
      <c r="S580" s="2388"/>
      <c r="T580" s="2388"/>
      <c r="U580" s="2388"/>
      <c r="V580" s="2388"/>
      <c r="W580" s="2388"/>
      <c r="X580" s="2388"/>
      <c r="Y580" s="2388"/>
      <c r="Z580" s="2388"/>
      <c r="AA580" s="2388"/>
      <c r="AB580" s="2388"/>
      <c r="AC580" s="2388"/>
      <c r="AD580" s="2388"/>
      <c r="AE580" s="2388"/>
      <c r="AF580" s="2388"/>
      <c r="AG580" s="2388"/>
      <c r="AH580" s="2388"/>
      <c r="AI580" s="2388"/>
      <c r="AJ580" s="2388"/>
      <c r="AK580" s="640"/>
      <c r="AL580" s="571"/>
      <c r="AM580" s="601"/>
      <c r="AN580" s="595"/>
    </row>
    <row r="581" spans="1:42" s="549" customFormat="1" ht="12.75" customHeight="1">
      <c r="A581" s="601"/>
      <c r="B581" s="2388"/>
      <c r="C581" s="2388"/>
      <c r="D581" s="2388"/>
      <c r="E581" s="2388"/>
      <c r="F581" s="2388"/>
      <c r="G581" s="2388"/>
      <c r="H581" s="2388"/>
      <c r="I581" s="2388"/>
      <c r="J581" s="2388"/>
      <c r="K581" s="2388"/>
      <c r="L581" s="2388"/>
      <c r="M581" s="2388"/>
      <c r="N581" s="2388"/>
      <c r="O581" s="2388"/>
      <c r="P581" s="2388"/>
      <c r="Q581" s="2388"/>
      <c r="R581" s="2388"/>
      <c r="S581" s="2388"/>
      <c r="T581" s="2388"/>
      <c r="U581" s="2388"/>
      <c r="V581" s="2388"/>
      <c r="W581" s="2388"/>
      <c r="X581" s="2388"/>
      <c r="Y581" s="2388"/>
      <c r="Z581" s="2388"/>
      <c r="AA581" s="2388"/>
      <c r="AB581" s="2388"/>
      <c r="AC581" s="2388"/>
      <c r="AD581" s="2388"/>
      <c r="AE581" s="2388"/>
      <c r="AF581" s="2388"/>
      <c r="AG581" s="2388"/>
      <c r="AH581" s="2388"/>
      <c r="AI581" s="2388"/>
      <c r="AJ581" s="2388"/>
      <c r="AK581" s="640"/>
      <c r="AL581" s="571"/>
      <c r="AM581" s="601"/>
      <c r="AN581" s="595"/>
    </row>
    <row r="582" spans="1:42" s="549" customFormat="1" ht="12.75" customHeight="1">
      <c r="A582" s="601"/>
      <c r="B582" s="2388"/>
      <c r="C582" s="2388"/>
      <c r="D582" s="2388"/>
      <c r="E582" s="2388"/>
      <c r="F582" s="2388"/>
      <c r="G582" s="2388"/>
      <c r="H582" s="2388"/>
      <c r="I582" s="2388"/>
      <c r="J582" s="2388"/>
      <c r="K582" s="2388"/>
      <c r="L582" s="2388"/>
      <c r="M582" s="2388"/>
      <c r="N582" s="2388"/>
      <c r="O582" s="2388"/>
      <c r="P582" s="2388"/>
      <c r="Q582" s="2388"/>
      <c r="R582" s="2388"/>
      <c r="S582" s="2388"/>
      <c r="T582" s="2388"/>
      <c r="U582" s="2388"/>
      <c r="V582" s="2388"/>
      <c r="W582" s="2388"/>
      <c r="X582" s="2388"/>
      <c r="Y582" s="2388"/>
      <c r="Z582" s="2388"/>
      <c r="AA582" s="2388"/>
      <c r="AB582" s="2388"/>
      <c r="AC582" s="2388"/>
      <c r="AD582" s="2388"/>
      <c r="AE582" s="2388"/>
      <c r="AF582" s="2388"/>
      <c r="AG582" s="2388"/>
      <c r="AH582" s="2388"/>
      <c r="AI582" s="2388"/>
      <c r="AJ582" s="2388"/>
      <c r="AK582" s="640"/>
      <c r="AL582" s="571"/>
      <c r="AM582" s="601"/>
      <c r="AN582" s="595"/>
    </row>
    <row r="583" spans="1:42" s="549" customFormat="1" ht="12.75" customHeight="1">
      <c r="A583" s="601"/>
      <c r="B583" s="2388"/>
      <c r="C583" s="2388"/>
      <c r="D583" s="2388"/>
      <c r="E583" s="2388"/>
      <c r="F583" s="2388"/>
      <c r="G583" s="2388"/>
      <c r="H583" s="2388"/>
      <c r="I583" s="2388"/>
      <c r="J583" s="2388"/>
      <c r="K583" s="2388"/>
      <c r="L583" s="2388"/>
      <c r="M583" s="2388"/>
      <c r="N583" s="2388"/>
      <c r="O583" s="2388"/>
      <c r="P583" s="2388"/>
      <c r="Q583" s="2388"/>
      <c r="R583" s="2388"/>
      <c r="S583" s="2388"/>
      <c r="T583" s="2388"/>
      <c r="U583" s="2388"/>
      <c r="V583" s="2388"/>
      <c r="W583" s="2388"/>
      <c r="X583" s="2388"/>
      <c r="Y583" s="2388"/>
      <c r="Z583" s="2388"/>
      <c r="AA583" s="2388"/>
      <c r="AB583" s="2388"/>
      <c r="AC583" s="2388"/>
      <c r="AD583" s="2388"/>
      <c r="AE583" s="2388"/>
      <c r="AF583" s="2388"/>
      <c r="AG583" s="2388"/>
      <c r="AH583" s="2388"/>
      <c r="AI583" s="2388"/>
      <c r="AJ583" s="2388"/>
      <c r="AK583" s="640"/>
      <c r="AL583" s="571"/>
      <c r="AM583" s="601"/>
      <c r="AN583" s="595"/>
    </row>
    <row r="584" spans="1:42" ht="12.75" customHeight="1">
      <c r="A584" s="601"/>
      <c r="B584" s="2388"/>
      <c r="C584" s="2388"/>
      <c r="D584" s="2388"/>
      <c r="E584" s="2388"/>
      <c r="F584" s="2388"/>
      <c r="G584" s="2388"/>
      <c r="H584" s="2388"/>
      <c r="I584" s="2388"/>
      <c r="J584" s="2388"/>
      <c r="K584" s="2388"/>
      <c r="L584" s="2388"/>
      <c r="M584" s="2388"/>
      <c r="N584" s="2388"/>
      <c r="O584" s="2388"/>
      <c r="P584" s="2388"/>
      <c r="Q584" s="2388"/>
      <c r="R584" s="2388"/>
      <c r="S584" s="2388"/>
      <c r="T584" s="2388"/>
      <c r="U584" s="2388"/>
      <c r="V584" s="2388"/>
      <c r="W584" s="2388"/>
      <c r="X584" s="2388"/>
      <c r="Y584" s="2388"/>
      <c r="Z584" s="2388"/>
      <c r="AA584" s="2388"/>
      <c r="AB584" s="2388"/>
      <c r="AC584" s="2388"/>
      <c r="AD584" s="2388"/>
      <c r="AE584" s="2388"/>
      <c r="AF584" s="2388"/>
      <c r="AG584" s="2388"/>
      <c r="AH584" s="2388"/>
      <c r="AI584" s="2388"/>
      <c r="AJ584" s="2388"/>
      <c r="AK584" s="640"/>
      <c r="AL584" s="571"/>
      <c r="AM584" s="601"/>
    </row>
    <row r="585" spans="1:42" s="549" customFormat="1" ht="12.75" customHeight="1">
      <c r="B585" s="2388"/>
      <c r="C585" s="2388"/>
      <c r="D585" s="2388"/>
      <c r="E585" s="2388"/>
      <c r="F585" s="2388"/>
      <c r="G585" s="2388"/>
      <c r="H585" s="2388"/>
      <c r="I585" s="2388"/>
      <c r="J585" s="2388"/>
      <c r="K585" s="2388"/>
      <c r="L585" s="2388"/>
      <c r="M585" s="2388"/>
      <c r="N585" s="2388"/>
      <c r="O585" s="2388"/>
      <c r="P585" s="2388"/>
      <c r="Q585" s="2388"/>
      <c r="R585" s="2388"/>
      <c r="S585" s="2388"/>
      <c r="T585" s="2388"/>
      <c r="U585" s="2388"/>
      <c r="V585" s="2388"/>
      <c r="W585" s="2388"/>
      <c r="X585" s="2388"/>
      <c r="Y585" s="2388"/>
      <c r="Z585" s="2388"/>
      <c r="AA585" s="2388"/>
      <c r="AB585" s="2388"/>
      <c r="AC585" s="2388"/>
      <c r="AD585" s="2388"/>
      <c r="AE585" s="2388"/>
      <c r="AF585" s="2388"/>
      <c r="AG585" s="2388"/>
      <c r="AH585" s="2388"/>
      <c r="AI585" s="2388"/>
      <c r="AJ585" s="2388"/>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89" t="s">
        <v>1332</v>
      </c>
      <c r="AG591" s="2389"/>
      <c r="AH591" s="2389"/>
      <c r="AI591" s="2389"/>
      <c r="AJ591" s="2389"/>
      <c r="AK591" s="2389"/>
      <c r="AL591" s="2389"/>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2130</v>
      </c>
      <c r="AP595" s="549" t="b">
        <f>IF(Application!AF427&gt;=25,TRUE,FALSE)</f>
        <v>1</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2131</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89" t="s">
        <v>1388</v>
      </c>
      <c r="AG598" s="2389"/>
      <c r="AH598" s="2389"/>
      <c r="AI598" s="2389"/>
      <c r="AJ598" s="2389"/>
      <c r="AK598" s="2389"/>
      <c r="AL598" s="2389"/>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89" t="s">
        <v>1371</v>
      </c>
      <c r="AG604" s="2389"/>
      <c r="AH604" s="2389"/>
      <c r="AI604" s="2389"/>
      <c r="AJ604" s="2389"/>
      <c r="AK604" s="2389"/>
      <c r="AL604" s="2389"/>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2133</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2134</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2135</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89" t="s">
        <v>1391</v>
      </c>
      <c r="AG610" s="2389"/>
      <c r="AH610" s="2389"/>
      <c r="AI610" s="2389"/>
      <c r="AJ610" s="2389"/>
      <c r="AK610" s="2389"/>
      <c r="AL610" s="2389"/>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2136</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2137</v>
      </c>
    </row>
    <row r="614" spans="1:53" s="549" customFormat="1" ht="12.75" customHeight="1">
      <c r="B614" s="608"/>
      <c r="C614" s="927"/>
      <c r="D614" s="659"/>
      <c r="E614" s="536" t="s">
        <v>1840</v>
      </c>
      <c r="O614" s="2534" t="s">
        <v>1184</v>
      </c>
      <c r="P614" s="2534"/>
      <c r="Q614" s="2534"/>
      <c r="R614" s="2534"/>
      <c r="S614" s="2534"/>
      <c r="T614" s="2534"/>
      <c r="U614" s="2534"/>
      <c r="V614" s="2534"/>
      <c r="W614" s="2534"/>
      <c r="X614" s="2534"/>
      <c r="Y614" s="2534"/>
      <c r="Z614" s="2534"/>
      <c r="AA614" s="2534"/>
      <c r="AB614" s="2534"/>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89" t="s">
        <v>1346</v>
      </c>
      <c r="AG616" s="2389"/>
      <c r="AH616" s="2389"/>
      <c r="AI616" s="2389"/>
      <c r="AJ616" s="2389"/>
      <c r="AK616" s="2389"/>
      <c r="AL616" s="2389"/>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2390" t="s">
        <v>687</v>
      </c>
      <c r="I619" s="2390"/>
      <c r="J619" s="932"/>
      <c r="K619" s="932"/>
      <c r="L619" s="932"/>
      <c r="N619" s="22"/>
      <c r="O619" s="22"/>
      <c r="P619" s="22"/>
      <c r="Q619" s="1145" t="s">
        <v>2132</v>
      </c>
      <c r="R619" s="2535"/>
      <c r="S619" s="2535"/>
      <c r="T619" s="2535"/>
      <c r="U619" s="2535"/>
      <c r="V619" s="2535"/>
      <c r="W619" s="2535"/>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6" t="str">
        <f>IF(AND(H619="(i)",NOT(AP595)),AO612,IF(AND(H619="(iv)",OR(R619=AO608,R619=AO607),NOT(AP596)),AO613,""))</f>
        <v/>
      </c>
      <c r="Z620" s="2536"/>
      <c r="AA620" s="2536"/>
      <c r="AB620" s="2536"/>
      <c r="AC620" s="2536"/>
      <c r="AD620" s="2536"/>
      <c r="AE620" s="2536"/>
      <c r="AF620" s="2536"/>
      <c r="AG620" s="2536"/>
      <c r="AH620" s="2536"/>
      <c r="AI620" s="2536"/>
      <c r="AJ620" s="2536"/>
      <c r="AK620" s="2536"/>
      <c r="AL620" s="2536"/>
      <c r="AM620" s="2537"/>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6"/>
      <c r="Z621" s="2536"/>
      <c r="AA621" s="2536"/>
      <c r="AB621" s="2536"/>
      <c r="AC621" s="2536"/>
      <c r="AD621" s="2536"/>
      <c r="AE621" s="2536"/>
      <c r="AF621" s="2536"/>
      <c r="AG621" s="2536"/>
      <c r="AH621" s="2536"/>
      <c r="AI621" s="2536"/>
      <c r="AJ621" s="2536"/>
      <c r="AK621" s="2536"/>
      <c r="AL621" s="2536"/>
      <c r="AM621" s="2537"/>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2533" t="s">
        <v>591</v>
      </c>
      <c r="J627" s="2533"/>
      <c r="K627" s="2533"/>
      <c r="L627" s="2533"/>
      <c r="M627" s="2533"/>
      <c r="N627" s="2533"/>
      <c r="O627" s="2533"/>
      <c r="P627" s="2533"/>
      <c r="Q627" s="2533"/>
      <c r="R627" s="2533"/>
      <c r="S627" s="2533"/>
      <c r="T627" s="2533"/>
      <c r="U627" s="2533"/>
      <c r="V627" s="2533"/>
      <c r="W627" s="2533"/>
      <c r="X627" s="2533"/>
      <c r="Y627" s="2533"/>
      <c r="Z627" s="2533"/>
      <c r="AA627" s="2533"/>
      <c r="AB627" s="2533"/>
      <c r="AC627" s="2533"/>
      <c r="AD627" s="2533"/>
      <c r="AE627" s="2533"/>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2396" t="s">
        <v>591</v>
      </c>
      <c r="C629" s="2396"/>
      <c r="D629" s="640"/>
      <c r="E629" s="2388" t="s">
        <v>1395</v>
      </c>
      <c r="F629" s="2388"/>
      <c r="G629" s="2388"/>
      <c r="H629" s="2388"/>
      <c r="I629" s="2388"/>
      <c r="J629" s="2388"/>
      <c r="K629" s="2388"/>
      <c r="L629" s="2388"/>
      <c r="M629" s="2388"/>
      <c r="N629" s="2388"/>
      <c r="O629" s="2388"/>
      <c r="P629" s="2388"/>
      <c r="Q629" s="2388"/>
      <c r="R629" s="2388"/>
      <c r="S629" s="2388"/>
      <c r="T629" s="2388"/>
      <c r="U629" s="2388"/>
      <c r="V629" s="2388"/>
      <c r="W629" s="2388"/>
      <c r="X629" s="2388"/>
      <c r="Y629" s="2388"/>
      <c r="Z629" s="2388"/>
      <c r="AA629" s="2388"/>
      <c r="AB629" s="2388"/>
      <c r="AC629" s="2388"/>
      <c r="AD629" s="2388"/>
      <c r="AE629" s="2388"/>
      <c r="AF629" s="2388"/>
      <c r="AG629" s="2388"/>
      <c r="AH629" s="640"/>
      <c r="AI629" s="640"/>
      <c r="AJ629" s="640"/>
      <c r="AK629" s="640"/>
      <c r="AL629" s="640"/>
      <c r="AN629" s="595"/>
    </row>
    <row r="630" spans="1:42" s="549" customFormat="1" ht="12.75" customHeight="1">
      <c r="B630" s="536"/>
      <c r="C630" s="929"/>
      <c r="D630" s="640"/>
      <c r="E630" s="2388"/>
      <c r="F630" s="2388"/>
      <c r="G630" s="2388"/>
      <c r="H630" s="2388"/>
      <c r="I630" s="2388"/>
      <c r="J630" s="2388"/>
      <c r="K630" s="2388"/>
      <c r="L630" s="2388"/>
      <c r="M630" s="2388"/>
      <c r="N630" s="2388"/>
      <c r="O630" s="2388"/>
      <c r="P630" s="2388"/>
      <c r="Q630" s="2388"/>
      <c r="R630" s="2388"/>
      <c r="S630" s="2388"/>
      <c r="T630" s="2388"/>
      <c r="U630" s="2388"/>
      <c r="V630" s="2388"/>
      <c r="W630" s="2388"/>
      <c r="X630" s="2388"/>
      <c r="Y630" s="2388"/>
      <c r="Z630" s="2388"/>
      <c r="AA630" s="2388"/>
      <c r="AB630" s="2388"/>
      <c r="AC630" s="2388"/>
      <c r="AD630" s="2388"/>
      <c r="AE630" s="2388"/>
      <c r="AF630" s="2388"/>
      <c r="AG630" s="2388"/>
      <c r="AH630" s="640"/>
      <c r="AI630" s="640"/>
      <c r="AJ630" s="640"/>
      <c r="AK630" s="640"/>
      <c r="AL630" s="640"/>
      <c r="AN630" s="595"/>
    </row>
    <row r="631" spans="1:42" s="549" customFormat="1" ht="12.75" customHeight="1">
      <c r="B631" s="536"/>
      <c r="C631" s="929"/>
      <c r="D631" s="640"/>
      <c r="E631" s="2388"/>
      <c r="F631" s="2388"/>
      <c r="G631" s="2388"/>
      <c r="H631" s="2388"/>
      <c r="I631" s="2388"/>
      <c r="J631" s="2388"/>
      <c r="K631" s="2388"/>
      <c r="L631" s="2388"/>
      <c r="M631" s="2388"/>
      <c r="N631" s="2388"/>
      <c r="O631" s="2388"/>
      <c r="P631" s="2388"/>
      <c r="Q631" s="2388"/>
      <c r="R631" s="2388"/>
      <c r="S631" s="2388"/>
      <c r="T631" s="2388"/>
      <c r="U631" s="2388"/>
      <c r="V631" s="2388"/>
      <c r="W631" s="2388"/>
      <c r="X631" s="2388"/>
      <c r="Y631" s="2388"/>
      <c r="Z631" s="2388"/>
      <c r="AA631" s="2388"/>
      <c r="AB631" s="2388"/>
      <c r="AC631" s="2388"/>
      <c r="AD631" s="2388"/>
      <c r="AE631" s="2388"/>
      <c r="AF631" s="2388"/>
      <c r="AG631" s="2388"/>
      <c r="AH631" s="640"/>
      <c r="AI631" s="640"/>
      <c r="AJ631" s="640"/>
      <c r="AK631" s="640"/>
      <c r="AL631" s="640"/>
      <c r="AN631" s="595"/>
    </row>
    <row r="632" spans="1:42" s="549" customFormat="1" ht="12.75" customHeight="1">
      <c r="B632" s="536"/>
      <c r="C632" s="929"/>
      <c r="D632" s="640"/>
      <c r="E632" s="2388"/>
      <c r="F632" s="2388"/>
      <c r="G632" s="2388"/>
      <c r="H632" s="2388"/>
      <c r="I632" s="2388"/>
      <c r="J632" s="2388"/>
      <c r="K632" s="2388"/>
      <c r="L632" s="2388"/>
      <c r="M632" s="2388"/>
      <c r="N632" s="2388"/>
      <c r="O632" s="2388"/>
      <c r="P632" s="2388"/>
      <c r="Q632" s="2388"/>
      <c r="R632" s="2388"/>
      <c r="S632" s="2388"/>
      <c r="T632" s="2388"/>
      <c r="U632" s="2388"/>
      <c r="V632" s="2388"/>
      <c r="W632" s="2388"/>
      <c r="X632" s="2388"/>
      <c r="Y632" s="2388"/>
      <c r="Z632" s="2388"/>
      <c r="AA632" s="2388"/>
      <c r="AB632" s="2388"/>
      <c r="AC632" s="2388"/>
      <c r="AD632" s="2388"/>
      <c r="AE632" s="2388"/>
      <c r="AF632" s="2388"/>
      <c r="AG632" s="2388"/>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2391">
        <f>VLOOKUP($H$619,$AO$599:$AP$604,2,FALSE)+IF(R619=AO607,0,VLOOKUP($I$627,$AO$626:$AP$628,2,FALSE))</f>
        <v>7</v>
      </c>
      <c r="AK634" s="2392"/>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32" t="s">
        <v>1683</v>
      </c>
      <c r="F638" s="2532"/>
      <c r="G638" s="2532"/>
      <c r="H638" s="2532"/>
      <c r="I638" s="2532"/>
      <c r="J638" s="2532"/>
      <c r="K638" s="2532"/>
      <c r="L638" s="2532"/>
      <c r="M638" s="2532"/>
      <c r="N638" s="2532"/>
      <c r="O638" s="2532"/>
      <c r="P638" s="2532"/>
      <c r="Q638" s="2532"/>
      <c r="R638" s="2532"/>
      <c r="S638" s="2532"/>
      <c r="T638" s="2532"/>
      <c r="U638" s="2532"/>
      <c r="V638" s="2532"/>
      <c r="W638" s="2532"/>
      <c r="X638" s="2532"/>
      <c r="Y638" s="2532"/>
      <c r="Z638" s="2532"/>
      <c r="AA638" s="2532"/>
      <c r="AB638" s="2532"/>
      <c r="AC638" s="2532"/>
      <c r="AD638" s="2532"/>
      <c r="AE638" s="539"/>
      <c r="AF638" s="2389" t="s">
        <v>1346</v>
      </c>
      <c r="AG638" s="2389"/>
      <c r="AH638" s="2389"/>
      <c r="AI638" s="2389"/>
      <c r="AJ638" s="2389"/>
      <c r="AK638" s="2389"/>
      <c r="AL638" s="2389"/>
      <c r="AM638" s="549"/>
      <c r="AN638" s="674"/>
    </row>
    <row r="639" spans="1:42" s="549" customFormat="1" ht="12.75" customHeight="1">
      <c r="A639" s="675"/>
      <c r="B639" s="536"/>
      <c r="C639" s="929"/>
      <c r="D639" s="659"/>
      <c r="E639" s="2532"/>
      <c r="F639" s="2532"/>
      <c r="G639" s="2532"/>
      <c r="H639" s="2532"/>
      <c r="I639" s="2532"/>
      <c r="J639" s="2532"/>
      <c r="K639" s="2532"/>
      <c r="L639" s="2532"/>
      <c r="M639" s="2532"/>
      <c r="N639" s="2532"/>
      <c r="O639" s="2532"/>
      <c r="P639" s="2532"/>
      <c r="Q639" s="2532"/>
      <c r="R639" s="2532"/>
      <c r="S639" s="2532"/>
      <c r="T639" s="2532"/>
      <c r="U639" s="2532"/>
      <c r="V639" s="2532"/>
      <c r="W639" s="2532"/>
      <c r="X639" s="2532"/>
      <c r="Y639" s="2532"/>
      <c r="Z639" s="2532"/>
      <c r="AA639" s="2532"/>
      <c r="AB639" s="2532"/>
      <c r="AC639" s="2532"/>
      <c r="AD639" s="2532"/>
      <c r="AE639" s="536"/>
      <c r="AF639" s="536"/>
      <c r="AG639" s="536"/>
      <c r="AH639" s="536"/>
      <c r="AI639" s="536"/>
      <c r="AJ639" s="536"/>
      <c r="AK639" s="536"/>
      <c r="AL639" s="536"/>
      <c r="AN639" s="595"/>
    </row>
    <row r="640" spans="1:42" s="549" customFormat="1" ht="12.75" customHeight="1">
      <c r="B640" s="536"/>
      <c r="C640" s="927"/>
      <c r="D640" s="659"/>
      <c r="E640" s="2532"/>
      <c r="F640" s="2532"/>
      <c r="G640" s="2532"/>
      <c r="H640" s="2532"/>
      <c r="I640" s="2532"/>
      <c r="J640" s="2532"/>
      <c r="K640" s="2532"/>
      <c r="L640" s="2532"/>
      <c r="M640" s="2532"/>
      <c r="N640" s="2532"/>
      <c r="O640" s="2532"/>
      <c r="P640" s="2532"/>
      <c r="Q640" s="2532"/>
      <c r="R640" s="2532"/>
      <c r="S640" s="2532"/>
      <c r="T640" s="2532"/>
      <c r="U640" s="2532"/>
      <c r="V640" s="2532"/>
      <c r="W640" s="2532"/>
      <c r="X640" s="2532"/>
      <c r="Y640" s="2532"/>
      <c r="Z640" s="2532"/>
      <c r="AA640" s="2532"/>
      <c r="AB640" s="2532"/>
      <c r="AC640" s="2532"/>
      <c r="AD640" s="2532"/>
      <c r="AE640" s="536"/>
      <c r="AF640" s="536"/>
      <c r="AG640" s="536"/>
      <c r="AH640" s="536"/>
      <c r="AI640" s="536"/>
      <c r="AJ640" s="536"/>
      <c r="AK640" s="536"/>
      <c r="AL640" s="536"/>
      <c r="AN640" s="595"/>
    </row>
    <row r="641" spans="1:42" s="549" customFormat="1" ht="12.75" customHeight="1">
      <c r="B641" s="536"/>
      <c r="C641" s="927"/>
      <c r="D641" s="659"/>
      <c r="E641" s="2532"/>
      <c r="F641" s="2532"/>
      <c r="G641" s="2532"/>
      <c r="H641" s="2532"/>
      <c r="I641" s="2532"/>
      <c r="J641" s="2532"/>
      <c r="K641" s="2532"/>
      <c r="L641" s="2532"/>
      <c r="M641" s="2532"/>
      <c r="N641" s="2532"/>
      <c r="O641" s="2532"/>
      <c r="P641" s="2532"/>
      <c r="Q641" s="2532"/>
      <c r="R641" s="2532"/>
      <c r="S641" s="2532"/>
      <c r="T641" s="2532"/>
      <c r="U641" s="2532"/>
      <c r="V641" s="2532"/>
      <c r="W641" s="2532"/>
      <c r="X641" s="2532"/>
      <c r="Y641" s="2532"/>
      <c r="Z641" s="2532"/>
      <c r="AA641" s="2532"/>
      <c r="AB641" s="2532"/>
      <c r="AC641" s="2532"/>
      <c r="AD641" s="2532"/>
      <c r="AE641" s="536"/>
      <c r="AF641" s="536"/>
      <c r="AG641" s="536"/>
      <c r="AH641" s="536"/>
      <c r="AI641" s="536"/>
      <c r="AJ641" s="536"/>
      <c r="AK641" s="536"/>
      <c r="AL641" s="536"/>
      <c r="AN641" s="595"/>
    </row>
    <row r="642" spans="1:42" s="549" customFormat="1" ht="12.75" customHeight="1">
      <c r="B642" s="536"/>
      <c r="C642" s="927"/>
      <c r="D642" s="659"/>
      <c r="E642" s="2532"/>
      <c r="F642" s="2532"/>
      <c r="G642" s="2532"/>
      <c r="H642" s="2532"/>
      <c r="I642" s="2532"/>
      <c r="J642" s="2532"/>
      <c r="K642" s="2532"/>
      <c r="L642" s="2532"/>
      <c r="M642" s="2532"/>
      <c r="N642" s="2532"/>
      <c r="O642" s="2532"/>
      <c r="P642" s="2532"/>
      <c r="Q642" s="2532"/>
      <c r="R642" s="2532"/>
      <c r="S642" s="2532"/>
      <c r="T642" s="2532"/>
      <c r="U642" s="2532"/>
      <c r="V642" s="2532"/>
      <c r="W642" s="2532"/>
      <c r="X642" s="2532"/>
      <c r="Y642" s="2532"/>
      <c r="Z642" s="2532"/>
      <c r="AA642" s="2532"/>
      <c r="AB642" s="2532"/>
      <c r="AC642" s="2532"/>
      <c r="AD642" s="2532"/>
      <c r="AE642" s="536"/>
      <c r="AF642" s="536"/>
      <c r="AG642" s="536"/>
      <c r="AH642" s="536"/>
      <c r="AI642" s="536"/>
      <c r="AJ642" s="536"/>
      <c r="AK642" s="536"/>
      <c r="AL642" s="536"/>
      <c r="AN642" s="595"/>
    </row>
    <row r="643" spans="1:42" s="549" customFormat="1" ht="12.75" customHeight="1">
      <c r="B643" s="536"/>
      <c r="C643" s="927"/>
      <c r="D643" s="659"/>
      <c r="E643" s="2532"/>
      <c r="F643" s="2532"/>
      <c r="G643" s="2532"/>
      <c r="H643" s="2532"/>
      <c r="I643" s="2532"/>
      <c r="J643" s="2532"/>
      <c r="K643" s="2532"/>
      <c r="L643" s="2532"/>
      <c r="M643" s="2532"/>
      <c r="N643" s="2532"/>
      <c r="O643" s="2532"/>
      <c r="P643" s="2532"/>
      <c r="Q643" s="2532"/>
      <c r="R643" s="2532"/>
      <c r="S643" s="2532"/>
      <c r="T643" s="2532"/>
      <c r="U643" s="2532"/>
      <c r="V643" s="2532"/>
      <c r="W643" s="2532"/>
      <c r="X643" s="2532"/>
      <c r="Y643" s="2532"/>
      <c r="Z643" s="2532"/>
      <c r="AA643" s="2532"/>
      <c r="AB643" s="2532"/>
      <c r="AC643" s="2532"/>
      <c r="AD643" s="2532"/>
      <c r="AE643" s="536"/>
      <c r="AF643" s="536"/>
      <c r="AG643" s="536"/>
      <c r="AH643" s="536"/>
      <c r="AI643" s="536"/>
      <c r="AJ643" s="536"/>
      <c r="AK643" s="536"/>
      <c r="AL643" s="536"/>
      <c r="AN643" s="595"/>
    </row>
    <row r="644" spans="1:42" s="549" customFormat="1" ht="12.75" customHeight="1">
      <c r="A644" s="635"/>
      <c r="B644" s="614"/>
      <c r="C644" s="936"/>
      <c r="D644" s="659"/>
      <c r="E644" s="2532"/>
      <c r="F644" s="2532"/>
      <c r="G644" s="2532"/>
      <c r="H644" s="2532"/>
      <c r="I644" s="2532"/>
      <c r="J644" s="2532"/>
      <c r="K644" s="2532"/>
      <c r="L644" s="2532"/>
      <c r="M644" s="2532"/>
      <c r="N644" s="2532"/>
      <c r="O644" s="2532"/>
      <c r="P644" s="2532"/>
      <c r="Q644" s="2532"/>
      <c r="R644" s="2532"/>
      <c r="S644" s="2532"/>
      <c r="T644" s="2532"/>
      <c r="U644" s="2532"/>
      <c r="V644" s="2532"/>
      <c r="W644" s="2532"/>
      <c r="X644" s="2532"/>
      <c r="Y644" s="2532"/>
      <c r="Z644" s="2532"/>
      <c r="AA644" s="2532"/>
      <c r="AB644" s="2532"/>
      <c r="AC644" s="2532"/>
      <c r="AD644" s="2532"/>
      <c r="AE644" s="614"/>
      <c r="AF644" s="614"/>
      <c r="AG644" s="614"/>
      <c r="AH644" s="614"/>
      <c r="AI644" s="614"/>
      <c r="AJ644" s="614"/>
      <c r="AK644" s="536"/>
      <c r="AL644" s="536"/>
      <c r="AN644" s="595"/>
    </row>
    <row r="645" spans="1:42" s="549" customFormat="1" ht="12.75" customHeight="1">
      <c r="B645" s="614"/>
      <c r="C645" s="936"/>
      <c r="D645" s="659"/>
      <c r="E645" s="2532"/>
      <c r="F645" s="2532"/>
      <c r="G645" s="2532"/>
      <c r="H645" s="2532"/>
      <c r="I645" s="2532"/>
      <c r="J645" s="2532"/>
      <c r="K645" s="2532"/>
      <c r="L645" s="2532"/>
      <c r="M645" s="2532"/>
      <c r="N645" s="2532"/>
      <c r="O645" s="2532"/>
      <c r="P645" s="2532"/>
      <c r="Q645" s="2532"/>
      <c r="R645" s="2532"/>
      <c r="S645" s="2532"/>
      <c r="T645" s="2532"/>
      <c r="U645" s="2532"/>
      <c r="V645" s="2532"/>
      <c r="W645" s="2532"/>
      <c r="X645" s="2532"/>
      <c r="Y645" s="2532"/>
      <c r="Z645" s="2532"/>
      <c r="AA645" s="2532"/>
      <c r="AB645" s="2532"/>
      <c r="AC645" s="2532"/>
      <c r="AD645" s="2532"/>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2396" t="s">
        <v>591</v>
      </c>
      <c r="Y647" s="2396"/>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89" t="s">
        <v>1400</v>
      </c>
      <c r="AG649" s="2389"/>
      <c r="AH649" s="2389"/>
      <c r="AI649" s="2389"/>
      <c r="AJ649" s="2389"/>
      <c r="AK649" s="2389"/>
      <c r="AL649" s="2389"/>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2390" t="s">
        <v>687</v>
      </c>
      <c r="I651" s="2390"/>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2391">
        <f>VLOOKUP($H$651,$AO$618:$AP$620,2,FALSE)</f>
        <v>3</v>
      </c>
      <c r="AK653" s="2392"/>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388" t="s">
        <v>2054</v>
      </c>
      <c r="F657" s="2388"/>
      <c r="G657" s="2388"/>
      <c r="H657" s="2388"/>
      <c r="I657" s="2388"/>
      <c r="J657" s="2388"/>
      <c r="K657" s="2388"/>
      <c r="L657" s="2388"/>
      <c r="M657" s="2388"/>
      <c r="N657" s="2388"/>
      <c r="O657" s="2388"/>
      <c r="P657" s="2388"/>
      <c r="Q657" s="2388"/>
      <c r="R657" s="2388"/>
      <c r="S657" s="2388"/>
      <c r="T657" s="2388"/>
      <c r="U657" s="2388"/>
      <c r="V657" s="2388"/>
      <c r="W657" s="2388"/>
      <c r="X657" s="2388"/>
      <c r="Y657" s="2388"/>
      <c r="Z657" s="2388"/>
      <c r="AA657" s="2388"/>
      <c r="AB657" s="2388"/>
      <c r="AC657" s="2388"/>
      <c r="AD657" s="2388"/>
      <c r="AE657" s="536"/>
      <c r="AF657" s="2389" t="s">
        <v>1346</v>
      </c>
      <c r="AG657" s="2389"/>
      <c r="AH657" s="2389"/>
      <c r="AI657" s="2389"/>
      <c r="AJ657" s="2389"/>
      <c r="AK657" s="2389"/>
      <c r="AL657" s="2389"/>
      <c r="AN657" s="595"/>
    </row>
    <row r="658" spans="1:42" s="549" customFormat="1" ht="12.75" customHeight="1">
      <c r="B658" s="536"/>
      <c r="C658" s="536"/>
      <c r="D658" s="659"/>
      <c r="E658" s="2388"/>
      <c r="F658" s="2388"/>
      <c r="G658" s="2388"/>
      <c r="H658" s="2388"/>
      <c r="I658" s="2388"/>
      <c r="J658" s="2388"/>
      <c r="K658" s="2388"/>
      <c r="L658" s="2388"/>
      <c r="M658" s="2388"/>
      <c r="N658" s="2388"/>
      <c r="O658" s="2388"/>
      <c r="P658" s="2388"/>
      <c r="Q658" s="2388"/>
      <c r="R658" s="2388"/>
      <c r="S658" s="2388"/>
      <c r="T658" s="2388"/>
      <c r="U658" s="2388"/>
      <c r="V658" s="2388"/>
      <c r="W658" s="2388"/>
      <c r="X658" s="2388"/>
      <c r="Y658" s="2388"/>
      <c r="Z658" s="2388"/>
      <c r="AA658" s="2388"/>
      <c r="AB658" s="2388"/>
      <c r="AC658" s="2388"/>
      <c r="AD658" s="2388"/>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89" t="s">
        <v>1400</v>
      </c>
      <c r="AG660" s="2389"/>
      <c r="AH660" s="2389"/>
      <c r="AI660" s="2389"/>
      <c r="AJ660" s="2389"/>
      <c r="AK660" s="2389"/>
      <c r="AL660" s="2389"/>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2390" t="s">
        <v>687</v>
      </c>
      <c r="I663" s="2390"/>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2391">
        <f>VLOOKUP(H663,AT618:AU620,2,FALSE)</f>
        <v>3</v>
      </c>
      <c r="AK665" s="2392"/>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388" t="s">
        <v>1410</v>
      </c>
      <c r="F670" s="2388"/>
      <c r="G670" s="2388"/>
      <c r="H670" s="2388"/>
      <c r="I670" s="2388"/>
      <c r="J670" s="2388"/>
      <c r="K670" s="2388"/>
      <c r="L670" s="2388"/>
      <c r="M670" s="2388"/>
      <c r="N670" s="2388"/>
      <c r="O670" s="2388"/>
      <c r="P670" s="2388"/>
      <c r="Q670" s="2388"/>
      <c r="R670" s="2388"/>
      <c r="S670" s="2388"/>
      <c r="T670" s="2388"/>
      <c r="U670" s="2388"/>
      <c r="V670" s="2388"/>
      <c r="W670" s="2388"/>
      <c r="X670" s="2388"/>
      <c r="Y670" s="2388"/>
      <c r="Z670" s="2388"/>
      <c r="AA670" s="2388"/>
      <c r="AB670" s="2388"/>
      <c r="AC670" s="2388"/>
      <c r="AD670" s="536"/>
      <c r="AE670" s="536"/>
      <c r="AF670" s="2389" t="s">
        <v>1371</v>
      </c>
      <c r="AG670" s="2389"/>
      <c r="AH670" s="2389"/>
      <c r="AI670" s="2389"/>
      <c r="AJ670" s="2389"/>
      <c r="AK670" s="2389"/>
      <c r="AL670" s="2389"/>
      <c r="AN670" s="595"/>
    </row>
    <row r="671" spans="1:42" s="549" customFormat="1" ht="12.75" customHeight="1">
      <c r="B671" s="536"/>
      <c r="C671" s="539"/>
      <c r="D671" s="536"/>
      <c r="E671" s="2388"/>
      <c r="F671" s="2388"/>
      <c r="G671" s="2388"/>
      <c r="H671" s="2388"/>
      <c r="I671" s="2388"/>
      <c r="J671" s="2388"/>
      <c r="K671" s="2388"/>
      <c r="L671" s="2388"/>
      <c r="M671" s="2388"/>
      <c r="N671" s="2388"/>
      <c r="O671" s="2388"/>
      <c r="P671" s="2388"/>
      <c r="Q671" s="2388"/>
      <c r="R671" s="2388"/>
      <c r="S671" s="2388"/>
      <c r="T671" s="2388"/>
      <c r="U671" s="2388"/>
      <c r="V671" s="2388"/>
      <c r="W671" s="2388"/>
      <c r="X671" s="2388"/>
      <c r="Y671" s="2388"/>
      <c r="Z671" s="2388"/>
      <c r="AA671" s="2388"/>
      <c r="AB671" s="2388"/>
      <c r="AC671" s="2388"/>
      <c r="AD671" s="536"/>
      <c r="AE671" s="536"/>
      <c r="AF671" s="536"/>
      <c r="AG671" s="536"/>
      <c r="AH671" s="536"/>
      <c r="AI671" s="536"/>
      <c r="AJ671" s="536"/>
      <c r="AK671" s="536"/>
      <c r="AL671" s="536"/>
      <c r="AN671" s="595"/>
    </row>
    <row r="672" spans="1:42" s="549" customFormat="1" ht="12.75" customHeight="1">
      <c r="B672" s="536"/>
      <c r="C672" s="539"/>
      <c r="D672" s="659"/>
      <c r="E672" s="2388"/>
      <c r="F672" s="2388"/>
      <c r="G672" s="2388"/>
      <c r="H672" s="2388"/>
      <c r="I672" s="2388"/>
      <c r="J672" s="2388"/>
      <c r="K672" s="2388"/>
      <c r="L672" s="2388"/>
      <c r="M672" s="2388"/>
      <c r="N672" s="2388"/>
      <c r="O672" s="2388"/>
      <c r="P672" s="2388"/>
      <c r="Q672" s="2388"/>
      <c r="R672" s="2388"/>
      <c r="S672" s="2388"/>
      <c r="T672" s="2388"/>
      <c r="U672" s="2388"/>
      <c r="V672" s="2388"/>
      <c r="W672" s="2388"/>
      <c r="X672" s="2388"/>
      <c r="Y672" s="2388"/>
      <c r="Z672" s="2388"/>
      <c r="AA672" s="2388"/>
      <c r="AB672" s="2388"/>
      <c r="AC672" s="2388"/>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388" t="s">
        <v>1411</v>
      </c>
      <c r="F674" s="2388"/>
      <c r="G674" s="2388"/>
      <c r="H674" s="2388"/>
      <c r="I674" s="2388"/>
      <c r="J674" s="2388"/>
      <c r="K674" s="2388"/>
      <c r="L674" s="2388"/>
      <c r="M674" s="2388"/>
      <c r="N674" s="2388"/>
      <c r="O674" s="2388"/>
      <c r="P674" s="2388"/>
      <c r="Q674" s="2388"/>
      <c r="R674" s="2388"/>
      <c r="S674" s="2388"/>
      <c r="T674" s="2388"/>
      <c r="U674" s="2388"/>
      <c r="V674" s="2388"/>
      <c r="W674" s="2388"/>
      <c r="X674" s="2388"/>
      <c r="Y674" s="2388"/>
      <c r="Z674" s="2388"/>
      <c r="AA674" s="2388"/>
      <c r="AB674" s="2388"/>
      <c r="AC674" s="2388"/>
      <c r="AD674" s="536"/>
      <c r="AE674" s="536"/>
      <c r="AF674" s="2389" t="s">
        <v>1391</v>
      </c>
      <c r="AG674" s="2389"/>
      <c r="AH674" s="2389"/>
      <c r="AI674" s="2389"/>
      <c r="AJ674" s="2389"/>
      <c r="AK674" s="2389"/>
      <c r="AL674" s="2389"/>
      <c r="AN674" s="595"/>
    </row>
    <row r="675" spans="1:42" s="549" customFormat="1" ht="12.75" customHeight="1">
      <c r="B675" s="536"/>
      <c r="C675" s="539"/>
      <c r="D675" s="536"/>
      <c r="E675" s="2388"/>
      <c r="F675" s="2388"/>
      <c r="G675" s="2388"/>
      <c r="H675" s="2388"/>
      <c r="I675" s="2388"/>
      <c r="J675" s="2388"/>
      <c r="K675" s="2388"/>
      <c r="L675" s="2388"/>
      <c r="M675" s="2388"/>
      <c r="N675" s="2388"/>
      <c r="O675" s="2388"/>
      <c r="P675" s="2388"/>
      <c r="Q675" s="2388"/>
      <c r="R675" s="2388"/>
      <c r="S675" s="2388"/>
      <c r="T675" s="2388"/>
      <c r="U675" s="2388"/>
      <c r="V675" s="2388"/>
      <c r="W675" s="2388"/>
      <c r="X675" s="2388"/>
      <c r="Y675" s="2388"/>
      <c r="Z675" s="2388"/>
      <c r="AA675" s="2388"/>
      <c r="AB675" s="2388"/>
      <c r="AC675" s="2388"/>
      <c r="AD675" s="536"/>
      <c r="AE675" s="536"/>
      <c r="AF675" s="536"/>
      <c r="AG675" s="536"/>
      <c r="AH675" s="536"/>
      <c r="AI675" s="536"/>
      <c r="AJ675" s="536"/>
      <c r="AK675" s="536"/>
      <c r="AL675" s="536"/>
      <c r="AN675" s="595"/>
    </row>
    <row r="676" spans="1:42" s="549" customFormat="1" ht="15" customHeight="1">
      <c r="B676" s="536"/>
      <c r="C676" s="539"/>
      <c r="D676" s="659"/>
      <c r="E676" s="2388"/>
      <c r="F676" s="2388"/>
      <c r="G676" s="2388"/>
      <c r="H676" s="2388"/>
      <c r="I676" s="2388"/>
      <c r="J676" s="2388"/>
      <c r="K676" s="2388"/>
      <c r="L676" s="2388"/>
      <c r="M676" s="2388"/>
      <c r="N676" s="2388"/>
      <c r="O676" s="2388"/>
      <c r="P676" s="2388"/>
      <c r="Q676" s="2388"/>
      <c r="R676" s="2388"/>
      <c r="S676" s="2388"/>
      <c r="T676" s="2388"/>
      <c r="U676" s="2388"/>
      <c r="V676" s="2388"/>
      <c r="W676" s="2388"/>
      <c r="X676" s="2388"/>
      <c r="Y676" s="2388"/>
      <c r="Z676" s="2388"/>
      <c r="AA676" s="2388"/>
      <c r="AB676" s="2388"/>
      <c r="AC676" s="2388"/>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388" t="s">
        <v>1412</v>
      </c>
      <c r="F678" s="2388"/>
      <c r="G678" s="2388"/>
      <c r="H678" s="2388"/>
      <c r="I678" s="2388"/>
      <c r="J678" s="2388"/>
      <c r="K678" s="2388"/>
      <c r="L678" s="2388"/>
      <c r="M678" s="2388"/>
      <c r="N678" s="2388"/>
      <c r="O678" s="2388"/>
      <c r="P678" s="2388"/>
      <c r="Q678" s="2388"/>
      <c r="R678" s="2388"/>
      <c r="S678" s="2388"/>
      <c r="T678" s="2388"/>
      <c r="U678" s="2388"/>
      <c r="V678" s="2388"/>
      <c r="W678" s="2388"/>
      <c r="X678" s="2388"/>
      <c r="Y678" s="2388"/>
      <c r="Z678" s="2388"/>
      <c r="AA678" s="2388"/>
      <c r="AB678" s="2388"/>
      <c r="AC678" s="2388"/>
      <c r="AD678" s="536"/>
      <c r="AE678" s="536"/>
      <c r="AF678" s="2389" t="s">
        <v>1346</v>
      </c>
      <c r="AG678" s="2389"/>
      <c r="AH678" s="2389"/>
      <c r="AI678" s="2389"/>
      <c r="AJ678" s="2389"/>
      <c r="AK678" s="2389"/>
      <c r="AL678" s="2389"/>
      <c r="AN678" s="595"/>
    </row>
    <row r="679" spans="1:42" s="549" customFormat="1" ht="12.75" customHeight="1">
      <c r="B679" s="536"/>
      <c r="C679" s="927"/>
      <c r="D679" s="536"/>
      <c r="E679" s="2388"/>
      <c r="F679" s="2388"/>
      <c r="G679" s="2388"/>
      <c r="H679" s="2388"/>
      <c r="I679" s="2388"/>
      <c r="J679" s="2388"/>
      <c r="K679" s="2388"/>
      <c r="L679" s="2388"/>
      <c r="M679" s="2388"/>
      <c r="N679" s="2388"/>
      <c r="O679" s="2388"/>
      <c r="P679" s="2388"/>
      <c r="Q679" s="2388"/>
      <c r="R679" s="2388"/>
      <c r="S679" s="2388"/>
      <c r="T679" s="2388"/>
      <c r="U679" s="2388"/>
      <c r="V679" s="2388"/>
      <c r="W679" s="2388"/>
      <c r="X679" s="2388"/>
      <c r="Y679" s="2388"/>
      <c r="Z679" s="2388"/>
      <c r="AA679" s="2388"/>
      <c r="AB679" s="2388"/>
      <c r="AC679" s="2388"/>
      <c r="AD679" s="536"/>
      <c r="AE679" s="2389"/>
      <c r="AF679" s="2389"/>
      <c r="AG679" s="2389"/>
      <c r="AH679" s="2389"/>
      <c r="AI679" s="2389"/>
      <c r="AJ679" s="2389"/>
      <c r="AK679" s="2389"/>
      <c r="AL679" s="592"/>
      <c r="AN679" s="595"/>
      <c r="AO679" s="549" t="s">
        <v>591</v>
      </c>
      <c r="AP679" s="669">
        <v>0</v>
      </c>
    </row>
    <row r="680" spans="1:42" s="549" customFormat="1" ht="12.75" customHeight="1">
      <c r="A680" s="675"/>
      <c r="B680" s="536"/>
      <c r="C680" s="536"/>
      <c r="D680" s="659"/>
      <c r="E680" s="2388"/>
      <c r="F680" s="2388"/>
      <c r="G680" s="2388"/>
      <c r="H680" s="2388"/>
      <c r="I680" s="2388"/>
      <c r="J680" s="2388"/>
      <c r="K680" s="2388"/>
      <c r="L680" s="2388"/>
      <c r="M680" s="2388"/>
      <c r="N680" s="2388"/>
      <c r="O680" s="2388"/>
      <c r="P680" s="2388"/>
      <c r="Q680" s="2388"/>
      <c r="R680" s="2388"/>
      <c r="S680" s="2388"/>
      <c r="T680" s="2388"/>
      <c r="U680" s="2388"/>
      <c r="V680" s="2388"/>
      <c r="W680" s="2388"/>
      <c r="X680" s="2388"/>
      <c r="Y680" s="2388"/>
      <c r="Z680" s="2388"/>
      <c r="AA680" s="2388"/>
      <c r="AB680" s="2388"/>
      <c r="AC680" s="2388"/>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2388" t="s">
        <v>1413</v>
      </c>
      <c r="F682" s="2388"/>
      <c r="G682" s="2388"/>
      <c r="H682" s="2388"/>
      <c r="I682" s="2388"/>
      <c r="J682" s="2388"/>
      <c r="K682" s="2388"/>
      <c r="L682" s="2388"/>
      <c r="M682" s="2388"/>
      <c r="N682" s="2388"/>
      <c r="O682" s="2388"/>
      <c r="P682" s="2388"/>
      <c r="Q682" s="2388"/>
      <c r="R682" s="2388"/>
      <c r="S682" s="2388"/>
      <c r="T682" s="2388"/>
      <c r="U682" s="2388"/>
      <c r="V682" s="2388"/>
      <c r="W682" s="2388"/>
      <c r="X682" s="2388"/>
      <c r="Y682" s="2388"/>
      <c r="Z682" s="2388"/>
      <c r="AA682" s="2388"/>
      <c r="AB682" s="2388"/>
      <c r="AC682" s="2388"/>
      <c r="AD682" s="536"/>
      <c r="AE682" s="536"/>
      <c r="AF682" s="2389" t="s">
        <v>1391</v>
      </c>
      <c r="AG682" s="2389"/>
      <c r="AH682" s="2389"/>
      <c r="AI682" s="2389"/>
      <c r="AJ682" s="2389"/>
      <c r="AK682" s="2389"/>
      <c r="AL682" s="2389"/>
      <c r="AN682" s="595"/>
    </row>
    <row r="683" spans="1:42" s="549" customFormat="1" ht="12.75" customHeight="1">
      <c r="A683" s="666"/>
      <c r="B683" s="536"/>
      <c r="C683" s="943"/>
      <c r="D683" s="659"/>
      <c r="E683" s="2388"/>
      <c r="F683" s="2388"/>
      <c r="G683" s="2388"/>
      <c r="H683" s="2388"/>
      <c r="I683" s="2388"/>
      <c r="J683" s="2388"/>
      <c r="K683" s="2388"/>
      <c r="L683" s="2388"/>
      <c r="M683" s="2388"/>
      <c r="N683" s="2388"/>
      <c r="O683" s="2388"/>
      <c r="P683" s="2388"/>
      <c r="Q683" s="2388"/>
      <c r="R683" s="2388"/>
      <c r="S683" s="2388"/>
      <c r="T683" s="2388"/>
      <c r="U683" s="2388"/>
      <c r="V683" s="2388"/>
      <c r="W683" s="2388"/>
      <c r="X683" s="2388"/>
      <c r="Y683" s="2388"/>
      <c r="Z683" s="2388"/>
      <c r="AA683" s="2388"/>
      <c r="AB683" s="2388"/>
      <c r="AC683" s="2388"/>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88"/>
      <c r="F684" s="2388"/>
      <c r="G684" s="2388"/>
      <c r="H684" s="2388"/>
      <c r="I684" s="2388"/>
      <c r="J684" s="2388"/>
      <c r="K684" s="2388"/>
      <c r="L684" s="2388"/>
      <c r="M684" s="2388"/>
      <c r="N684" s="2388"/>
      <c r="O684" s="2388"/>
      <c r="P684" s="2388"/>
      <c r="Q684" s="2388"/>
      <c r="R684" s="2388"/>
      <c r="S684" s="2388"/>
      <c r="T684" s="2388"/>
      <c r="U684" s="2388"/>
      <c r="V684" s="2388"/>
      <c r="W684" s="2388"/>
      <c r="X684" s="2388"/>
      <c r="Y684" s="2388"/>
      <c r="Z684" s="2388"/>
      <c r="AA684" s="2388"/>
      <c r="AB684" s="2388"/>
      <c r="AC684" s="2388"/>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2388" t="s">
        <v>1414</v>
      </c>
      <c r="F686" s="2388"/>
      <c r="G686" s="2388"/>
      <c r="H686" s="2388"/>
      <c r="I686" s="2388"/>
      <c r="J686" s="2388"/>
      <c r="K686" s="2388"/>
      <c r="L686" s="2388"/>
      <c r="M686" s="2388"/>
      <c r="N686" s="2388"/>
      <c r="O686" s="2388"/>
      <c r="P686" s="2388"/>
      <c r="Q686" s="2388"/>
      <c r="R686" s="2388"/>
      <c r="S686" s="2388"/>
      <c r="T686" s="2388"/>
      <c r="U686" s="2388"/>
      <c r="V686" s="2388"/>
      <c r="W686" s="2388"/>
      <c r="X686" s="2388"/>
      <c r="Y686" s="2388"/>
      <c r="Z686" s="2388"/>
      <c r="AA686" s="2388"/>
      <c r="AB686" s="2388"/>
      <c r="AC686" s="2388"/>
      <c r="AD686" s="536"/>
      <c r="AE686" s="536"/>
      <c r="AF686" s="2389" t="s">
        <v>1346</v>
      </c>
      <c r="AG686" s="2389"/>
      <c r="AH686" s="2389"/>
      <c r="AI686" s="2389"/>
      <c r="AJ686" s="2389"/>
      <c r="AK686" s="2389"/>
      <c r="AL686" s="2389"/>
      <c r="AM686" s="594"/>
      <c r="AN686" s="595"/>
    </row>
    <row r="687" spans="1:42" s="549" customFormat="1" ht="12.75" customHeight="1">
      <c r="B687" s="536"/>
      <c r="C687" s="927"/>
      <c r="D687" s="659"/>
      <c r="E687" s="2388"/>
      <c r="F687" s="2388"/>
      <c r="G687" s="2388"/>
      <c r="H687" s="2388"/>
      <c r="I687" s="2388"/>
      <c r="J687" s="2388"/>
      <c r="K687" s="2388"/>
      <c r="L687" s="2388"/>
      <c r="M687" s="2388"/>
      <c r="N687" s="2388"/>
      <c r="O687" s="2388"/>
      <c r="P687" s="2388"/>
      <c r="Q687" s="2388"/>
      <c r="R687" s="2388"/>
      <c r="S687" s="2388"/>
      <c r="T687" s="2388"/>
      <c r="U687" s="2388"/>
      <c r="V687" s="2388"/>
      <c r="W687" s="2388"/>
      <c r="X687" s="2388"/>
      <c r="Y687" s="2388"/>
      <c r="Z687" s="2388"/>
      <c r="AA687" s="2388"/>
      <c r="AB687" s="2388"/>
      <c r="AC687" s="2388"/>
      <c r="AD687" s="536"/>
      <c r="AE687" s="536"/>
      <c r="AF687" s="536"/>
      <c r="AG687" s="536"/>
      <c r="AH687" s="536"/>
      <c r="AI687" s="536"/>
      <c r="AJ687" s="536"/>
      <c r="AK687" s="536"/>
      <c r="AL687" s="536"/>
      <c r="AM687" s="594"/>
      <c r="AN687" s="595"/>
    </row>
    <row r="688" spans="1:42" s="549" customFormat="1" ht="12.75" customHeight="1">
      <c r="B688" s="536"/>
      <c r="C688" s="927"/>
      <c r="D688" s="659"/>
      <c r="E688" s="2388"/>
      <c r="F688" s="2388"/>
      <c r="G688" s="2388"/>
      <c r="H688" s="2388"/>
      <c r="I688" s="2388"/>
      <c r="J688" s="2388"/>
      <c r="K688" s="2388"/>
      <c r="L688" s="2388"/>
      <c r="M688" s="2388"/>
      <c r="N688" s="2388"/>
      <c r="O688" s="2388"/>
      <c r="P688" s="2388"/>
      <c r="Q688" s="2388"/>
      <c r="R688" s="2388"/>
      <c r="S688" s="2388"/>
      <c r="T688" s="2388"/>
      <c r="U688" s="2388"/>
      <c r="V688" s="2388"/>
      <c r="W688" s="2388"/>
      <c r="X688" s="2388"/>
      <c r="Y688" s="2388"/>
      <c r="Z688" s="2388"/>
      <c r="AA688" s="2388"/>
      <c r="AB688" s="2388"/>
      <c r="AC688" s="2388"/>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2388" t="s">
        <v>1415</v>
      </c>
      <c r="F690" s="2388"/>
      <c r="G690" s="2388"/>
      <c r="H690" s="2388"/>
      <c r="I690" s="2388"/>
      <c r="J690" s="2388"/>
      <c r="K690" s="2388"/>
      <c r="L690" s="2388"/>
      <c r="M690" s="2388"/>
      <c r="N690" s="2388"/>
      <c r="O690" s="2388"/>
      <c r="P690" s="2388"/>
      <c r="Q690" s="2388"/>
      <c r="R690" s="2388"/>
      <c r="S690" s="2388"/>
      <c r="T690" s="2388"/>
      <c r="U690" s="2388"/>
      <c r="V690" s="2388"/>
      <c r="W690" s="2388"/>
      <c r="X690" s="2388"/>
      <c r="Y690" s="2388"/>
      <c r="Z690" s="2388"/>
      <c r="AA690" s="2388"/>
      <c r="AB690" s="2388"/>
      <c r="AC690" s="2388"/>
      <c r="AD690" s="536"/>
      <c r="AE690" s="536"/>
      <c r="AF690" s="2389" t="s">
        <v>1400</v>
      </c>
      <c r="AG690" s="2389"/>
      <c r="AH690" s="2389"/>
      <c r="AI690" s="2389"/>
      <c r="AJ690" s="2389"/>
      <c r="AK690" s="2389"/>
      <c r="AL690" s="2389"/>
      <c r="AM690" s="594"/>
      <c r="AN690" s="595"/>
    </row>
    <row r="691" spans="1:50" s="549" customFormat="1" ht="12.75" customHeight="1">
      <c r="A691" s="675"/>
      <c r="B691" s="536"/>
      <c r="C691" s="927"/>
      <c r="D691" s="659"/>
      <c r="E691" s="2388"/>
      <c r="F691" s="2388"/>
      <c r="G691" s="2388"/>
      <c r="H691" s="2388"/>
      <c r="I691" s="2388"/>
      <c r="J691" s="2388"/>
      <c r="K691" s="2388"/>
      <c r="L691" s="2388"/>
      <c r="M691" s="2388"/>
      <c r="N691" s="2388"/>
      <c r="O691" s="2388"/>
      <c r="P691" s="2388"/>
      <c r="Q691" s="2388"/>
      <c r="R691" s="2388"/>
      <c r="S691" s="2388"/>
      <c r="T691" s="2388"/>
      <c r="U691" s="2388"/>
      <c r="V691" s="2388"/>
      <c r="W691" s="2388"/>
      <c r="X691" s="2388"/>
      <c r="Y691" s="2388"/>
      <c r="Z691" s="2388"/>
      <c r="AA691" s="2388"/>
      <c r="AB691" s="2388"/>
      <c r="AC691" s="2388"/>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88"/>
      <c r="F692" s="2388"/>
      <c r="G692" s="2388"/>
      <c r="H692" s="2388"/>
      <c r="I692" s="2388"/>
      <c r="J692" s="2388"/>
      <c r="K692" s="2388"/>
      <c r="L692" s="2388"/>
      <c r="M692" s="2388"/>
      <c r="N692" s="2388"/>
      <c r="O692" s="2388"/>
      <c r="P692" s="2388"/>
      <c r="Q692" s="2388"/>
      <c r="R692" s="2388"/>
      <c r="S692" s="2388"/>
      <c r="T692" s="2388"/>
      <c r="U692" s="2388"/>
      <c r="V692" s="2388"/>
      <c r="W692" s="2388"/>
      <c r="X692" s="2388"/>
      <c r="Y692" s="2388"/>
      <c r="Z692" s="2388"/>
      <c r="AA692" s="2388"/>
      <c r="AB692" s="2388"/>
      <c r="AC692" s="2388"/>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2388" t="s">
        <v>1416</v>
      </c>
      <c r="F694" s="2388"/>
      <c r="G694" s="2388"/>
      <c r="H694" s="2388"/>
      <c r="I694" s="2388"/>
      <c r="J694" s="2388"/>
      <c r="K694" s="2388"/>
      <c r="L694" s="2388"/>
      <c r="M694" s="2388"/>
      <c r="N694" s="2388"/>
      <c r="O694" s="2388"/>
      <c r="P694" s="2388"/>
      <c r="Q694" s="2388"/>
      <c r="R694" s="2388"/>
      <c r="S694" s="2388"/>
      <c r="T694" s="2388"/>
      <c r="U694" s="2388"/>
      <c r="V694" s="2388"/>
      <c r="W694" s="2388"/>
      <c r="X694" s="2388"/>
      <c r="Y694" s="2388"/>
      <c r="Z694" s="2388"/>
      <c r="AA694" s="2388"/>
      <c r="AB694" s="2388"/>
      <c r="AC694" s="2388"/>
      <c r="AD694" s="536"/>
      <c r="AE694" s="536"/>
      <c r="AF694" s="2389" t="s">
        <v>1417</v>
      </c>
      <c r="AG694" s="2389"/>
      <c r="AH694" s="2389"/>
      <c r="AI694" s="2389"/>
      <c r="AJ694" s="2389"/>
      <c r="AK694" s="2389"/>
      <c r="AL694" s="2389"/>
      <c r="AM694" s="594"/>
      <c r="AN694" s="595"/>
      <c r="AO694" s="609" t="s">
        <v>687</v>
      </c>
      <c r="AP694" s="549">
        <v>3</v>
      </c>
    </row>
    <row r="695" spans="1:50" s="549" customFormat="1" ht="12.75" customHeight="1">
      <c r="A695" s="675"/>
      <c r="B695" s="536"/>
      <c r="C695" s="927"/>
      <c r="D695" s="659"/>
      <c r="E695" s="2388"/>
      <c r="F695" s="2388"/>
      <c r="G695" s="2388"/>
      <c r="H695" s="2388"/>
      <c r="I695" s="2388"/>
      <c r="J695" s="2388"/>
      <c r="K695" s="2388"/>
      <c r="L695" s="2388"/>
      <c r="M695" s="2388"/>
      <c r="N695" s="2388"/>
      <c r="O695" s="2388"/>
      <c r="P695" s="2388"/>
      <c r="Q695" s="2388"/>
      <c r="R695" s="2388"/>
      <c r="S695" s="2388"/>
      <c r="T695" s="2388"/>
      <c r="U695" s="2388"/>
      <c r="V695" s="2388"/>
      <c r="W695" s="2388"/>
      <c r="X695" s="2388"/>
      <c r="Y695" s="2388"/>
      <c r="Z695" s="2388"/>
      <c r="AA695" s="2388"/>
      <c r="AB695" s="2388"/>
      <c r="AC695" s="2388"/>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388"/>
      <c r="F696" s="2388"/>
      <c r="G696" s="2388"/>
      <c r="H696" s="2388"/>
      <c r="I696" s="2388"/>
      <c r="J696" s="2388"/>
      <c r="K696" s="2388"/>
      <c r="L696" s="2388"/>
      <c r="M696" s="2388"/>
      <c r="N696" s="2388"/>
      <c r="O696" s="2388"/>
      <c r="P696" s="2388"/>
      <c r="Q696" s="2388"/>
      <c r="R696" s="2388"/>
      <c r="S696" s="2388"/>
      <c r="T696" s="2388"/>
      <c r="U696" s="2388"/>
      <c r="V696" s="2388"/>
      <c r="W696" s="2388"/>
      <c r="X696" s="2388"/>
      <c r="Y696" s="2388"/>
      <c r="Z696" s="2388"/>
      <c r="AA696" s="2388"/>
      <c r="AB696" s="2388"/>
      <c r="AC696" s="2388"/>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2390" t="s">
        <v>687</v>
      </c>
      <c r="I698" s="2390"/>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2391">
        <f>VLOOKUP($H$698,$AO$646:$AP$653,2,FALSE)</f>
        <v>5</v>
      </c>
      <c r="AK700" s="2392"/>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2092</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2138</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2139</v>
      </c>
      <c r="AX703" s="1146">
        <f>Application!G761</f>
        <v>188</v>
      </c>
    </row>
    <row r="704" spans="1:50" s="549" customFormat="1" ht="12.75" customHeight="1">
      <c r="A704" s="675"/>
      <c r="B704" s="536"/>
      <c r="C704" s="944"/>
      <c r="D704" s="659" t="s">
        <v>687</v>
      </c>
      <c r="E704" s="2394" t="s">
        <v>2145</v>
      </c>
      <c r="F704" s="2394"/>
      <c r="G704" s="2394"/>
      <c r="H704" s="2394"/>
      <c r="I704" s="2394"/>
      <c r="J704" s="2394"/>
      <c r="K704" s="2394"/>
      <c r="L704" s="2394"/>
      <c r="M704" s="2394"/>
      <c r="N704" s="2394"/>
      <c r="O704" s="2394"/>
      <c r="P704" s="2394"/>
      <c r="Q704" s="2394"/>
      <c r="R704" s="2394"/>
      <c r="S704" s="2394"/>
      <c r="T704" s="2394"/>
      <c r="U704" s="2394"/>
      <c r="V704" s="2394"/>
      <c r="W704" s="2394"/>
      <c r="X704" s="2394"/>
      <c r="Y704" s="2394"/>
      <c r="Z704" s="2394"/>
      <c r="AA704" s="2394"/>
      <c r="AB704" s="2394"/>
      <c r="AC704" s="536"/>
      <c r="AD704" s="536"/>
      <c r="AE704" s="536"/>
      <c r="AF704" s="2389" t="s">
        <v>1346</v>
      </c>
      <c r="AG704" s="2389"/>
      <c r="AH704" s="2389"/>
      <c r="AI704" s="2389"/>
      <c r="AJ704" s="2389"/>
      <c r="AK704" s="2389"/>
      <c r="AL704" s="2389"/>
      <c r="AN704" s="595"/>
      <c r="AW704" s="22" t="s">
        <v>2140</v>
      </c>
      <c r="AX704" s="549">
        <f>Application!DE761</f>
        <v>0</v>
      </c>
    </row>
    <row r="705" spans="1:51" s="549" customFormat="1" ht="12.75" customHeight="1">
      <c r="A705" s="675"/>
      <c r="B705" s="536"/>
      <c r="C705" s="944"/>
      <c r="D705" s="659"/>
      <c r="E705" s="2394"/>
      <c r="F705" s="2394"/>
      <c r="G705" s="2394"/>
      <c r="H705" s="2394"/>
      <c r="I705" s="2394"/>
      <c r="J705" s="2394"/>
      <c r="K705" s="2394"/>
      <c r="L705" s="2394"/>
      <c r="M705" s="2394"/>
      <c r="N705" s="2394"/>
      <c r="O705" s="2394"/>
      <c r="P705" s="2394"/>
      <c r="Q705" s="2394"/>
      <c r="R705" s="2394"/>
      <c r="S705" s="2394"/>
      <c r="T705" s="2394"/>
      <c r="U705" s="2394"/>
      <c r="V705" s="2394"/>
      <c r="W705" s="2394"/>
      <c r="X705" s="2394"/>
      <c r="Y705" s="2394"/>
      <c r="Z705" s="2394"/>
      <c r="AA705" s="2394"/>
      <c r="AB705" s="2394"/>
      <c r="AC705" s="536"/>
      <c r="AD705" s="536"/>
      <c r="AE705" s="536"/>
      <c r="AF705" s="536"/>
      <c r="AG705" s="536"/>
      <c r="AH705" s="536"/>
      <c r="AI705" s="536"/>
      <c r="AJ705" s="536"/>
      <c r="AK705" s="536"/>
      <c r="AL705" s="536"/>
      <c r="AN705" s="595"/>
      <c r="AW705" s="22" t="s">
        <v>2141</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2142</v>
      </c>
      <c r="AX706" s="549">
        <f>Application!DO761</f>
        <v>0</v>
      </c>
    </row>
    <row r="707" spans="1:51" s="549" customFormat="1" ht="12.75" customHeight="1">
      <c r="B707" s="536"/>
      <c r="C707" s="927"/>
      <c r="D707" s="659" t="s">
        <v>509</v>
      </c>
      <c r="E707" s="2388" t="s">
        <v>2090</v>
      </c>
      <c r="F707" s="2388"/>
      <c r="G707" s="2388"/>
      <c r="H707" s="2388"/>
      <c r="I707" s="2388"/>
      <c r="J707" s="2388"/>
      <c r="K707" s="2388"/>
      <c r="L707" s="2388"/>
      <c r="M707" s="2388"/>
      <c r="N707" s="2388"/>
      <c r="O707" s="2388"/>
      <c r="P707" s="2388"/>
      <c r="Q707" s="2388"/>
      <c r="R707" s="2388"/>
      <c r="S707" s="2388"/>
      <c r="T707" s="2388"/>
      <c r="U707" s="2388"/>
      <c r="V707" s="2388"/>
      <c r="W707" s="2388"/>
      <c r="X707" s="2388"/>
      <c r="Y707" s="2388"/>
      <c r="Z707" s="2388"/>
      <c r="AA707" s="2388"/>
      <c r="AB707" s="2388"/>
      <c r="AC707" s="536"/>
      <c r="AD707" s="536"/>
      <c r="AE707" s="536"/>
      <c r="AF707" s="2389" t="s">
        <v>1346</v>
      </c>
      <c r="AG707" s="2389"/>
      <c r="AH707" s="2389"/>
      <c r="AI707" s="2389"/>
      <c r="AJ707" s="2389"/>
      <c r="AK707" s="2389"/>
      <c r="AL707" s="2389"/>
      <c r="AN707" s="595"/>
      <c r="AW707" s="22" t="s">
        <v>2143</v>
      </c>
      <c r="AX707" s="549">
        <f>AX704+AX705+AX706</f>
        <v>0</v>
      </c>
    </row>
    <row r="708" spans="1:51" s="549" customFormat="1" ht="12.75" customHeight="1">
      <c r="B708" s="536"/>
      <c r="C708" s="936"/>
      <c r="D708" s="659"/>
      <c r="E708" s="2388"/>
      <c r="F708" s="2388"/>
      <c r="G708" s="2388"/>
      <c r="H708" s="2388"/>
      <c r="I708" s="2388"/>
      <c r="J708" s="2388"/>
      <c r="K708" s="2388"/>
      <c r="L708" s="2388"/>
      <c r="M708" s="2388"/>
      <c r="N708" s="2388"/>
      <c r="O708" s="2388"/>
      <c r="P708" s="2388"/>
      <c r="Q708" s="2388"/>
      <c r="R708" s="2388"/>
      <c r="S708" s="2388"/>
      <c r="T708" s="2388"/>
      <c r="U708" s="2388"/>
      <c r="V708" s="2388"/>
      <c r="W708" s="2388"/>
      <c r="X708" s="2388"/>
      <c r="Y708" s="2388"/>
      <c r="Z708" s="2388"/>
      <c r="AA708" s="2388"/>
      <c r="AB708" s="2388"/>
      <c r="AC708" s="536"/>
      <c r="AD708" s="536"/>
      <c r="AE708" s="614"/>
      <c r="AF708" s="536"/>
      <c r="AG708" s="536"/>
      <c r="AH708" s="536"/>
      <c r="AI708" s="536"/>
      <c r="AJ708" s="536"/>
      <c r="AK708" s="536"/>
      <c r="AL708" s="536"/>
      <c r="AN708" s="595"/>
      <c r="AO708" s="2458" t="b">
        <f>IF(Application!D211="Special Needs",IF(AY708&gt;=0.25,TRUE,FALSE),IF(AX708&gt;=0.25,TRUE,FALSE))</f>
        <v>0</v>
      </c>
      <c r="AP708" s="2458"/>
      <c r="AW708" s="22" t="s">
        <v>2144</v>
      </c>
      <c r="AX708" s="549">
        <f>IFERROR(AX707/AX703,0)</f>
        <v>0</v>
      </c>
      <c r="AY708" s="549">
        <f>IFERROR(AX707/(AX703-AX702),0)</f>
        <v>0</v>
      </c>
    </row>
    <row r="709" spans="1:51" s="549" customFormat="1" ht="12.75" customHeight="1">
      <c r="B709" s="536"/>
      <c r="C709" s="936"/>
      <c r="E709" s="2388"/>
      <c r="F709" s="2388"/>
      <c r="G709" s="2388"/>
      <c r="H709" s="2388"/>
      <c r="I709" s="2388"/>
      <c r="J709" s="2388"/>
      <c r="K709" s="2388"/>
      <c r="L709" s="2388"/>
      <c r="M709" s="2388"/>
      <c r="N709" s="2388"/>
      <c r="O709" s="2388"/>
      <c r="P709" s="2388"/>
      <c r="Q709" s="2388"/>
      <c r="R709" s="2388"/>
      <c r="S709" s="2388"/>
      <c r="T709" s="2388"/>
      <c r="U709" s="2388"/>
      <c r="V709" s="2388"/>
      <c r="W709" s="2388"/>
      <c r="X709" s="2388"/>
      <c r="Y709" s="2388"/>
      <c r="Z709" s="2388"/>
      <c r="AA709" s="2388"/>
      <c r="AB709" s="2388"/>
      <c r="AC709" s="536"/>
      <c r="AD709" s="536"/>
      <c r="AE709" s="614"/>
      <c r="AF709" s="614"/>
      <c r="AG709" s="614"/>
      <c r="AH709" s="614"/>
      <c r="AI709" s="614"/>
      <c r="AJ709" s="614"/>
      <c r="AK709" s="614"/>
      <c r="AL709" s="614"/>
      <c r="AN709" s="595"/>
      <c r="AW709" s="14"/>
    </row>
    <row r="710" spans="1:51" s="549" customFormat="1" ht="28.5" customHeight="1">
      <c r="B710" s="536"/>
      <c r="C710" s="936"/>
      <c r="D710" s="536"/>
      <c r="E710" s="2388"/>
      <c r="F710" s="2388"/>
      <c r="G710" s="2388"/>
      <c r="H710" s="2388"/>
      <c r="I710" s="2388"/>
      <c r="J710" s="2388"/>
      <c r="K710" s="2388"/>
      <c r="L710" s="2388"/>
      <c r="M710" s="2388"/>
      <c r="N710" s="2388"/>
      <c r="O710" s="2388"/>
      <c r="P710" s="2388"/>
      <c r="Q710" s="2388"/>
      <c r="R710" s="2388"/>
      <c r="S710" s="2388"/>
      <c r="T710" s="2388"/>
      <c r="U710" s="2388"/>
      <c r="V710" s="2388"/>
      <c r="W710" s="2388"/>
      <c r="X710" s="2388"/>
      <c r="Y710" s="2388"/>
      <c r="Z710" s="2388"/>
      <c r="AA710" s="2388"/>
      <c r="AB710" s="2388"/>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388" t="s">
        <v>2091</v>
      </c>
      <c r="F712" s="2388"/>
      <c r="G712" s="2388"/>
      <c r="H712" s="2388"/>
      <c r="I712" s="2388"/>
      <c r="J712" s="2388"/>
      <c r="K712" s="2388"/>
      <c r="L712" s="2388"/>
      <c r="M712" s="2388"/>
      <c r="N712" s="2388"/>
      <c r="O712" s="2388"/>
      <c r="P712" s="2388"/>
      <c r="Q712" s="2388"/>
      <c r="R712" s="2388"/>
      <c r="S712" s="2388"/>
      <c r="T712" s="2388"/>
      <c r="U712" s="2388"/>
      <c r="V712" s="2388"/>
      <c r="W712" s="2388"/>
      <c r="X712" s="2388"/>
      <c r="Y712" s="2388"/>
      <c r="Z712" s="2388"/>
      <c r="AA712" s="2388"/>
      <c r="AB712" s="2388"/>
      <c r="AC712" s="536"/>
      <c r="AD712" s="536"/>
      <c r="AE712" s="536"/>
      <c r="AF712" s="2389" t="s">
        <v>1400</v>
      </c>
      <c r="AG712" s="2389"/>
      <c r="AH712" s="2389"/>
      <c r="AI712" s="2389"/>
      <c r="AJ712" s="2389"/>
      <c r="AK712" s="2389"/>
      <c r="AL712" s="2389"/>
      <c r="AN712" s="595"/>
      <c r="AO712" s="609" t="s">
        <v>509</v>
      </c>
      <c r="AP712" s="549">
        <v>1</v>
      </c>
    </row>
    <row r="713" spans="1:51" s="549" customFormat="1" ht="12" customHeight="1">
      <c r="B713" s="536"/>
      <c r="C713" s="927"/>
      <c r="E713" s="2388"/>
      <c r="F713" s="2388"/>
      <c r="G713" s="2388"/>
      <c r="H713" s="2388"/>
      <c r="I713" s="2388"/>
      <c r="J713" s="2388"/>
      <c r="K713" s="2388"/>
      <c r="L713" s="2388"/>
      <c r="M713" s="2388"/>
      <c r="N713" s="2388"/>
      <c r="O713" s="2388"/>
      <c r="P713" s="2388"/>
      <c r="Q713" s="2388"/>
      <c r="R713" s="2388"/>
      <c r="S713" s="2388"/>
      <c r="T713" s="2388"/>
      <c r="U713" s="2388"/>
      <c r="V713" s="2388"/>
      <c r="W713" s="2388"/>
      <c r="X713" s="2388"/>
      <c r="Y713" s="2388"/>
      <c r="Z713" s="2388"/>
      <c r="AA713" s="2388"/>
      <c r="AB713" s="2388"/>
      <c r="AC713" s="536"/>
      <c r="AD713" s="536"/>
      <c r="AE713" s="614"/>
      <c r="AF713" s="536"/>
      <c r="AG713" s="536"/>
      <c r="AH713" s="536"/>
      <c r="AI713" s="536"/>
      <c r="AJ713" s="536"/>
      <c r="AK713" s="536"/>
      <c r="AL713" s="536"/>
      <c r="AN713" s="595"/>
    </row>
    <row r="714" spans="1:51" s="549" customFormat="1" ht="12" customHeight="1">
      <c r="B714" s="536"/>
      <c r="C714" s="927"/>
      <c r="D714" s="536"/>
      <c r="E714" s="2388"/>
      <c r="F714" s="2388"/>
      <c r="G714" s="2388"/>
      <c r="H714" s="2388"/>
      <c r="I714" s="2388"/>
      <c r="J714" s="2388"/>
      <c r="K714" s="2388"/>
      <c r="L714" s="2388"/>
      <c r="M714" s="2388"/>
      <c r="N714" s="2388"/>
      <c r="O714" s="2388"/>
      <c r="P714" s="2388"/>
      <c r="Q714" s="2388"/>
      <c r="R714" s="2388"/>
      <c r="S714" s="2388"/>
      <c r="T714" s="2388"/>
      <c r="U714" s="2388"/>
      <c r="V714" s="2388"/>
      <c r="W714" s="2388"/>
      <c r="X714" s="2388"/>
      <c r="Y714" s="2388"/>
      <c r="Z714" s="2388"/>
      <c r="AA714" s="2388"/>
      <c r="AB714" s="2388"/>
      <c r="AC714" s="536"/>
      <c r="AD714" s="536"/>
      <c r="AE714" s="614"/>
      <c r="AF714" s="536"/>
      <c r="AG714" s="536"/>
      <c r="AH714" s="536"/>
      <c r="AI714" s="536"/>
      <c r="AJ714" s="536"/>
      <c r="AK714" s="536"/>
      <c r="AL714" s="536"/>
      <c r="AN714" s="595"/>
    </row>
    <row r="715" spans="1:51" s="549" customFormat="1" ht="12" customHeight="1">
      <c r="B715" s="536"/>
      <c r="C715" s="927"/>
      <c r="D715" s="536"/>
      <c r="E715" s="2388"/>
      <c r="F715" s="2388"/>
      <c r="G715" s="2388"/>
      <c r="H715" s="2388"/>
      <c r="I715" s="2388"/>
      <c r="J715" s="2388"/>
      <c r="K715" s="2388"/>
      <c r="L715" s="2388"/>
      <c r="M715" s="2388"/>
      <c r="N715" s="2388"/>
      <c r="O715" s="2388"/>
      <c r="P715" s="2388"/>
      <c r="Q715" s="2388"/>
      <c r="R715" s="2388"/>
      <c r="S715" s="2388"/>
      <c r="T715" s="2388"/>
      <c r="U715" s="2388"/>
      <c r="V715" s="2388"/>
      <c r="W715" s="2388"/>
      <c r="X715" s="2388"/>
      <c r="Y715" s="2388"/>
      <c r="Z715" s="2388"/>
      <c r="AA715" s="2388"/>
      <c r="AB715" s="2388"/>
      <c r="AC715" s="536"/>
      <c r="AD715" s="536"/>
      <c r="AE715" s="614"/>
      <c r="AF715" s="536"/>
      <c r="AG715" s="536"/>
      <c r="AH715" s="536"/>
      <c r="AI715" s="536"/>
      <c r="AJ715" s="536"/>
      <c r="AK715" s="536"/>
      <c r="AL715" s="536"/>
      <c r="AN715" s="595"/>
    </row>
    <row r="716" spans="1:51" s="568" customFormat="1" ht="12.95" customHeight="1">
      <c r="A716" s="549"/>
      <c r="B716" s="536"/>
      <c r="C716" s="927"/>
      <c r="D716" s="536"/>
      <c r="E716" s="2388"/>
      <c r="F716" s="2388"/>
      <c r="G716" s="2388"/>
      <c r="H716" s="2388"/>
      <c r="I716" s="2388"/>
      <c r="J716" s="2388"/>
      <c r="K716" s="2388"/>
      <c r="L716" s="2388"/>
      <c r="M716" s="2388"/>
      <c r="N716" s="2388"/>
      <c r="O716" s="2388"/>
      <c r="P716" s="2388"/>
      <c r="Q716" s="2388"/>
      <c r="R716" s="2388"/>
      <c r="S716" s="2388"/>
      <c r="T716" s="2388"/>
      <c r="U716" s="2388"/>
      <c r="V716" s="2388"/>
      <c r="W716" s="2388"/>
      <c r="X716" s="2388"/>
      <c r="Y716" s="2388"/>
      <c r="Z716" s="2388"/>
      <c r="AA716" s="2388"/>
      <c r="AB716" s="2388"/>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388" t="s">
        <v>1682</v>
      </c>
      <c r="F718" s="2388"/>
      <c r="G718" s="2388"/>
      <c r="H718" s="2388"/>
      <c r="I718" s="2388"/>
      <c r="J718" s="2388"/>
      <c r="K718" s="2388"/>
      <c r="L718" s="2388"/>
      <c r="M718" s="2388"/>
      <c r="N718" s="2388"/>
      <c r="O718" s="2388"/>
      <c r="P718" s="2388"/>
      <c r="Q718" s="2388"/>
      <c r="R718" s="2388"/>
      <c r="S718" s="2388"/>
      <c r="T718" s="2388"/>
      <c r="U718" s="2388"/>
      <c r="V718" s="2388"/>
      <c r="W718" s="2388"/>
      <c r="X718" s="2388"/>
      <c r="Y718" s="2388"/>
      <c r="Z718" s="2388"/>
      <c r="AA718" s="2388"/>
      <c r="AB718" s="2388"/>
      <c r="AC718" s="536"/>
      <c r="AD718" s="536"/>
      <c r="AE718" s="614"/>
      <c r="AF718" s="614"/>
      <c r="AG718" s="614"/>
      <c r="AH718" s="614"/>
      <c r="AI718" s="614"/>
      <c r="AJ718" s="536"/>
      <c r="AK718" s="536"/>
      <c r="AL718" s="536"/>
      <c r="AM718" s="549"/>
      <c r="AN718" s="680"/>
      <c r="AO718" s="609" t="s">
        <v>509</v>
      </c>
      <c r="AP718" s="549">
        <f>3*$AO$708</f>
        <v>0</v>
      </c>
    </row>
    <row r="719" spans="1:51" s="568" customFormat="1" ht="12.75" customHeight="1">
      <c r="A719" s="549"/>
      <c r="B719" s="536"/>
      <c r="C719" s="927"/>
      <c r="D719" s="536"/>
      <c r="E719" s="2388"/>
      <c r="F719" s="2388"/>
      <c r="G719" s="2388"/>
      <c r="H719" s="2388"/>
      <c r="I719" s="2388"/>
      <c r="J719" s="2388"/>
      <c r="K719" s="2388"/>
      <c r="L719" s="2388"/>
      <c r="M719" s="2388"/>
      <c r="N719" s="2388"/>
      <c r="O719" s="2388"/>
      <c r="P719" s="2388"/>
      <c r="Q719" s="2388"/>
      <c r="R719" s="2388"/>
      <c r="S719" s="2388"/>
      <c r="T719" s="2388"/>
      <c r="U719" s="2388"/>
      <c r="V719" s="2388"/>
      <c r="W719" s="2388"/>
      <c r="X719" s="2388"/>
      <c r="Y719" s="2388"/>
      <c r="Z719" s="2388"/>
      <c r="AA719" s="2388"/>
      <c r="AB719" s="2388"/>
      <c r="AC719" s="536"/>
      <c r="AD719" s="536"/>
      <c r="AE719" s="614"/>
      <c r="AF719" s="614"/>
      <c r="AG719" s="614"/>
      <c r="AH719" s="614"/>
      <c r="AI719" s="614"/>
      <c r="AJ719" s="536"/>
      <c r="AK719" s="536"/>
      <c r="AL719" s="536"/>
      <c r="AM719" s="549"/>
      <c r="AN719" s="680"/>
      <c r="AO719" s="609" t="s">
        <v>278</v>
      </c>
      <c r="AP719" s="549">
        <f>2*$AO$708</f>
        <v>0</v>
      </c>
    </row>
    <row r="720" spans="1:51" s="568" customFormat="1" ht="12.75" customHeight="1">
      <c r="A720" s="549"/>
      <c r="B720" s="536"/>
      <c r="C720" s="927"/>
      <c r="D720" s="536"/>
      <c r="E720" s="2388"/>
      <c r="F720" s="2388"/>
      <c r="G720" s="2388"/>
      <c r="H720" s="2388"/>
      <c r="I720" s="2388"/>
      <c r="J720" s="2388"/>
      <c r="K720" s="2388"/>
      <c r="L720" s="2388"/>
      <c r="M720" s="2388"/>
      <c r="N720" s="2388"/>
      <c r="O720" s="2388"/>
      <c r="P720" s="2388"/>
      <c r="Q720" s="2388"/>
      <c r="R720" s="2388"/>
      <c r="S720" s="2388"/>
      <c r="T720" s="2388"/>
      <c r="U720" s="2388"/>
      <c r="V720" s="2388"/>
      <c r="W720" s="2388"/>
      <c r="X720" s="2388"/>
      <c r="Y720" s="2388"/>
      <c r="Z720" s="2388"/>
      <c r="AA720" s="2388"/>
      <c r="AB720" s="2388"/>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2390" t="s">
        <v>687</v>
      </c>
      <c r="I722" s="2390"/>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2093</v>
      </c>
      <c r="AJ724" s="2391">
        <f>VLOOKUP($H$722,$AO$716:$AP$719,2,FALSE)</f>
        <v>3</v>
      </c>
      <c r="AK724" s="2392"/>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2530" t="s">
        <v>1684</v>
      </c>
      <c r="F728" s="2530"/>
      <c r="G728" s="2530"/>
      <c r="H728" s="2530"/>
      <c r="I728" s="2530"/>
      <c r="J728" s="2530"/>
      <c r="K728" s="2530"/>
      <c r="L728" s="2530"/>
      <c r="M728" s="2530"/>
      <c r="N728" s="2530"/>
      <c r="O728" s="2530"/>
      <c r="P728" s="2530"/>
      <c r="Q728" s="2530"/>
      <c r="R728" s="2530"/>
      <c r="S728" s="2530"/>
      <c r="T728" s="2530"/>
      <c r="U728" s="2530"/>
      <c r="V728" s="2530"/>
      <c r="W728" s="2530"/>
      <c r="X728" s="2530"/>
      <c r="Y728" s="2530"/>
      <c r="Z728" s="2530"/>
      <c r="AA728" s="2530"/>
      <c r="AB728" s="2530"/>
      <c r="AC728" s="536"/>
      <c r="AD728" s="536"/>
      <c r="AE728" s="536"/>
      <c r="AF728" s="2389" t="s">
        <v>1346</v>
      </c>
      <c r="AG728" s="2389"/>
      <c r="AH728" s="2389"/>
      <c r="AI728" s="2389"/>
      <c r="AJ728" s="2389"/>
      <c r="AK728" s="2389"/>
      <c r="AL728" s="2389"/>
      <c r="AM728" s="549"/>
      <c r="AN728" s="680"/>
      <c r="AP728" s="568" t="s">
        <v>1424</v>
      </c>
    </row>
    <row r="729" spans="1:43" s="568" customFormat="1" ht="11.85" customHeight="1">
      <c r="A729" s="549"/>
      <c r="B729" s="536"/>
      <c r="C729" s="929"/>
      <c r="D729" s="659"/>
      <c r="E729" s="2530"/>
      <c r="F729" s="2530"/>
      <c r="G729" s="2530"/>
      <c r="H729" s="2530"/>
      <c r="I729" s="2530"/>
      <c r="J729" s="2530"/>
      <c r="K729" s="2530"/>
      <c r="L729" s="2530"/>
      <c r="M729" s="2530"/>
      <c r="N729" s="2530"/>
      <c r="O729" s="2530"/>
      <c r="P729" s="2530"/>
      <c r="Q729" s="2530"/>
      <c r="R729" s="2530"/>
      <c r="S729" s="2530"/>
      <c r="T729" s="2530"/>
      <c r="U729" s="2530"/>
      <c r="V729" s="2530"/>
      <c r="W729" s="2530"/>
      <c r="X729" s="2530"/>
      <c r="Y729" s="2530"/>
      <c r="Z729" s="2530"/>
      <c r="AA729" s="2530"/>
      <c r="AB729" s="2530"/>
      <c r="AC729" s="536"/>
      <c r="AD729" s="536"/>
      <c r="AE729" s="536"/>
      <c r="AF729" s="536"/>
      <c r="AG729" s="536"/>
      <c r="AH729" s="536"/>
      <c r="AI729" s="536"/>
      <c r="AJ729" s="536"/>
      <c r="AK729" s="536"/>
      <c r="AL729" s="536"/>
      <c r="AM729" s="549"/>
      <c r="AN729" s="680"/>
      <c r="AP729" s="568" t="s">
        <v>1425</v>
      </c>
    </row>
    <row r="730" spans="1:43" s="568" customFormat="1" ht="13.9" customHeight="1">
      <c r="A730" s="549"/>
      <c r="B730" s="608"/>
      <c r="C730" s="927"/>
      <c r="D730" s="659"/>
      <c r="E730" s="2530"/>
      <c r="F730" s="2530"/>
      <c r="G730" s="2530"/>
      <c r="H730" s="2530"/>
      <c r="I730" s="2530"/>
      <c r="J730" s="2530"/>
      <c r="K730" s="2530"/>
      <c r="L730" s="2530"/>
      <c r="M730" s="2530"/>
      <c r="N730" s="2530"/>
      <c r="O730" s="2530"/>
      <c r="P730" s="2530"/>
      <c r="Q730" s="2530"/>
      <c r="R730" s="2530"/>
      <c r="S730" s="2530"/>
      <c r="T730" s="2530"/>
      <c r="U730" s="2530"/>
      <c r="V730" s="2530"/>
      <c r="W730" s="2530"/>
      <c r="X730" s="2530"/>
      <c r="Y730" s="2530"/>
      <c r="Z730" s="2530"/>
      <c r="AA730" s="2530"/>
      <c r="AB730" s="2530"/>
      <c r="AC730" s="536"/>
      <c r="AD730" s="536"/>
      <c r="AE730" s="614"/>
      <c r="AF730" s="536"/>
      <c r="AG730" s="536"/>
      <c r="AH730" s="536"/>
      <c r="AI730" s="536"/>
      <c r="AJ730" s="536"/>
      <c r="AK730" s="536"/>
      <c r="AL730" s="536"/>
      <c r="AM730" s="549"/>
      <c r="AN730" s="680"/>
      <c r="AP730" s="568" t="s">
        <v>1426</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3.9" customHeight="1">
      <c r="A732" s="549"/>
      <c r="B732" s="536"/>
      <c r="C732" s="927"/>
      <c r="D732" s="659" t="s">
        <v>509</v>
      </c>
      <c r="E732" s="2531" t="s">
        <v>1427</v>
      </c>
      <c r="F732" s="2531"/>
      <c r="G732" s="2531"/>
      <c r="H732" s="2531"/>
      <c r="I732" s="2531"/>
      <c r="J732" s="2531"/>
      <c r="K732" s="2531"/>
      <c r="L732" s="2531"/>
      <c r="M732" s="2531"/>
      <c r="N732" s="2531"/>
      <c r="O732" s="2531"/>
      <c r="P732" s="2531"/>
      <c r="Q732" s="2531"/>
      <c r="R732" s="2531"/>
      <c r="S732" s="2531"/>
      <c r="T732" s="2531"/>
      <c r="U732" s="2531"/>
      <c r="V732" s="2531"/>
      <c r="W732" s="2531"/>
      <c r="X732" s="2531"/>
      <c r="Y732" s="2531"/>
      <c r="Z732" s="2531"/>
      <c r="AA732" s="2531"/>
      <c r="AB732" s="2531"/>
      <c r="AC732" s="536"/>
      <c r="AD732" s="536"/>
      <c r="AE732" s="536"/>
      <c r="AF732" s="2389" t="s">
        <v>1400</v>
      </c>
      <c r="AG732" s="2389"/>
      <c r="AH732" s="2389"/>
      <c r="AI732" s="2389"/>
      <c r="AJ732" s="2389"/>
      <c r="AK732" s="2389"/>
      <c r="AL732" s="2389"/>
      <c r="AM732" s="549"/>
      <c r="AN732" s="681"/>
    </row>
    <row r="733" spans="1:43" s="568" customFormat="1" ht="12.75" customHeight="1">
      <c r="A733" s="549"/>
      <c r="B733" s="536"/>
      <c r="C733" s="929"/>
      <c r="D733" s="536"/>
      <c r="E733" s="2531"/>
      <c r="F733" s="2531"/>
      <c r="G733" s="2531"/>
      <c r="H733" s="2531"/>
      <c r="I733" s="2531"/>
      <c r="J733" s="2531"/>
      <c r="K733" s="2531"/>
      <c r="L733" s="2531"/>
      <c r="M733" s="2531"/>
      <c r="N733" s="2531"/>
      <c r="O733" s="2531"/>
      <c r="P733" s="2531"/>
      <c r="Q733" s="2531"/>
      <c r="R733" s="2531"/>
      <c r="S733" s="2531"/>
      <c r="T733" s="2531"/>
      <c r="U733" s="2531"/>
      <c r="V733" s="2531"/>
      <c r="W733" s="2531"/>
      <c r="X733" s="2531"/>
      <c r="Y733" s="2531"/>
      <c r="Z733" s="2531"/>
      <c r="AA733" s="2531"/>
      <c r="AB733" s="2531"/>
      <c r="AC733" s="536"/>
      <c r="AD733" s="536"/>
      <c r="AE733" s="536"/>
      <c r="AF733" s="536"/>
      <c r="AG733" s="536"/>
      <c r="AH733" s="536"/>
      <c r="AI733" s="536"/>
      <c r="AJ733" s="536"/>
      <c r="AK733" s="536"/>
      <c r="AL733" s="536"/>
      <c r="AM733" s="549"/>
      <c r="AN733" s="680"/>
      <c r="AP733" s="549" t="s">
        <v>591</v>
      </c>
      <c r="AQ733" s="669">
        <v>0</v>
      </c>
    </row>
    <row r="734" spans="1:43" s="568" customFormat="1" ht="13.9" customHeight="1">
      <c r="A734" s="549"/>
      <c r="B734" s="536"/>
      <c r="C734" s="929"/>
      <c r="D734" s="536"/>
      <c r="E734" s="2531"/>
      <c r="F734" s="2531"/>
      <c r="G734" s="2531"/>
      <c r="H734" s="2531"/>
      <c r="I734" s="2531"/>
      <c r="J734" s="2531"/>
      <c r="K734" s="2531"/>
      <c r="L734" s="2531"/>
      <c r="M734" s="2531"/>
      <c r="N734" s="2531"/>
      <c r="O734" s="2531"/>
      <c r="P734" s="2531"/>
      <c r="Q734" s="2531"/>
      <c r="R734" s="2531"/>
      <c r="S734" s="2531"/>
      <c r="T734" s="2531"/>
      <c r="U734" s="2531"/>
      <c r="V734" s="2531"/>
      <c r="W734" s="2531"/>
      <c r="X734" s="2531"/>
      <c r="Y734" s="2531"/>
      <c r="Z734" s="2531"/>
      <c r="AA734" s="2531"/>
      <c r="AB734" s="2531"/>
      <c r="AC734" s="536"/>
      <c r="AD734" s="536"/>
      <c r="AE734" s="536"/>
      <c r="AF734" s="536"/>
      <c r="AG734" s="536"/>
      <c r="AH734" s="536"/>
      <c r="AI734" s="536"/>
      <c r="AJ734" s="536"/>
      <c r="AK734" s="536"/>
      <c r="AL734" s="536"/>
      <c r="AM734" s="549"/>
      <c r="AN734" s="680"/>
      <c r="AP734" s="609" t="s">
        <v>687</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3.9" customHeight="1">
      <c r="A736" s="549"/>
      <c r="B736" s="536"/>
      <c r="C736" s="929"/>
      <c r="D736" s="536" t="s">
        <v>1392</v>
      </c>
      <c r="E736" s="932"/>
      <c r="F736" s="932"/>
      <c r="G736" s="932"/>
      <c r="H736" s="2390" t="s">
        <v>591</v>
      </c>
      <c r="I736" s="2390"/>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2391">
        <f>VLOOKUP($H$736,$AP$733:$AQ$735,2,FALSE)</f>
        <v>0</v>
      </c>
      <c r="AK738" s="2392"/>
      <c r="AL738" s="593"/>
      <c r="AM738" s="549"/>
      <c r="AN738" s="680"/>
      <c r="AP738" s="2391"/>
      <c r="AQ738" s="2392"/>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388" t="s">
        <v>1685</v>
      </c>
      <c r="F742" s="2388"/>
      <c r="G742" s="2388"/>
      <c r="H742" s="2388"/>
      <c r="I742" s="2388"/>
      <c r="J742" s="2388"/>
      <c r="K742" s="2388"/>
      <c r="L742" s="2388"/>
      <c r="M742" s="2388"/>
      <c r="N742" s="2388"/>
      <c r="O742" s="2388"/>
      <c r="P742" s="2388"/>
      <c r="Q742" s="2388"/>
      <c r="R742" s="2388"/>
      <c r="S742" s="2388"/>
      <c r="T742" s="2388"/>
      <c r="U742" s="2388"/>
      <c r="V742" s="2388"/>
      <c r="W742" s="2388"/>
      <c r="X742" s="2388"/>
      <c r="Y742" s="2388"/>
      <c r="Z742" s="2388"/>
      <c r="AA742" s="2388"/>
      <c r="AB742" s="2388"/>
      <c r="AC742" s="536"/>
      <c r="AD742" s="536"/>
      <c r="AE742" s="536"/>
      <c r="AF742" s="2389" t="s">
        <v>1346</v>
      </c>
      <c r="AG742" s="2389"/>
      <c r="AH742" s="2389"/>
      <c r="AI742" s="2389"/>
      <c r="AJ742" s="2389"/>
      <c r="AK742" s="2389"/>
      <c r="AL742" s="2389"/>
      <c r="AM742" s="549"/>
      <c r="AN742" s="680"/>
      <c r="AT742" s="14"/>
      <c r="AU742" s="14"/>
      <c r="AV742" s="14"/>
      <c r="AW742" s="14"/>
      <c r="AX742" s="14"/>
      <c r="AY742" s="14"/>
      <c r="AZ742" s="14"/>
    </row>
    <row r="743" spans="1:81" s="568" customFormat="1">
      <c r="A743" s="549"/>
      <c r="B743" s="536"/>
      <c r="C743" s="929"/>
      <c r="D743" s="659"/>
      <c r="E743" s="2388"/>
      <c r="F743" s="2388"/>
      <c r="G743" s="2388"/>
      <c r="H743" s="2388"/>
      <c r="I743" s="2388"/>
      <c r="J743" s="2388"/>
      <c r="K743" s="2388"/>
      <c r="L743" s="2388"/>
      <c r="M743" s="2388"/>
      <c r="N743" s="2388"/>
      <c r="O743" s="2388"/>
      <c r="P743" s="2388"/>
      <c r="Q743" s="2388"/>
      <c r="R743" s="2388"/>
      <c r="S743" s="2388"/>
      <c r="T743" s="2388"/>
      <c r="U743" s="2388"/>
      <c r="V743" s="2388"/>
      <c r="W743" s="2388"/>
      <c r="X743" s="2388"/>
      <c r="Y743" s="2388"/>
      <c r="Z743" s="2388"/>
      <c r="AA743" s="2388"/>
      <c r="AB743" s="2388"/>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388" t="s">
        <v>1431</v>
      </c>
      <c r="F745" s="2388"/>
      <c r="G745" s="2388"/>
      <c r="H745" s="2388"/>
      <c r="I745" s="2388"/>
      <c r="J745" s="2388"/>
      <c r="K745" s="2388"/>
      <c r="L745" s="2388"/>
      <c r="M745" s="2388"/>
      <c r="N745" s="2388"/>
      <c r="O745" s="2388"/>
      <c r="P745" s="2388"/>
      <c r="Q745" s="2388"/>
      <c r="R745" s="2388"/>
      <c r="S745" s="2388"/>
      <c r="T745" s="2388"/>
      <c r="U745" s="2388"/>
      <c r="V745" s="2388"/>
      <c r="W745" s="2388"/>
      <c r="X745" s="2388"/>
      <c r="Y745" s="2388"/>
      <c r="Z745" s="2388"/>
      <c r="AA745" s="2388"/>
      <c r="AB745" s="2388"/>
      <c r="AC745" s="536"/>
      <c r="AD745" s="536"/>
      <c r="AE745" s="536"/>
      <c r="AF745" s="2389" t="s">
        <v>1400</v>
      </c>
      <c r="AG745" s="2389"/>
      <c r="AH745" s="2389"/>
      <c r="AI745" s="2389"/>
      <c r="AJ745" s="2389"/>
      <c r="AK745" s="2389"/>
      <c r="AL745" s="2389"/>
      <c r="AM745" s="549"/>
      <c r="AN745" s="680"/>
      <c r="AT745" s="14"/>
      <c r="AU745" s="14"/>
      <c r="AV745" s="14"/>
      <c r="AW745" s="14"/>
      <c r="AX745" s="14"/>
      <c r="AY745" s="14"/>
      <c r="AZ745" s="14"/>
    </row>
    <row r="746" spans="1:81" s="568" customFormat="1">
      <c r="A746" s="549"/>
      <c r="B746" s="536"/>
      <c r="C746" s="929"/>
      <c r="D746" s="536"/>
      <c r="E746" s="2388"/>
      <c r="F746" s="2388"/>
      <c r="G746" s="2388"/>
      <c r="H746" s="2388"/>
      <c r="I746" s="2388"/>
      <c r="J746" s="2388"/>
      <c r="K746" s="2388"/>
      <c r="L746" s="2388"/>
      <c r="M746" s="2388"/>
      <c r="N746" s="2388"/>
      <c r="O746" s="2388"/>
      <c r="P746" s="2388"/>
      <c r="Q746" s="2388"/>
      <c r="R746" s="2388"/>
      <c r="S746" s="2388"/>
      <c r="T746" s="2388"/>
      <c r="U746" s="2388"/>
      <c r="V746" s="2388"/>
      <c r="W746" s="2388"/>
      <c r="X746" s="2388"/>
      <c r="Y746" s="2388"/>
      <c r="Z746" s="2388"/>
      <c r="AA746" s="2388"/>
      <c r="AB746" s="2388"/>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2390" t="s">
        <v>591</v>
      </c>
      <c r="I748" s="2390"/>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2391">
        <f>VLOOKUP($H$748,$AO$679:$AP$681,2,FALSE)</f>
        <v>0</v>
      </c>
      <c r="AK750" s="2392"/>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388" t="s">
        <v>1434</v>
      </c>
      <c r="F754" s="2388"/>
      <c r="G754" s="2388"/>
      <c r="H754" s="2388"/>
      <c r="I754" s="2388"/>
      <c r="J754" s="2388"/>
      <c r="K754" s="2388"/>
      <c r="L754" s="2388"/>
      <c r="M754" s="2388"/>
      <c r="N754" s="2388"/>
      <c r="O754" s="2388"/>
      <c r="P754" s="2388"/>
      <c r="Q754" s="2388"/>
      <c r="R754" s="2388"/>
      <c r="S754" s="2388"/>
      <c r="T754" s="2388"/>
      <c r="U754" s="2388"/>
      <c r="V754" s="2388"/>
      <c r="W754" s="2388"/>
      <c r="X754" s="2388"/>
      <c r="Y754" s="2388"/>
      <c r="Z754" s="2388"/>
      <c r="AA754" s="2388"/>
      <c r="AB754" s="2388"/>
      <c r="AC754" s="536"/>
      <c r="AD754" s="536"/>
      <c r="AE754" s="536"/>
      <c r="AF754" s="2389" t="s">
        <v>1346</v>
      </c>
      <c r="AG754" s="2389"/>
      <c r="AH754" s="2389"/>
      <c r="AI754" s="2389"/>
      <c r="AJ754" s="2389"/>
      <c r="AK754" s="2389"/>
      <c r="AL754" s="2389"/>
      <c r="AM754" s="549"/>
      <c r="AN754" s="680"/>
      <c r="AT754" s="14"/>
      <c r="AU754" s="14"/>
      <c r="AV754" s="14"/>
      <c r="AW754" s="14"/>
      <c r="AX754" s="14"/>
      <c r="AY754" s="14"/>
      <c r="AZ754" s="14"/>
    </row>
    <row r="755" spans="1:81" s="568" customFormat="1">
      <c r="A755" s="549"/>
      <c r="B755" s="536"/>
      <c r="C755" s="927"/>
      <c r="D755" s="659"/>
      <c r="E755" s="2388"/>
      <c r="F755" s="2388"/>
      <c r="G755" s="2388"/>
      <c r="H755" s="2388"/>
      <c r="I755" s="2388"/>
      <c r="J755" s="2388"/>
      <c r="K755" s="2388"/>
      <c r="L755" s="2388"/>
      <c r="M755" s="2388"/>
      <c r="N755" s="2388"/>
      <c r="O755" s="2388"/>
      <c r="P755" s="2388"/>
      <c r="Q755" s="2388"/>
      <c r="R755" s="2388"/>
      <c r="S755" s="2388"/>
      <c r="T755" s="2388"/>
      <c r="U755" s="2388"/>
      <c r="V755" s="2388"/>
      <c r="W755" s="2388"/>
      <c r="X755" s="2388"/>
      <c r="Y755" s="2388"/>
      <c r="Z755" s="2388"/>
      <c r="AA755" s="2388"/>
      <c r="AB755" s="2388"/>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88"/>
      <c r="F756" s="2388"/>
      <c r="G756" s="2388"/>
      <c r="H756" s="2388"/>
      <c r="I756" s="2388"/>
      <c r="J756" s="2388"/>
      <c r="K756" s="2388"/>
      <c r="L756" s="2388"/>
      <c r="M756" s="2388"/>
      <c r="N756" s="2388"/>
      <c r="O756" s="2388"/>
      <c r="P756" s="2388"/>
      <c r="Q756" s="2388"/>
      <c r="R756" s="2388"/>
      <c r="S756" s="2388"/>
      <c r="T756" s="2388"/>
      <c r="U756" s="2388"/>
      <c r="V756" s="2388"/>
      <c r="W756" s="2388"/>
      <c r="X756" s="2388"/>
      <c r="Y756" s="2388"/>
      <c r="Z756" s="2388"/>
      <c r="AA756" s="2388"/>
      <c r="AB756" s="2388"/>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88"/>
      <c r="F757" s="2388"/>
      <c r="G757" s="2388"/>
      <c r="H757" s="2388"/>
      <c r="I757" s="2388"/>
      <c r="J757" s="2388"/>
      <c r="K757" s="2388"/>
      <c r="L757" s="2388"/>
      <c r="M757" s="2388"/>
      <c r="N757" s="2388"/>
      <c r="O757" s="2388"/>
      <c r="P757" s="2388"/>
      <c r="Q757" s="2388"/>
      <c r="R757" s="2388"/>
      <c r="S757" s="2388"/>
      <c r="T757" s="2388"/>
      <c r="U757" s="2388"/>
      <c r="V757" s="2388"/>
      <c r="W757" s="2388"/>
      <c r="X757" s="2388"/>
      <c r="Y757" s="2388"/>
      <c r="Z757" s="2388"/>
      <c r="AA757" s="2388"/>
      <c r="AB757" s="2388"/>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388" t="s">
        <v>1435</v>
      </c>
      <c r="F759" s="2388"/>
      <c r="G759" s="2388"/>
      <c r="H759" s="2388"/>
      <c r="I759" s="2388"/>
      <c r="J759" s="2388"/>
      <c r="K759" s="2388"/>
      <c r="L759" s="2388"/>
      <c r="M759" s="2388"/>
      <c r="N759" s="2388"/>
      <c r="O759" s="2388"/>
      <c r="P759" s="2388"/>
      <c r="Q759" s="2388"/>
      <c r="R759" s="2388"/>
      <c r="S759" s="2388"/>
      <c r="T759" s="2388"/>
      <c r="U759" s="2388"/>
      <c r="V759" s="2388"/>
      <c r="W759" s="2388"/>
      <c r="X759" s="2388"/>
      <c r="Y759" s="2388"/>
      <c r="Z759" s="2388"/>
      <c r="AA759" s="2388"/>
      <c r="AB759" s="573"/>
      <c r="AC759" s="536"/>
      <c r="AD759" s="536"/>
      <c r="AE759" s="536"/>
      <c r="AF759" s="2389" t="s">
        <v>1400</v>
      </c>
      <c r="AG759" s="2389"/>
      <c r="AH759" s="2389"/>
      <c r="AI759" s="2389"/>
      <c r="AJ759" s="2389"/>
      <c r="AK759" s="2389"/>
      <c r="AL759" s="2389"/>
      <c r="AM759" s="549"/>
      <c r="AN759" s="680"/>
      <c r="AO759" s="30"/>
      <c r="AP759" s="14"/>
    </row>
    <row r="760" spans="1:81" s="568" customFormat="1">
      <c r="A760" s="549"/>
      <c r="B760" s="536"/>
      <c r="C760" s="927"/>
      <c r="D760" s="659"/>
      <c r="E760" s="2388"/>
      <c r="F760" s="2388"/>
      <c r="G760" s="2388"/>
      <c r="H760" s="2388"/>
      <c r="I760" s="2388"/>
      <c r="J760" s="2388"/>
      <c r="K760" s="2388"/>
      <c r="L760" s="2388"/>
      <c r="M760" s="2388"/>
      <c r="N760" s="2388"/>
      <c r="O760" s="2388"/>
      <c r="P760" s="2388"/>
      <c r="Q760" s="2388"/>
      <c r="R760" s="2388"/>
      <c r="S760" s="2388"/>
      <c r="T760" s="2388"/>
      <c r="U760" s="2388"/>
      <c r="V760" s="2388"/>
      <c r="W760" s="2388"/>
      <c r="X760" s="2388"/>
      <c r="Y760" s="2388"/>
      <c r="Z760" s="2388"/>
      <c r="AA760" s="2388"/>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88"/>
      <c r="F761" s="2388"/>
      <c r="G761" s="2388"/>
      <c r="H761" s="2388"/>
      <c r="I761" s="2388"/>
      <c r="J761" s="2388"/>
      <c r="K761" s="2388"/>
      <c r="L761" s="2388"/>
      <c r="M761" s="2388"/>
      <c r="N761" s="2388"/>
      <c r="O761" s="2388"/>
      <c r="P761" s="2388"/>
      <c r="Q761" s="2388"/>
      <c r="R761" s="2388"/>
      <c r="S761" s="2388"/>
      <c r="T761" s="2388"/>
      <c r="U761" s="2388"/>
      <c r="V761" s="2388"/>
      <c r="W761" s="2388"/>
      <c r="X761" s="2388"/>
      <c r="Y761" s="2388"/>
      <c r="Z761" s="2388"/>
      <c r="AA761" s="2388"/>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88"/>
      <c r="F762" s="2388"/>
      <c r="G762" s="2388"/>
      <c r="H762" s="2388"/>
      <c r="I762" s="2388"/>
      <c r="J762" s="2388"/>
      <c r="K762" s="2388"/>
      <c r="L762" s="2388"/>
      <c r="M762" s="2388"/>
      <c r="N762" s="2388"/>
      <c r="O762" s="2388"/>
      <c r="P762" s="2388"/>
      <c r="Q762" s="2388"/>
      <c r="R762" s="2388"/>
      <c r="S762" s="2388"/>
      <c r="T762" s="2388"/>
      <c r="U762" s="2388"/>
      <c r="V762" s="2388"/>
      <c r="W762" s="2388"/>
      <c r="X762" s="2388"/>
      <c r="Y762" s="2388"/>
      <c r="Z762" s="2388"/>
      <c r="AA762" s="2388"/>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2390" t="s">
        <v>687</v>
      </c>
      <c r="I764" s="2390"/>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2391">
        <f>VLOOKUP($H$764,$AO$693:$AP$695,2,FALSE)</f>
        <v>3</v>
      </c>
      <c r="AK766" s="2392"/>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388" t="s">
        <v>1437</v>
      </c>
      <c r="F770" s="2388"/>
      <c r="G770" s="2388"/>
      <c r="H770" s="2388"/>
      <c r="I770" s="2388"/>
      <c r="J770" s="2388"/>
      <c r="K770" s="2388"/>
      <c r="L770" s="2388"/>
      <c r="M770" s="2388"/>
      <c r="N770" s="2388"/>
      <c r="O770" s="2388"/>
      <c r="P770" s="2388"/>
      <c r="Q770" s="2388"/>
      <c r="R770" s="2388"/>
      <c r="S770" s="2388"/>
      <c r="T770" s="2388"/>
      <c r="U770" s="2388"/>
      <c r="V770" s="2388"/>
      <c r="W770" s="2388"/>
      <c r="X770" s="2388"/>
      <c r="Y770" s="2388"/>
      <c r="Z770" s="2388"/>
      <c r="AA770" s="2388"/>
      <c r="AB770" s="2388"/>
      <c r="AC770" s="536"/>
      <c r="AD770" s="536"/>
      <c r="AE770" s="536"/>
      <c r="AF770" s="2389" t="s">
        <v>1400</v>
      </c>
      <c r="AG770" s="2389"/>
      <c r="AH770" s="2389"/>
      <c r="AI770" s="2389"/>
      <c r="AJ770" s="2389"/>
      <c r="AK770" s="2389"/>
      <c r="AL770" s="2389"/>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88"/>
      <c r="F771" s="2388"/>
      <c r="G771" s="2388"/>
      <c r="H771" s="2388"/>
      <c r="I771" s="2388"/>
      <c r="J771" s="2388"/>
      <c r="K771" s="2388"/>
      <c r="L771" s="2388"/>
      <c r="M771" s="2388"/>
      <c r="N771" s="2388"/>
      <c r="O771" s="2388"/>
      <c r="P771" s="2388"/>
      <c r="Q771" s="2388"/>
      <c r="R771" s="2388"/>
      <c r="S771" s="2388"/>
      <c r="T771" s="2388"/>
      <c r="U771" s="2388"/>
      <c r="V771" s="2388"/>
      <c r="W771" s="2388"/>
      <c r="X771" s="2388"/>
      <c r="Y771" s="2388"/>
      <c r="Z771" s="2388"/>
      <c r="AA771" s="2388"/>
      <c r="AB771" s="2388"/>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388" t="s">
        <v>1438</v>
      </c>
      <c r="F773" s="2388"/>
      <c r="G773" s="2388"/>
      <c r="H773" s="2388"/>
      <c r="I773" s="2388"/>
      <c r="J773" s="2388"/>
      <c r="K773" s="2388"/>
      <c r="L773" s="2388"/>
      <c r="M773" s="2388"/>
      <c r="N773" s="2388"/>
      <c r="O773" s="2388"/>
      <c r="P773" s="2388"/>
      <c r="Q773" s="2388"/>
      <c r="R773" s="2388"/>
      <c r="S773" s="2388"/>
      <c r="T773" s="2388"/>
      <c r="U773" s="2388"/>
      <c r="V773" s="2388"/>
      <c r="W773" s="2388"/>
      <c r="X773" s="2388"/>
      <c r="Y773" s="2388"/>
      <c r="Z773" s="2388"/>
      <c r="AA773" s="2388"/>
      <c r="AB773" s="2388"/>
      <c r="AC773" s="536"/>
      <c r="AD773" s="536"/>
      <c r="AE773" s="536"/>
      <c r="AF773" s="2389" t="s">
        <v>1417</v>
      </c>
      <c r="AG773" s="2389"/>
      <c r="AH773" s="2389"/>
      <c r="AI773" s="2389"/>
      <c r="AJ773" s="2389"/>
      <c r="AK773" s="2389"/>
      <c r="AL773" s="2389"/>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88"/>
      <c r="F774" s="2388"/>
      <c r="G774" s="2388"/>
      <c r="H774" s="2388"/>
      <c r="I774" s="2388"/>
      <c r="J774" s="2388"/>
      <c r="K774" s="2388"/>
      <c r="L774" s="2388"/>
      <c r="M774" s="2388"/>
      <c r="N774" s="2388"/>
      <c r="O774" s="2388"/>
      <c r="P774" s="2388"/>
      <c r="Q774" s="2388"/>
      <c r="R774" s="2388"/>
      <c r="S774" s="2388"/>
      <c r="T774" s="2388"/>
      <c r="U774" s="2388"/>
      <c r="V774" s="2388"/>
      <c r="W774" s="2388"/>
      <c r="X774" s="2388"/>
      <c r="Y774" s="2388"/>
      <c r="Z774" s="2388"/>
      <c r="AA774" s="2388"/>
      <c r="AB774" s="2388"/>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2390" t="s">
        <v>687</v>
      </c>
      <c r="I776" s="2390"/>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2391">
        <f>VLOOKUP($H$776,$AO$710:$AP$712,2,FALSE)</f>
        <v>2</v>
      </c>
      <c r="AK778" s="2392"/>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687</v>
      </c>
      <c r="E782" s="2388" t="s">
        <v>1681</v>
      </c>
      <c r="F782" s="2388"/>
      <c r="G782" s="2388"/>
      <c r="H782" s="2388"/>
      <c r="I782" s="2388"/>
      <c r="J782" s="2388"/>
      <c r="K782" s="2388"/>
      <c r="L782" s="2388"/>
      <c r="M782" s="2388"/>
      <c r="N782" s="2388"/>
      <c r="O782" s="2388"/>
      <c r="P782" s="2388"/>
      <c r="Q782" s="2388"/>
      <c r="R782" s="2388"/>
      <c r="S782" s="2388"/>
      <c r="T782" s="2388"/>
      <c r="U782" s="2388"/>
      <c r="V782" s="2388"/>
      <c r="W782" s="2388"/>
      <c r="X782" s="2388"/>
      <c r="Y782" s="2388"/>
      <c r="Z782" s="2388"/>
      <c r="AA782" s="2388"/>
      <c r="AB782" s="2388"/>
      <c r="AC782" s="2388"/>
      <c r="AD782" s="2388"/>
      <c r="AE782" s="536"/>
      <c r="AF782" s="2389" t="s">
        <v>1400</v>
      </c>
      <c r="AG782" s="2389"/>
      <c r="AH782" s="2389"/>
      <c r="AI782" s="2389"/>
      <c r="AJ782" s="2389"/>
      <c r="AK782" s="2389"/>
      <c r="AL782" s="2389"/>
      <c r="AM782" s="611"/>
      <c r="AN782" s="680"/>
      <c r="AO782" s="549" t="s">
        <v>591</v>
      </c>
      <c r="AP782" s="669">
        <v>0</v>
      </c>
    </row>
    <row r="783" spans="1:74" s="568" customFormat="1" ht="13.7" customHeight="1">
      <c r="A783" s="549"/>
      <c r="B783" s="614"/>
      <c r="C783" s="936"/>
      <c r="D783" s="659"/>
      <c r="E783" s="2388"/>
      <c r="F783" s="2388"/>
      <c r="G783" s="2388"/>
      <c r="H783" s="2388"/>
      <c r="I783" s="2388"/>
      <c r="J783" s="2388"/>
      <c r="K783" s="2388"/>
      <c r="L783" s="2388"/>
      <c r="M783" s="2388"/>
      <c r="N783" s="2388"/>
      <c r="O783" s="2388"/>
      <c r="P783" s="2388"/>
      <c r="Q783" s="2388"/>
      <c r="R783" s="2388"/>
      <c r="S783" s="2388"/>
      <c r="T783" s="2388"/>
      <c r="U783" s="2388"/>
      <c r="V783" s="2388"/>
      <c r="W783" s="2388"/>
      <c r="X783" s="2388"/>
      <c r="Y783" s="2388"/>
      <c r="Z783" s="2388"/>
      <c r="AA783" s="2388"/>
      <c r="AB783" s="2388"/>
      <c r="AC783" s="2388"/>
      <c r="AD783" s="2388"/>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388"/>
      <c r="F784" s="2388"/>
      <c r="G784" s="2388"/>
      <c r="H784" s="2388"/>
      <c r="I784" s="2388"/>
      <c r="J784" s="2388"/>
      <c r="K784" s="2388"/>
      <c r="L784" s="2388"/>
      <c r="M784" s="2388"/>
      <c r="N784" s="2388"/>
      <c r="O784" s="2388"/>
      <c r="P784" s="2388"/>
      <c r="Q784" s="2388"/>
      <c r="R784" s="2388"/>
      <c r="S784" s="2388"/>
      <c r="T784" s="2388"/>
      <c r="U784" s="2388"/>
      <c r="V784" s="2388"/>
      <c r="W784" s="2388"/>
      <c r="X784" s="2388"/>
      <c r="Y784" s="2388"/>
      <c r="Z784" s="2388"/>
      <c r="AA784" s="2388"/>
      <c r="AB784" s="2388"/>
      <c r="AC784" s="2388"/>
      <c r="AD784" s="2388"/>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388"/>
      <c r="F785" s="2388"/>
      <c r="G785" s="2388"/>
      <c r="H785" s="2388"/>
      <c r="I785" s="2388"/>
      <c r="J785" s="2388"/>
      <c r="K785" s="2388"/>
      <c r="L785" s="2388"/>
      <c r="M785" s="2388"/>
      <c r="N785" s="2388"/>
      <c r="O785" s="2388"/>
      <c r="P785" s="2388"/>
      <c r="Q785" s="2388"/>
      <c r="R785" s="2388"/>
      <c r="S785" s="2388"/>
      <c r="T785" s="2388"/>
      <c r="U785" s="2388"/>
      <c r="V785" s="2388"/>
      <c r="W785" s="2388"/>
      <c r="X785" s="2388"/>
      <c r="Y785" s="2388"/>
      <c r="Z785" s="2388"/>
      <c r="AA785" s="2388"/>
      <c r="AB785" s="2388"/>
      <c r="AC785" s="2388"/>
      <c r="AD785" s="2388"/>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29" t="s">
        <v>1686</v>
      </c>
      <c r="F787" s="2529"/>
      <c r="G787" s="2529"/>
      <c r="H787" s="2529"/>
      <c r="I787" s="2529"/>
      <c r="J787" s="2529"/>
      <c r="K787" s="2529"/>
      <c r="L787" s="2529"/>
      <c r="M787" s="2529"/>
      <c r="N787" s="2529"/>
      <c r="O787" s="2529"/>
      <c r="P787" s="2529"/>
      <c r="Q787" s="2529"/>
      <c r="R787" s="2529"/>
      <c r="S787" s="2529"/>
      <c r="T787" s="2529"/>
      <c r="U787" s="2529"/>
      <c r="V787" s="2529"/>
      <c r="W787" s="2529"/>
      <c r="X787" s="2529"/>
      <c r="Y787" s="2529"/>
      <c r="Z787" s="2529"/>
      <c r="AA787" s="2529"/>
      <c r="AB787" s="2529"/>
      <c r="AC787" s="2529"/>
      <c r="AD787" s="2529"/>
      <c r="AE787" s="536"/>
      <c r="AF787" s="2389" t="s">
        <v>1346</v>
      </c>
      <c r="AG787" s="2389"/>
      <c r="AH787" s="2389"/>
      <c r="AI787" s="2389"/>
      <c r="AJ787" s="2389"/>
      <c r="AK787" s="2389"/>
      <c r="AL787" s="2389"/>
      <c r="AM787" s="611"/>
      <c r="AN787" s="595"/>
    </row>
    <row r="788" spans="1:81" s="549" customFormat="1" ht="12.75" customHeight="1">
      <c r="B788" s="614"/>
      <c r="C788" s="936"/>
      <c r="D788" s="659"/>
      <c r="E788" s="2529"/>
      <c r="F788" s="2529"/>
      <c r="G788" s="2529"/>
      <c r="H788" s="2529"/>
      <c r="I788" s="2529"/>
      <c r="J788" s="2529"/>
      <c r="K788" s="2529"/>
      <c r="L788" s="2529"/>
      <c r="M788" s="2529"/>
      <c r="N788" s="2529"/>
      <c r="O788" s="2529"/>
      <c r="P788" s="2529"/>
      <c r="Q788" s="2529"/>
      <c r="R788" s="2529"/>
      <c r="S788" s="2529"/>
      <c r="T788" s="2529"/>
      <c r="U788" s="2529"/>
      <c r="V788" s="2529"/>
      <c r="W788" s="2529"/>
      <c r="X788" s="2529"/>
      <c r="Y788" s="2529"/>
      <c r="Z788" s="2529"/>
      <c r="AA788" s="2529"/>
      <c r="AB788" s="2529"/>
      <c r="AC788" s="2529"/>
      <c r="AD788" s="2529"/>
      <c r="AE788" s="592"/>
      <c r="AF788" s="592"/>
      <c r="AG788" s="592"/>
      <c r="AH788" s="592"/>
      <c r="AI788" s="592"/>
      <c r="AJ788" s="592"/>
      <c r="AK788" s="592"/>
      <c r="AL788" s="592"/>
      <c r="AM788" s="611"/>
      <c r="AN788" s="595"/>
    </row>
    <row r="789" spans="1:81" s="549" customFormat="1" ht="12.75" customHeight="1">
      <c r="B789" s="614"/>
      <c r="C789" s="936"/>
      <c r="D789" s="659"/>
      <c r="E789" s="2529"/>
      <c r="F789" s="2529"/>
      <c r="G789" s="2529"/>
      <c r="H789" s="2529"/>
      <c r="I789" s="2529"/>
      <c r="J789" s="2529"/>
      <c r="K789" s="2529"/>
      <c r="L789" s="2529"/>
      <c r="M789" s="2529"/>
      <c r="N789" s="2529"/>
      <c r="O789" s="2529"/>
      <c r="P789" s="2529"/>
      <c r="Q789" s="2529"/>
      <c r="R789" s="2529"/>
      <c r="S789" s="2529"/>
      <c r="T789" s="2529"/>
      <c r="U789" s="2529"/>
      <c r="V789" s="2529"/>
      <c r="W789" s="2529"/>
      <c r="X789" s="2529"/>
      <c r="Y789" s="2529"/>
      <c r="Z789" s="2529"/>
      <c r="AA789" s="2529"/>
      <c r="AB789" s="2529"/>
      <c r="AC789" s="2529"/>
      <c r="AD789" s="2529"/>
      <c r="AE789" s="592"/>
      <c r="AF789" s="592"/>
      <c r="AG789" s="592"/>
      <c r="AH789" s="592"/>
      <c r="AI789" s="592"/>
      <c r="AJ789" s="592"/>
      <c r="AK789" s="592"/>
      <c r="AL789" s="592"/>
      <c r="AM789" s="611"/>
      <c r="AN789" s="595"/>
    </row>
    <row r="790" spans="1:81" s="549" customFormat="1" ht="12.75" customHeight="1">
      <c r="B790" s="614"/>
      <c r="C790" s="936"/>
      <c r="D790" s="659"/>
      <c r="E790" s="2529"/>
      <c r="F790" s="2529"/>
      <c r="G790" s="2529"/>
      <c r="H790" s="2529"/>
      <c r="I790" s="2529"/>
      <c r="J790" s="2529"/>
      <c r="K790" s="2529"/>
      <c r="L790" s="2529"/>
      <c r="M790" s="2529"/>
      <c r="N790" s="2529"/>
      <c r="O790" s="2529"/>
      <c r="P790" s="2529"/>
      <c r="Q790" s="2529"/>
      <c r="R790" s="2529"/>
      <c r="S790" s="2529"/>
      <c r="T790" s="2529"/>
      <c r="U790" s="2529"/>
      <c r="V790" s="2529"/>
      <c r="W790" s="2529"/>
      <c r="X790" s="2529"/>
      <c r="Y790" s="2529"/>
      <c r="Z790" s="2529"/>
      <c r="AA790" s="2529"/>
      <c r="AB790" s="2529"/>
      <c r="AC790" s="2529"/>
      <c r="AD790" s="2529"/>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2390" t="s">
        <v>591</v>
      </c>
      <c r="I792" s="2390"/>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2391">
        <f>VLOOKUP($H$792,$AO$782:$AP$784,2,FALSE)</f>
        <v>0</v>
      </c>
      <c r="AK794" s="2392"/>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687</v>
      </c>
      <c r="E798" s="2388" t="s">
        <v>2640</v>
      </c>
      <c r="F798" s="2388"/>
      <c r="G798" s="2388"/>
      <c r="H798" s="2388"/>
      <c r="I798" s="2388"/>
      <c r="J798" s="2388"/>
      <c r="K798" s="2388"/>
      <c r="L798" s="2388"/>
      <c r="M798" s="2388"/>
      <c r="N798" s="2388"/>
      <c r="O798" s="2388"/>
      <c r="P798" s="2388"/>
      <c r="Q798" s="2388"/>
      <c r="R798" s="2388"/>
      <c r="S798" s="2388"/>
      <c r="T798" s="2388"/>
      <c r="U798" s="2388"/>
      <c r="V798" s="2388"/>
      <c r="W798" s="2388"/>
      <c r="X798" s="2388"/>
      <c r="Y798" s="2388"/>
      <c r="Z798" s="2388"/>
      <c r="AA798" s="2388"/>
      <c r="AB798" s="2388"/>
      <c r="AC798" s="2388"/>
      <c r="AD798" s="2388"/>
      <c r="AE798" s="536"/>
      <c r="AF798" s="2389" t="s">
        <v>1346</v>
      </c>
      <c r="AG798" s="2389"/>
      <c r="AH798" s="2389"/>
      <c r="AI798" s="2389"/>
      <c r="AJ798" s="2389"/>
      <c r="AK798" s="2389"/>
      <c r="AL798" s="2389"/>
      <c r="AM798" s="611"/>
      <c r="AN798" s="680"/>
      <c r="AO798" s="609" t="s">
        <v>545</v>
      </c>
      <c r="AP798" s="549">
        <v>3</v>
      </c>
      <c r="AT798" s="670"/>
      <c r="AU798" s="670"/>
      <c r="AV798" s="670"/>
      <c r="AW798" s="670"/>
      <c r="AX798" s="670"/>
      <c r="AY798" s="670"/>
      <c r="AZ798" s="670"/>
    </row>
    <row r="799" spans="1:81" s="568" customFormat="1" ht="13.7" customHeight="1">
      <c r="A799" s="549"/>
      <c r="B799" s="614"/>
      <c r="C799" s="936"/>
      <c r="D799" s="659"/>
      <c r="E799" s="2388"/>
      <c r="F799" s="2388"/>
      <c r="G799" s="2388"/>
      <c r="H799" s="2388"/>
      <c r="I799" s="2388"/>
      <c r="J799" s="2388"/>
      <c r="K799" s="2388"/>
      <c r="L799" s="2388"/>
      <c r="M799" s="2388"/>
      <c r="N799" s="2388"/>
      <c r="O799" s="2388"/>
      <c r="P799" s="2388"/>
      <c r="Q799" s="2388"/>
      <c r="R799" s="2388"/>
      <c r="S799" s="2388"/>
      <c r="T799" s="2388"/>
      <c r="U799" s="2388"/>
      <c r="V799" s="2388"/>
      <c r="W799" s="2388"/>
      <c r="X799" s="2388"/>
      <c r="Y799" s="2388"/>
      <c r="Z799" s="2388"/>
      <c r="AA799" s="2388"/>
      <c r="AB799" s="2388"/>
      <c r="AC799" s="2388"/>
      <c r="AD799" s="2388"/>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88"/>
      <c r="F800" s="2388"/>
      <c r="G800" s="2388"/>
      <c r="H800" s="2388"/>
      <c r="I800" s="2388"/>
      <c r="J800" s="2388"/>
      <c r="K800" s="2388"/>
      <c r="L800" s="2388"/>
      <c r="M800" s="2388"/>
      <c r="N800" s="2388"/>
      <c r="O800" s="2388"/>
      <c r="P800" s="2388"/>
      <c r="Q800" s="2388"/>
      <c r="R800" s="2388"/>
      <c r="S800" s="2388"/>
      <c r="T800" s="2388"/>
      <c r="U800" s="2388"/>
      <c r="V800" s="2388"/>
      <c r="W800" s="2388"/>
      <c r="X800" s="2388"/>
      <c r="Y800" s="2388"/>
      <c r="Z800" s="2388"/>
      <c r="AA800" s="2388"/>
      <c r="AB800" s="2388"/>
      <c r="AC800" s="2388"/>
      <c r="AD800" s="2388"/>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88"/>
      <c r="F801" s="2388"/>
      <c r="G801" s="2388"/>
      <c r="H801" s="2388"/>
      <c r="I801" s="2388"/>
      <c r="J801" s="2388"/>
      <c r="K801" s="2388"/>
      <c r="L801" s="2388"/>
      <c r="M801" s="2388"/>
      <c r="N801" s="2388"/>
      <c r="O801" s="2388"/>
      <c r="P801" s="2388"/>
      <c r="Q801" s="2388"/>
      <c r="R801" s="2388"/>
      <c r="S801" s="2388"/>
      <c r="T801" s="2388"/>
      <c r="U801" s="2388"/>
      <c r="V801" s="2388"/>
      <c r="W801" s="2388"/>
      <c r="X801" s="2388"/>
      <c r="Y801" s="2388"/>
      <c r="Z801" s="2388"/>
      <c r="AA801" s="2388"/>
      <c r="AB801" s="2388"/>
      <c r="AC801" s="2388"/>
      <c r="AD801" s="2388"/>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1392</v>
      </c>
      <c r="E803" s="932"/>
      <c r="F803" s="932"/>
      <c r="G803" s="932"/>
      <c r="H803" s="2390" t="s">
        <v>591</v>
      </c>
      <c r="I803" s="2390"/>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2391">
        <f>VLOOKUP($H$803,$AO$797:$AP$798,2,FALSE)</f>
        <v>0</v>
      </c>
      <c r="AK805" s="2392"/>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2601</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388" t="s">
        <v>2602</v>
      </c>
      <c r="F809" s="2388"/>
      <c r="G809" s="2388"/>
      <c r="H809" s="2388"/>
      <c r="I809" s="2388"/>
      <c r="J809" s="2388"/>
      <c r="K809" s="2388"/>
      <c r="L809" s="2388"/>
      <c r="M809" s="2388"/>
      <c r="N809" s="2388"/>
      <c r="O809" s="2388"/>
      <c r="P809" s="2388"/>
      <c r="Q809" s="2388"/>
      <c r="R809" s="2388"/>
      <c r="S809" s="2388"/>
      <c r="T809" s="2388"/>
      <c r="U809" s="2388"/>
      <c r="V809" s="2388"/>
      <c r="W809" s="2388"/>
      <c r="X809" s="2388"/>
      <c r="Y809" s="2388"/>
      <c r="Z809" s="2388"/>
      <c r="AA809" s="2388"/>
      <c r="AB809" s="2388"/>
      <c r="AC809" s="2388"/>
      <c r="AD809" s="2388"/>
      <c r="AE809" s="550"/>
      <c r="AF809" s="2389" t="s">
        <v>1371</v>
      </c>
      <c r="AG809" s="2389"/>
      <c r="AH809" s="2389"/>
      <c r="AI809" s="2389"/>
      <c r="AJ809" s="2389"/>
      <c r="AK809" s="2389"/>
      <c r="AL809" s="2389"/>
      <c r="AN809" s="595"/>
    </row>
    <row r="810" spans="1:81" s="549" customFormat="1" ht="12.75" customHeight="1">
      <c r="B810" s="614"/>
      <c r="C810" s="684"/>
      <c r="D810" s="659"/>
      <c r="E810" s="2388"/>
      <c r="F810" s="2388"/>
      <c r="G810" s="2388"/>
      <c r="H810" s="2388"/>
      <c r="I810" s="2388"/>
      <c r="J810" s="2388"/>
      <c r="K810" s="2388"/>
      <c r="L810" s="2388"/>
      <c r="M810" s="2388"/>
      <c r="N810" s="2388"/>
      <c r="O810" s="2388"/>
      <c r="P810" s="2388"/>
      <c r="Q810" s="2388"/>
      <c r="R810" s="2388"/>
      <c r="S810" s="2388"/>
      <c r="T810" s="2388"/>
      <c r="U810" s="2388"/>
      <c r="V810" s="2388"/>
      <c r="W810" s="2388"/>
      <c r="X810" s="2388"/>
      <c r="Y810" s="2388"/>
      <c r="Z810" s="2388"/>
      <c r="AA810" s="2388"/>
      <c r="AB810" s="2388"/>
      <c r="AC810" s="2388"/>
      <c r="AD810" s="2388"/>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1392</v>
      </c>
      <c r="E812" s="932"/>
      <c r="F812" s="932"/>
      <c r="G812" s="932"/>
      <c r="H812" s="2390" t="s">
        <v>591</v>
      </c>
      <c r="I812" s="2390"/>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2603</v>
      </c>
      <c r="AJ814" s="2391">
        <f>IF(H812="Yes",5,0)</f>
        <v>0</v>
      </c>
      <c r="AK814" s="2392"/>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2391">
        <f>IF(($AJ$634+$AJ$653+$AJ$665+$AJ$700+$AJ$724+$AJ$738+$AJ$750+$AJ$766+$AJ$778+$AJ$794+AJ805+AJ814)&gt;10,10,($AJ$634+$AJ$653+$AJ$665+$AJ$700+$AJ$724+$AJ$738+$AJ$750+$AJ$766+$AJ$778+$AJ$794+AJ805+AJ814))</f>
        <v>10</v>
      </c>
      <c r="AL816" s="2437"/>
      <c r="AM816" s="2392"/>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18" t="s">
        <v>1558</v>
      </c>
      <c r="B819" s="2519"/>
      <c r="C819" s="2519"/>
      <c r="D819" s="2519"/>
      <c r="E819" s="2519"/>
      <c r="F819" s="2519"/>
      <c r="G819" s="2519"/>
      <c r="H819" s="2519"/>
      <c r="I819" s="2519"/>
      <c r="J819" s="2519"/>
      <c r="K819" s="2519"/>
      <c r="L819" s="2519"/>
      <c r="M819" s="2519"/>
      <c r="N819" s="2519"/>
      <c r="O819" s="2519"/>
      <c r="P819" s="2519"/>
      <c r="Q819" s="2519"/>
      <c r="R819" s="2519"/>
      <c r="S819" s="2519"/>
      <c r="T819" s="2519"/>
      <c r="U819" s="2519"/>
      <c r="V819" s="2519"/>
      <c r="W819" s="2519"/>
      <c r="X819" s="2519"/>
      <c r="Y819" s="2519"/>
      <c r="Z819" s="2519"/>
      <c r="AA819" s="2519"/>
      <c r="AB819" s="2519"/>
      <c r="AC819" s="2519"/>
      <c r="AD819" s="2519"/>
      <c r="AE819" s="2519"/>
      <c r="AF819" s="2519"/>
      <c r="AG819" s="2519"/>
      <c r="AH819" s="2519"/>
      <c r="AI819" s="2519"/>
      <c r="AJ819" s="2519"/>
      <c r="AK819" s="2519"/>
      <c r="AL819" s="2519"/>
      <c r="AM819" s="2519"/>
    </row>
    <row r="820" spans="1:43">
      <c r="A820" s="2520"/>
      <c r="B820" s="2520"/>
      <c r="C820" s="2520"/>
      <c r="D820" s="2520"/>
      <c r="E820" s="2520"/>
      <c r="F820" s="2520"/>
      <c r="G820" s="2520"/>
      <c r="H820" s="2520"/>
      <c r="I820" s="2520"/>
      <c r="J820" s="2520"/>
      <c r="K820" s="2520"/>
      <c r="L820" s="2520"/>
      <c r="M820" s="2520"/>
      <c r="N820" s="2520"/>
      <c r="O820" s="2520"/>
      <c r="P820" s="2520"/>
      <c r="Q820" s="2520"/>
      <c r="R820" s="2520"/>
      <c r="S820" s="2520"/>
      <c r="T820" s="2520"/>
      <c r="U820" s="2520"/>
      <c r="V820" s="2520"/>
      <c r="W820" s="2520"/>
      <c r="X820" s="2520"/>
      <c r="Y820" s="2520"/>
      <c r="Z820" s="2520"/>
      <c r="AA820" s="2520"/>
      <c r="AB820" s="2520"/>
      <c r="AC820" s="2520"/>
      <c r="AD820" s="2520"/>
      <c r="AE820" s="2520"/>
      <c r="AF820" s="2520"/>
      <c r="AG820" s="2520"/>
      <c r="AH820" s="2520"/>
      <c r="AI820" s="2520"/>
      <c r="AJ820" s="2520"/>
      <c r="AK820" s="2520"/>
      <c r="AL820" s="2520"/>
      <c r="AM820" s="2520"/>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64"/>
      <c r="B822" s="2464"/>
      <c r="C822" s="2464"/>
      <c r="D822" s="2464"/>
      <c r="E822" s="2464"/>
      <c r="F822" s="2464"/>
      <c r="G822" s="2464"/>
      <c r="H822" s="2464"/>
      <c r="I822" s="2464"/>
      <c r="J822" s="2464"/>
      <c r="K822" s="2464"/>
      <c r="L822" s="2464"/>
      <c r="M822" s="2464"/>
      <c r="N822" s="2464"/>
      <c r="O822" s="2464"/>
      <c r="P822" s="2464"/>
      <c r="Q822" s="2464"/>
      <c r="R822" s="2464"/>
      <c r="S822" s="2464"/>
      <c r="T822" s="2464"/>
      <c r="U822" s="2464"/>
      <c r="V822" s="2464"/>
      <c r="W822" s="2464"/>
      <c r="X822" s="2464"/>
      <c r="Y822" s="2464"/>
      <c r="Z822" s="2464"/>
      <c r="AA822" s="2464"/>
      <c r="AB822" s="2464"/>
      <c r="AC822" s="2464"/>
      <c r="AD822" s="2464"/>
      <c r="AE822" s="2464"/>
      <c r="AF822" s="2464"/>
      <c r="AG822" s="2464"/>
      <c r="AH822" s="2464"/>
      <c r="AI822" s="2464"/>
      <c r="AJ822" s="2464"/>
      <c r="AK822" s="2464"/>
      <c r="AL822" s="2464"/>
      <c r="AM822" s="2464"/>
      <c r="AP822" s="812"/>
      <c r="AQ822" s="812"/>
    </row>
    <row r="823" spans="1:43">
      <c r="A823" s="2464"/>
      <c r="B823" s="2464"/>
      <c r="C823" s="2464"/>
      <c r="D823" s="2464"/>
      <c r="E823" s="2464"/>
      <c r="F823" s="2464"/>
      <c r="G823" s="2464"/>
      <c r="H823" s="2464"/>
      <c r="I823" s="2464"/>
      <c r="J823" s="2464"/>
      <c r="K823" s="2464"/>
      <c r="L823" s="2464"/>
      <c r="M823" s="2464"/>
      <c r="N823" s="2464"/>
      <c r="O823" s="2464"/>
      <c r="P823" s="2464"/>
      <c r="Q823" s="2464"/>
      <c r="R823" s="2464"/>
      <c r="S823" s="2464"/>
      <c r="T823" s="2464"/>
      <c r="U823" s="2464"/>
      <c r="V823" s="2464"/>
      <c r="W823" s="2464"/>
      <c r="X823" s="2464"/>
      <c r="Y823" s="2464"/>
      <c r="Z823" s="2464"/>
      <c r="AA823" s="2464"/>
      <c r="AB823" s="2464"/>
      <c r="AC823" s="2464"/>
      <c r="AD823" s="2464"/>
      <c r="AE823" s="2464"/>
      <c r="AF823" s="2464"/>
      <c r="AG823" s="2464"/>
      <c r="AH823" s="2464"/>
      <c r="AI823" s="2464"/>
      <c r="AJ823" s="2464"/>
      <c r="AK823" s="2464"/>
      <c r="AL823" s="2464"/>
      <c r="AM823" s="2464"/>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21" t="s">
        <v>1559</v>
      </c>
      <c r="U824" s="2522"/>
      <c r="V824" s="2522"/>
      <c r="W824" s="2522"/>
      <c r="X824" s="2522"/>
      <c r="Y824" s="2523"/>
      <c r="Z824" s="2521" t="s">
        <v>1560</v>
      </c>
      <c r="AA824" s="2522"/>
      <c r="AB824" s="2522"/>
      <c r="AC824" s="2522"/>
      <c r="AD824" s="2522"/>
      <c r="AE824" s="2523"/>
      <c r="AF824" s="2521" t="s">
        <v>1561</v>
      </c>
      <c r="AG824" s="2522"/>
      <c r="AH824" s="2522"/>
      <c r="AI824" s="2522"/>
      <c r="AJ824" s="2522"/>
      <c r="AK824" s="2523"/>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24"/>
      <c r="U825" s="2525"/>
      <c r="V825" s="2525"/>
      <c r="W825" s="2525"/>
      <c r="X825" s="2525"/>
      <c r="Y825" s="2526"/>
      <c r="Z825" s="2524"/>
      <c r="AA825" s="2525"/>
      <c r="AB825" s="2525"/>
      <c r="AC825" s="2525"/>
      <c r="AD825" s="2525"/>
      <c r="AE825" s="2526"/>
      <c r="AF825" s="2524"/>
      <c r="AG825" s="2525"/>
      <c r="AH825" s="2525"/>
      <c r="AI825" s="2525"/>
      <c r="AJ825" s="2525"/>
      <c r="AK825" s="2526"/>
      <c r="AL825" s="814"/>
      <c r="AM825" s="594"/>
      <c r="AO825" s="812"/>
      <c r="AP825" s="812"/>
      <c r="AQ825" s="812"/>
    </row>
    <row r="826" spans="1:43">
      <c r="A826" s="815" t="s">
        <v>757</v>
      </c>
      <c r="B826" s="2479" t="str">
        <f>B7</f>
        <v xml:space="preserve">Acquisition/Rehabilitation Project Priorities </v>
      </c>
      <c r="C826" s="2479"/>
      <c r="D826" s="2479"/>
      <c r="E826" s="2479"/>
      <c r="F826" s="2479"/>
      <c r="G826" s="2479"/>
      <c r="H826" s="2479"/>
      <c r="I826" s="2479"/>
      <c r="J826" s="2479"/>
      <c r="K826" s="2479"/>
      <c r="L826" s="2479"/>
      <c r="M826" s="2479"/>
      <c r="N826" s="2479"/>
      <c r="O826" s="2479"/>
      <c r="P826" s="2479"/>
      <c r="Q826" s="2479"/>
      <c r="R826" s="2479"/>
      <c r="S826" s="2480"/>
      <c r="T826" s="2506">
        <f>AK61</f>
        <v>0</v>
      </c>
      <c r="U826" s="2483"/>
      <c r="V826" s="2483"/>
      <c r="W826" s="2483"/>
      <c r="X826" s="2483"/>
      <c r="Y826" s="2484"/>
      <c r="Z826" s="2482">
        <v>20</v>
      </c>
      <c r="AA826" s="2483"/>
      <c r="AB826" s="2483"/>
      <c r="AC826" s="2483"/>
      <c r="AD826" s="2483"/>
      <c r="AE826" s="2484"/>
      <c r="AF826" s="2462">
        <f>IF(T826&gt;Z826,Z826,T826)</f>
        <v>0</v>
      </c>
      <c r="AG826" s="2462"/>
      <c r="AH826" s="2462"/>
      <c r="AI826" s="2462"/>
      <c r="AJ826" s="2462"/>
      <c r="AK826" s="2462"/>
      <c r="AL826" s="814"/>
      <c r="AM826" s="594"/>
      <c r="AO826" s="812"/>
      <c r="AP826" s="812"/>
      <c r="AQ826" s="812"/>
    </row>
    <row r="827" spans="1:43">
      <c r="A827" s="815" t="s">
        <v>1532</v>
      </c>
      <c r="B827" s="2479" t="s">
        <v>1307</v>
      </c>
      <c r="C827" s="2479"/>
      <c r="D827" s="2479"/>
      <c r="E827" s="2479"/>
      <c r="F827" s="2479"/>
      <c r="G827" s="2479"/>
      <c r="H827" s="2479"/>
      <c r="I827" s="2479"/>
      <c r="J827" s="2479"/>
      <c r="K827" s="2479"/>
      <c r="L827" s="2479"/>
      <c r="M827" s="2479"/>
      <c r="N827" s="2479"/>
      <c r="O827" s="2479"/>
      <c r="P827" s="2479"/>
      <c r="Q827" s="2479"/>
      <c r="R827" s="2479"/>
      <c r="S827" s="2480"/>
      <c r="T827" s="2506">
        <f>AK83</f>
        <v>10</v>
      </c>
      <c r="U827" s="2483"/>
      <c r="V827" s="2483"/>
      <c r="W827" s="2483"/>
      <c r="X827" s="2483"/>
      <c r="Y827" s="2484"/>
      <c r="Z827" s="2482">
        <v>10</v>
      </c>
      <c r="AA827" s="2483"/>
      <c r="AB827" s="2483"/>
      <c r="AC827" s="2483"/>
      <c r="AD827" s="2483"/>
      <c r="AE827" s="2484"/>
      <c r="AF827" s="2462">
        <f>IF(T827&gt;Z827,Z827,T827)</f>
        <v>10</v>
      </c>
      <c r="AG827" s="2462"/>
      <c r="AH827" s="2462"/>
      <c r="AI827" s="2462"/>
      <c r="AJ827" s="2462"/>
      <c r="AK827" s="2462"/>
      <c r="AL827" s="814"/>
      <c r="AM827" s="594"/>
      <c r="AO827" s="812"/>
      <c r="AP827" s="812"/>
      <c r="AQ827" s="812"/>
    </row>
    <row r="828" spans="1:43">
      <c r="A828" s="815" t="s">
        <v>1541</v>
      </c>
      <c r="B828" s="2479" t="s">
        <v>1317</v>
      </c>
      <c r="C828" s="2479"/>
      <c r="D828" s="2479"/>
      <c r="E828" s="2479"/>
      <c r="F828" s="2479"/>
      <c r="G828" s="2479"/>
      <c r="H828" s="2479"/>
      <c r="I828" s="2479"/>
      <c r="J828" s="2479"/>
      <c r="K828" s="2479"/>
      <c r="L828" s="2479"/>
      <c r="M828" s="2479"/>
      <c r="N828" s="2479"/>
      <c r="O828" s="2479"/>
      <c r="P828" s="2479"/>
      <c r="Q828" s="2479"/>
      <c r="R828" s="2479"/>
      <c r="S828" s="2480"/>
      <c r="T828" s="2506">
        <f ca="1">AK108</f>
        <v>20</v>
      </c>
      <c r="U828" s="2483"/>
      <c r="V828" s="2483"/>
      <c r="W828" s="2483"/>
      <c r="X828" s="2483"/>
      <c r="Y828" s="2484"/>
      <c r="Z828" s="2482">
        <v>20</v>
      </c>
      <c r="AA828" s="2483"/>
      <c r="AB828" s="2483"/>
      <c r="AC828" s="2483"/>
      <c r="AD828" s="2483"/>
      <c r="AE828" s="2484"/>
      <c r="AF828" s="2462">
        <f ca="1">IF(T828&gt;Z828,Z828,T828)</f>
        <v>20</v>
      </c>
      <c r="AG828" s="2462"/>
      <c r="AH828" s="2462"/>
      <c r="AI828" s="2462"/>
      <c r="AJ828" s="2462"/>
      <c r="AK828" s="2462"/>
      <c r="AL828" s="814"/>
      <c r="AM828" s="594"/>
      <c r="AO828" s="812"/>
      <c r="AP828" s="812"/>
      <c r="AQ828" s="812"/>
    </row>
    <row r="829" spans="1:43">
      <c r="A829" s="815" t="s">
        <v>1562</v>
      </c>
      <c r="B829" s="2479" t="s">
        <v>1327</v>
      </c>
      <c r="C829" s="2479"/>
      <c r="D829" s="2479"/>
      <c r="E829" s="2479"/>
      <c r="F829" s="2479"/>
      <c r="G829" s="2479"/>
      <c r="H829" s="2479"/>
      <c r="I829" s="2479"/>
      <c r="J829" s="2479"/>
      <c r="K829" s="2479"/>
      <c r="L829" s="2479"/>
      <c r="M829" s="2479"/>
      <c r="N829" s="2479"/>
      <c r="O829" s="2479"/>
      <c r="P829" s="2479"/>
      <c r="Q829" s="2479"/>
      <c r="R829" s="2479"/>
      <c r="S829" s="2480"/>
      <c r="T829" s="2506">
        <f>AK142</f>
        <v>10</v>
      </c>
      <c r="U829" s="2483"/>
      <c r="V829" s="2483"/>
      <c r="W829" s="2483"/>
      <c r="X829" s="2483"/>
      <c r="Y829" s="2484"/>
      <c r="Z829" s="2482">
        <v>10</v>
      </c>
      <c r="AA829" s="2483"/>
      <c r="AB829" s="2483"/>
      <c r="AC829" s="2483"/>
      <c r="AD829" s="2483"/>
      <c r="AE829" s="2484"/>
      <c r="AF829" s="2462">
        <f>IF(T829&gt;Z829,Z829,T829)</f>
        <v>10</v>
      </c>
      <c r="AG829" s="2462"/>
      <c r="AH829" s="2462"/>
      <c r="AI829" s="2462"/>
      <c r="AJ829" s="2462"/>
      <c r="AK829" s="2462"/>
      <c r="AL829" s="814"/>
      <c r="AM829" s="594"/>
      <c r="AO829" s="812"/>
      <c r="AP829" s="812"/>
      <c r="AQ829" s="812"/>
    </row>
    <row r="830" spans="1:43">
      <c r="A830" s="816" t="s">
        <v>1563</v>
      </c>
      <c r="B830" s="2479" t="s">
        <v>1564</v>
      </c>
      <c r="C830" s="2479"/>
      <c r="D830" s="2479"/>
      <c r="E830" s="2479"/>
      <c r="F830" s="2479"/>
      <c r="G830" s="2479"/>
      <c r="H830" s="2479"/>
      <c r="I830" s="2479"/>
      <c r="J830" s="2479"/>
      <c r="K830" s="2479"/>
      <c r="L830" s="2479"/>
      <c r="M830" s="2479"/>
      <c r="N830" s="2479"/>
      <c r="O830" s="2479"/>
      <c r="P830" s="2479"/>
      <c r="Q830" s="2479"/>
      <c r="R830" s="2479"/>
      <c r="S830" s="2480"/>
      <c r="T830" s="2481">
        <f>SUM(T831:Y832)</f>
        <v>10</v>
      </c>
      <c r="U830" s="2481"/>
      <c r="V830" s="2481"/>
      <c r="W830" s="2481"/>
      <c r="X830" s="2481"/>
      <c r="Y830" s="2481"/>
      <c r="Z830" s="2462">
        <v>10</v>
      </c>
      <c r="AA830" s="2462"/>
      <c r="AB830" s="2462"/>
      <c r="AC830" s="2462"/>
      <c r="AD830" s="2462"/>
      <c r="AE830" s="2462"/>
      <c r="AF830" s="2462">
        <f>IF(T830&gt;Z830,Z830,T830)</f>
        <v>10</v>
      </c>
      <c r="AG830" s="2462"/>
      <c r="AH830" s="2462"/>
      <c r="AI830" s="2462"/>
      <c r="AJ830" s="2462"/>
      <c r="AK830" s="2462"/>
      <c r="AL830" s="814"/>
      <c r="AM830" s="594"/>
    </row>
    <row r="831" spans="1:43">
      <c r="A831" s="535"/>
      <c r="B831" s="599"/>
      <c r="C831" s="2485" t="s">
        <v>1565</v>
      </c>
      <c r="D831" s="2485"/>
      <c r="E831" s="2485"/>
      <c r="F831" s="2485"/>
      <c r="G831" s="2485"/>
      <c r="H831" s="2485"/>
      <c r="I831" s="2485"/>
      <c r="J831" s="2485"/>
      <c r="K831" s="2485"/>
      <c r="L831" s="2485"/>
      <c r="M831" s="2485"/>
      <c r="N831" s="2485"/>
      <c r="O831" s="2485"/>
      <c r="P831" s="2485"/>
      <c r="Q831" s="2485"/>
      <c r="R831" s="2485"/>
      <c r="S831" s="2486"/>
      <c r="T831" s="2487">
        <f>AJ165</f>
        <v>7</v>
      </c>
      <c r="U831" s="2487"/>
      <c r="V831" s="2487"/>
      <c r="W831" s="2487"/>
      <c r="X831" s="2487"/>
      <c r="Y831" s="2487"/>
      <c r="Z831" s="2488">
        <v>7</v>
      </c>
      <c r="AA831" s="2488"/>
      <c r="AB831" s="2488"/>
      <c r="AC831" s="2488"/>
      <c r="AD831" s="2488"/>
      <c r="AE831" s="2488"/>
      <c r="AF831" s="2489"/>
      <c r="AG831" s="2489"/>
      <c r="AH831" s="2489"/>
      <c r="AI831" s="2489"/>
      <c r="AJ831" s="2489"/>
      <c r="AK831" s="2489"/>
      <c r="AL831" s="814"/>
      <c r="AM831" s="594"/>
    </row>
    <row r="832" spans="1:43">
      <c r="A832" s="598"/>
      <c r="B832" s="599"/>
      <c r="C832" s="2485" t="s">
        <v>1566</v>
      </c>
      <c r="D832" s="2485"/>
      <c r="E832" s="2485"/>
      <c r="F832" s="2485"/>
      <c r="G832" s="2485"/>
      <c r="H832" s="2485"/>
      <c r="I832" s="2485"/>
      <c r="J832" s="2485"/>
      <c r="K832" s="2485"/>
      <c r="L832" s="2485"/>
      <c r="M832" s="2485"/>
      <c r="N832" s="2485"/>
      <c r="O832" s="2485"/>
      <c r="P832" s="2485"/>
      <c r="Q832" s="2485"/>
      <c r="R832" s="2485"/>
      <c r="S832" s="2486"/>
      <c r="T832" s="2487">
        <f>AJ179</f>
        <v>3</v>
      </c>
      <c r="U832" s="2487"/>
      <c r="V832" s="2487"/>
      <c r="W832" s="2487"/>
      <c r="X832" s="2487"/>
      <c r="Y832" s="2487"/>
      <c r="Z832" s="2488">
        <v>3</v>
      </c>
      <c r="AA832" s="2488"/>
      <c r="AB832" s="2488"/>
      <c r="AC832" s="2488"/>
      <c r="AD832" s="2488"/>
      <c r="AE832" s="2488"/>
      <c r="AF832" s="2489"/>
      <c r="AG832" s="2489"/>
      <c r="AH832" s="2489"/>
      <c r="AI832" s="2489"/>
      <c r="AJ832" s="2489"/>
      <c r="AK832" s="2489"/>
      <c r="AL832" s="814"/>
      <c r="AM832" s="594"/>
      <c r="AO832" s="549"/>
    </row>
    <row r="833" spans="1:81">
      <c r="A833" s="816" t="s">
        <v>1355</v>
      </c>
      <c r="B833" s="2479" t="s">
        <v>1567</v>
      </c>
      <c r="C833" s="2479"/>
      <c r="D833" s="2479"/>
      <c r="E833" s="2479"/>
      <c r="F833" s="2479"/>
      <c r="G833" s="2479"/>
      <c r="H833" s="2479"/>
      <c r="I833" s="2479"/>
      <c r="J833" s="2479"/>
      <c r="K833" s="2479"/>
      <c r="L833" s="2479"/>
      <c r="M833" s="2479"/>
      <c r="N833" s="2479"/>
      <c r="O833" s="2479"/>
      <c r="P833" s="2479"/>
      <c r="Q833" s="2479"/>
      <c r="R833" s="2479"/>
      <c r="S833" s="2480"/>
      <c r="T833" s="2481">
        <f>AK190</f>
        <v>10</v>
      </c>
      <c r="U833" s="2481"/>
      <c r="V833" s="2481"/>
      <c r="W833" s="2481"/>
      <c r="X833" s="2481"/>
      <c r="Y833" s="2481"/>
      <c r="Z833" s="2462">
        <v>10</v>
      </c>
      <c r="AA833" s="2462"/>
      <c r="AB833" s="2462"/>
      <c r="AC833" s="2462"/>
      <c r="AD833" s="2462"/>
      <c r="AE833" s="2462"/>
      <c r="AF833" s="2462">
        <f>IF(T833&gt;Z833,Z833,T833)</f>
        <v>10</v>
      </c>
      <c r="AG833" s="2462"/>
      <c r="AH833" s="2462"/>
      <c r="AI833" s="2462"/>
      <c r="AJ833" s="2462"/>
      <c r="AK833" s="2462"/>
      <c r="AL833" s="814"/>
      <c r="AM833" s="594"/>
    </row>
    <row r="834" spans="1:81" hidden="1">
      <c r="A834" s="815" t="s">
        <v>1363</v>
      </c>
      <c r="B834" s="2479" t="s">
        <v>1364</v>
      </c>
      <c r="C834" s="2479"/>
      <c r="D834" s="2479"/>
      <c r="E834" s="2479"/>
      <c r="F834" s="2479"/>
      <c r="G834" s="2479"/>
      <c r="H834" s="2479"/>
      <c r="I834" s="2479"/>
      <c r="J834" s="2479"/>
      <c r="K834" s="2479"/>
      <c r="L834" s="2479"/>
      <c r="M834" s="2479"/>
      <c r="N834" s="2479"/>
      <c r="O834" s="2479"/>
      <c r="P834" s="2479"/>
      <c r="Q834" s="2479"/>
      <c r="R834" s="2479"/>
      <c r="S834" s="2480"/>
      <c r="T834" s="2481">
        <f>AK272</f>
        <v>0</v>
      </c>
      <c r="U834" s="2481"/>
      <c r="V834" s="2481"/>
      <c r="W834" s="2481"/>
      <c r="X834" s="2481"/>
      <c r="Y834" s="2481"/>
      <c r="Z834" s="2482">
        <v>8</v>
      </c>
      <c r="AA834" s="2483"/>
      <c r="AB834" s="2483"/>
      <c r="AC834" s="2483"/>
      <c r="AD834" s="2483"/>
      <c r="AE834" s="2484"/>
      <c r="AF834" s="2462"/>
      <c r="AG834" s="2462"/>
      <c r="AH834" s="2462"/>
      <c r="AI834" s="2462"/>
      <c r="AJ834" s="2462"/>
      <c r="AK834" s="2462"/>
      <c r="AL834" s="814"/>
      <c r="AM834" s="594"/>
    </row>
    <row r="835" spans="1:81" s="534" customFormat="1" hidden="1">
      <c r="A835" s="816" t="s">
        <v>589</v>
      </c>
      <c r="B835" s="2479" t="s">
        <v>1568</v>
      </c>
      <c r="C835" s="2479"/>
      <c r="D835" s="2479"/>
      <c r="E835" s="2479"/>
      <c r="F835" s="2479"/>
      <c r="G835" s="2479"/>
      <c r="H835" s="2479"/>
      <c r="I835" s="2479"/>
      <c r="J835" s="2479"/>
      <c r="K835" s="2479"/>
      <c r="L835" s="2479"/>
      <c r="M835" s="2479"/>
      <c r="N835" s="2479"/>
      <c r="O835" s="2479"/>
      <c r="P835" s="2479"/>
      <c r="Q835" s="2479"/>
      <c r="R835" s="2479"/>
      <c r="S835" s="2480"/>
      <c r="T835" s="2481">
        <f>IF(AK548&gt;5,5,AK548)</f>
        <v>0</v>
      </c>
      <c r="U835" s="2481"/>
      <c r="V835" s="2481"/>
      <c r="W835" s="2481"/>
      <c r="X835" s="2481"/>
      <c r="Y835" s="2481"/>
      <c r="Z835" s="2462">
        <v>5</v>
      </c>
      <c r="AA835" s="2462"/>
      <c r="AB835" s="2462"/>
      <c r="AC835" s="2462"/>
      <c r="AD835" s="2462"/>
      <c r="AE835" s="2462"/>
      <c r="AF835" s="2462"/>
      <c r="AG835" s="2462"/>
      <c r="AH835" s="2462"/>
      <c r="AI835" s="2462"/>
      <c r="AJ835" s="2462"/>
      <c r="AK835" s="2462"/>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79" t="str">
        <f>B275</f>
        <v>Readiness to Proceed</v>
      </c>
      <c r="C836" s="2479"/>
      <c r="D836" s="2479"/>
      <c r="E836" s="2479"/>
      <c r="F836" s="2479"/>
      <c r="G836" s="2479"/>
      <c r="H836" s="2479"/>
      <c r="I836" s="2479"/>
      <c r="J836" s="2479"/>
      <c r="K836" s="2479"/>
      <c r="L836" s="2479"/>
      <c r="M836" s="2479"/>
      <c r="N836" s="2479"/>
      <c r="O836" s="2479"/>
      <c r="P836" s="2479"/>
      <c r="Q836" s="2479"/>
      <c r="R836" s="2479"/>
      <c r="S836" s="2480"/>
      <c r="T836" s="2481">
        <f>AK298</f>
        <v>10</v>
      </c>
      <c r="U836" s="2481"/>
      <c r="V836" s="2481"/>
      <c r="W836" s="2481"/>
      <c r="X836" s="2481"/>
      <c r="Y836" s="2481"/>
      <c r="Z836" s="2462">
        <v>10</v>
      </c>
      <c r="AA836" s="2462"/>
      <c r="AB836" s="2462"/>
      <c r="AC836" s="2462"/>
      <c r="AD836" s="2462"/>
      <c r="AE836" s="2462"/>
      <c r="AF836" s="2490">
        <f>IF(T836&gt;Z836,Z836,T836)</f>
        <v>10</v>
      </c>
      <c r="AG836" s="2491"/>
      <c r="AH836" s="2491"/>
      <c r="AI836" s="2491"/>
      <c r="AJ836" s="2491"/>
      <c r="AK836" s="2492"/>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79" t="str">
        <f>B301</f>
        <v>Access to Opportunity</v>
      </c>
      <c r="C837" s="2479"/>
      <c r="D837" s="2479"/>
      <c r="E837" s="2479"/>
      <c r="F837" s="2479"/>
      <c r="G837" s="2479"/>
      <c r="H837" s="2479"/>
      <c r="I837" s="2479"/>
      <c r="J837" s="2479"/>
      <c r="K837" s="2479"/>
      <c r="L837" s="2479"/>
      <c r="M837" s="2479"/>
      <c r="N837" s="2479"/>
      <c r="O837" s="2479"/>
      <c r="P837" s="2479"/>
      <c r="Q837" s="2479"/>
      <c r="R837" s="2479"/>
      <c r="S837" s="2480"/>
      <c r="T837" s="2481">
        <f>AK351</f>
        <v>9</v>
      </c>
      <c r="U837" s="2481"/>
      <c r="V837" s="2481"/>
      <c r="W837" s="2481"/>
      <c r="X837" s="2481"/>
      <c r="Y837" s="2481"/>
      <c r="Z837" s="2490">
        <v>10</v>
      </c>
      <c r="AA837" s="2491"/>
      <c r="AB837" s="2491"/>
      <c r="AC837" s="2491"/>
      <c r="AD837" s="2491"/>
      <c r="AE837" s="2492"/>
      <c r="AF837" s="2490">
        <f>IF(T837&gt;Z837,Z837,T837)</f>
        <v>9</v>
      </c>
      <c r="AG837" s="2491"/>
      <c r="AH837" s="2491"/>
      <c r="AI837" s="2491"/>
      <c r="AJ837" s="2491"/>
      <c r="AK837" s="2492"/>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1569</v>
      </c>
      <c r="D838" s="819"/>
      <c r="E838" s="819"/>
      <c r="F838" s="819"/>
      <c r="G838" s="819"/>
      <c r="H838" s="819"/>
      <c r="I838" s="819"/>
      <c r="J838" s="819"/>
      <c r="K838" s="819"/>
      <c r="L838" s="819"/>
      <c r="M838" s="819"/>
      <c r="N838" s="819"/>
      <c r="O838" s="819"/>
      <c r="P838" s="819"/>
      <c r="Q838" s="819"/>
      <c r="R838" s="817"/>
      <c r="S838" s="820"/>
      <c r="T838" s="2487">
        <f>AK351</f>
        <v>9</v>
      </c>
      <c r="U838" s="2487"/>
      <c r="V838" s="2487"/>
      <c r="W838" s="2487"/>
      <c r="X838" s="2487"/>
      <c r="Y838" s="2487"/>
      <c r="Z838" s="2391">
        <v>20</v>
      </c>
      <c r="AA838" s="2437"/>
      <c r="AB838" s="2437"/>
      <c r="AC838" s="2437"/>
      <c r="AD838" s="2437"/>
      <c r="AE838" s="2392"/>
      <c r="AF838" s="2489"/>
      <c r="AG838" s="2489"/>
      <c r="AH838" s="2489"/>
      <c r="AI838" s="2489"/>
      <c r="AJ838" s="2489"/>
      <c r="AK838" s="2489"/>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79" t="s">
        <v>845</v>
      </c>
      <c r="C839" s="2479"/>
      <c r="D839" s="2479"/>
      <c r="E839" s="2479"/>
      <c r="F839" s="2479"/>
      <c r="G839" s="2479"/>
      <c r="H839" s="2479"/>
      <c r="I839" s="2479"/>
      <c r="J839" s="2479"/>
      <c r="K839" s="2479"/>
      <c r="L839" s="2479"/>
      <c r="M839" s="2479"/>
      <c r="N839" s="2479"/>
      <c r="O839" s="2479"/>
      <c r="P839" s="2479"/>
      <c r="Q839" s="2479"/>
      <c r="R839" s="2479"/>
      <c r="S839" s="2480"/>
      <c r="T839" s="2481">
        <f>AK482</f>
        <v>10</v>
      </c>
      <c r="U839" s="2481"/>
      <c r="V839" s="2481"/>
      <c r="W839" s="2481"/>
      <c r="X839" s="2481"/>
      <c r="Y839" s="2481"/>
      <c r="Z839" s="2490">
        <v>10</v>
      </c>
      <c r="AA839" s="2491"/>
      <c r="AB839" s="2491"/>
      <c r="AC839" s="2491"/>
      <c r="AD839" s="2491"/>
      <c r="AE839" s="2492"/>
      <c r="AF839" s="2462">
        <f>IF(T839&gt;Z839,Z839,T839)</f>
        <v>10</v>
      </c>
      <c r="AG839" s="2462"/>
      <c r="AH839" s="2462"/>
      <c r="AI839" s="2462"/>
      <c r="AJ839" s="2462"/>
      <c r="AK839" s="2462"/>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79" t="s">
        <v>1550</v>
      </c>
      <c r="C840" s="2479"/>
      <c r="D840" s="2479"/>
      <c r="E840" s="2479"/>
      <c r="F840" s="2479"/>
      <c r="G840" s="2479"/>
      <c r="H840" s="2479"/>
      <c r="I840" s="2479"/>
      <c r="J840" s="2479"/>
      <c r="K840" s="2479"/>
      <c r="L840" s="2479"/>
      <c r="M840" s="2479"/>
      <c r="N840" s="2479"/>
      <c r="O840" s="2479"/>
      <c r="P840" s="2479"/>
      <c r="Q840" s="2479"/>
      <c r="R840" s="2479"/>
      <c r="S840" s="2480"/>
      <c r="T840" s="2481">
        <f>AK572</f>
        <v>12</v>
      </c>
      <c r="U840" s="2481"/>
      <c r="V840" s="2481"/>
      <c r="W840" s="2481"/>
      <c r="X840" s="2481"/>
      <c r="Y840" s="2481"/>
      <c r="Z840" s="2490">
        <v>12</v>
      </c>
      <c r="AA840" s="2491"/>
      <c r="AB840" s="2491"/>
      <c r="AC840" s="2491"/>
      <c r="AD840" s="2491"/>
      <c r="AE840" s="2492"/>
      <c r="AF840" s="2462">
        <f>IF(T840&gt;Z840,Z840,T840)</f>
        <v>12</v>
      </c>
      <c r="AG840" s="2462"/>
      <c r="AH840" s="2462"/>
      <c r="AI840" s="2462"/>
      <c r="AJ840" s="2462"/>
      <c r="AK840" s="2462"/>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79" t="s">
        <v>1570</v>
      </c>
      <c r="C841" s="2479"/>
      <c r="D841" s="2479"/>
      <c r="E841" s="2479"/>
      <c r="F841" s="2479"/>
      <c r="G841" s="2479"/>
      <c r="H841" s="2479"/>
      <c r="I841" s="2479"/>
      <c r="J841" s="2479"/>
      <c r="K841" s="2479"/>
      <c r="L841" s="2479"/>
      <c r="M841" s="2479"/>
      <c r="N841" s="2479"/>
      <c r="O841" s="2479"/>
      <c r="P841" s="2479"/>
      <c r="Q841" s="2479"/>
      <c r="R841" s="2479"/>
      <c r="S841" s="2480"/>
      <c r="T841" s="2481">
        <f>AK816</f>
        <v>10</v>
      </c>
      <c r="U841" s="2481"/>
      <c r="V841" s="2481"/>
      <c r="W841" s="2481"/>
      <c r="X841" s="2481"/>
      <c r="Y841" s="2481"/>
      <c r="Z841" s="2490">
        <v>10</v>
      </c>
      <c r="AA841" s="2491"/>
      <c r="AB841" s="2491"/>
      <c r="AC841" s="2491"/>
      <c r="AD841" s="2491"/>
      <c r="AE841" s="2492"/>
      <c r="AF841" s="2462">
        <f>IF(T841&gt;Z841,Z841,T841)</f>
        <v>10</v>
      </c>
      <c r="AG841" s="2462"/>
      <c r="AH841" s="2462"/>
      <c r="AI841" s="2462"/>
      <c r="AJ841" s="2462"/>
      <c r="AK841" s="2462"/>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1984</v>
      </c>
      <c r="B842" s="696" t="s">
        <v>1571</v>
      </c>
      <c r="C842" s="696"/>
      <c r="D842" s="696"/>
      <c r="E842" s="696"/>
      <c r="F842" s="696"/>
      <c r="G842" s="696"/>
      <c r="H842" s="696"/>
      <c r="I842" s="696"/>
      <c r="J842" s="696"/>
      <c r="K842" s="696"/>
      <c r="L842" s="696"/>
      <c r="M842" s="696"/>
      <c r="N842" s="696"/>
      <c r="O842" s="696"/>
      <c r="P842" s="696"/>
      <c r="Q842" s="696"/>
      <c r="R842" s="696"/>
      <c r="S842" s="1200"/>
      <c r="T842" s="2493"/>
      <c r="U842" s="2493"/>
      <c r="V842" s="2493"/>
      <c r="W842" s="2493"/>
      <c r="X842" s="2493"/>
      <c r="Y842" s="2493"/>
      <c r="Z842" s="2488" t="s">
        <v>1572</v>
      </c>
      <c r="AA842" s="2488"/>
      <c r="AB842" s="2488"/>
      <c r="AC842" s="2488"/>
      <c r="AD842" s="2488"/>
      <c r="AE842" s="2488"/>
      <c r="AF842" s="2490">
        <f>ABS(T842)</f>
        <v>0</v>
      </c>
      <c r="AG842" s="2491"/>
      <c r="AH842" s="2491"/>
      <c r="AI842" s="2491"/>
      <c r="AJ842" s="2491"/>
      <c r="AK842" s="2492"/>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494" t="s">
        <v>1573</v>
      </c>
      <c r="B843" s="2495"/>
      <c r="C843" s="2495"/>
      <c r="D843" s="2495"/>
      <c r="E843" s="2495"/>
      <c r="F843" s="2495"/>
      <c r="G843" s="2495"/>
      <c r="H843" s="2495"/>
      <c r="I843" s="2495"/>
      <c r="J843" s="2495"/>
      <c r="K843" s="2495"/>
      <c r="L843" s="2495"/>
      <c r="M843" s="2495"/>
      <c r="N843" s="2495"/>
      <c r="O843" s="2495"/>
      <c r="P843" s="2495"/>
      <c r="Q843" s="2495"/>
      <c r="R843" s="2495"/>
      <c r="S843" s="2495"/>
      <c r="T843" s="2495"/>
      <c r="U843" s="2495"/>
      <c r="V843" s="2495"/>
      <c r="W843" s="2495"/>
      <c r="X843" s="2495"/>
      <c r="Y843" s="2495"/>
      <c r="Z843" s="2495"/>
      <c r="AA843" s="2495"/>
      <c r="AB843" s="2495"/>
      <c r="AC843" s="2495"/>
      <c r="AD843" s="2495"/>
      <c r="AE843" s="2496"/>
      <c r="AF843" s="2500">
        <f ca="1">SUM(AF826:AK841)-AF842</f>
        <v>111</v>
      </c>
      <c r="AG843" s="2501"/>
      <c r="AH843" s="2501"/>
      <c r="AI843" s="2501"/>
      <c r="AJ843" s="2501"/>
      <c r="AK843" s="2502"/>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497"/>
      <c r="B844" s="2498"/>
      <c r="C844" s="2498"/>
      <c r="D844" s="2498"/>
      <c r="E844" s="2498"/>
      <c r="F844" s="2498"/>
      <c r="G844" s="2498"/>
      <c r="H844" s="2498"/>
      <c r="I844" s="2498"/>
      <c r="J844" s="2498"/>
      <c r="K844" s="2498"/>
      <c r="L844" s="2498"/>
      <c r="M844" s="2498"/>
      <c r="N844" s="2498"/>
      <c r="O844" s="2498"/>
      <c r="P844" s="2498"/>
      <c r="Q844" s="2498"/>
      <c r="R844" s="2498"/>
      <c r="S844" s="2498"/>
      <c r="T844" s="2498"/>
      <c r="U844" s="2498"/>
      <c r="V844" s="2498"/>
      <c r="W844" s="2498"/>
      <c r="X844" s="2498"/>
      <c r="Y844" s="2498"/>
      <c r="Z844" s="2498"/>
      <c r="AA844" s="2498"/>
      <c r="AB844" s="2498"/>
      <c r="AC844" s="2498"/>
      <c r="AD844" s="2498"/>
      <c r="AE844" s="2499"/>
      <c r="AF844" s="2503"/>
      <c r="AG844" s="2504"/>
      <c r="AH844" s="2504"/>
      <c r="AI844" s="2504"/>
      <c r="AJ844" s="2504"/>
      <c r="AK844" s="2505"/>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PLohBaqfiuFyDajl68o965X9dLigxZMkV2M+3JcBaEG55MFaHNYmmnCt7PnrSJHiAaNJYcPPid6GmqkhRZO4Q==" saltValue="Eu8P5r6CIvCvGPGPUbMq9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La Quay Spencer</cp:lastModifiedBy>
  <cp:lastPrinted>2026-01-22T20:02:33Z</cp:lastPrinted>
  <dcterms:created xsi:type="dcterms:W3CDTF">2007-12-27T18:26:28Z</dcterms:created>
  <dcterms:modified xsi:type="dcterms:W3CDTF">2026-01-30T22:34:54Z</dcterms:modified>
</cp:coreProperties>
</file>